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Luong\Co huu\"/>
    </mc:Choice>
  </mc:AlternateContent>
  <bookViews>
    <workbookView xWindow="-15" yWindow="360" windowWidth="9600" windowHeight="1200" tabRatio="701" firstSheet="2" activeTab="3"/>
  </bookViews>
  <sheets>
    <sheet name="PCTN" sheetId="11" state="hidden" r:id="rId1"/>
    <sheet name="HD" sheetId="10" state="hidden" r:id="rId2"/>
    <sheet name="BC" sheetId="8" r:id="rId3"/>
    <sheet name="BĐC-BC T04.2024" sheetId="2" r:id="rId4"/>
    <sheet name="Sheet1" sheetId="12" state="hidden" r:id="rId5"/>
    <sheet name="Anh Tuyet" sheetId="13" state="hidden" r:id="rId6"/>
    <sheet name="Sheet2" sheetId="14" r:id="rId7"/>
  </sheets>
  <externalReferences>
    <externalReference r:id="rId8"/>
    <externalReference r:id="rId9"/>
    <externalReference r:id="rId10"/>
    <externalReference r:id="rId11"/>
    <externalReference r:id="rId12"/>
    <externalReference r:id="rId13"/>
  </externalReferences>
  <definedNames>
    <definedName name="_xlnm._FilterDatabase" localSheetId="2" hidden="1">BC!$A$87:$BG$293</definedName>
    <definedName name="_xlnm._FilterDatabase" localSheetId="1" hidden="1">HD!$A$1:$BB$20</definedName>
    <definedName name="_xlnm._FilterDatabase" localSheetId="0" hidden="1">PCTN!$A$13:$BF$289</definedName>
    <definedName name="_xlnm.Print_Titles" localSheetId="2">BC!$9:$10</definedName>
    <definedName name="_xlnm.Print_Titles" localSheetId="3">'BĐC-BC T04.2024'!$6:$7</definedName>
    <definedName name="_xlnm.Print_Titles" localSheetId="1">HD!$9:$10</definedName>
    <definedName name="_xlnm.Print_Titles" localSheetId="0">PCTN!$9:$10</definedName>
  </definedNames>
  <calcPr calcId="162913"/>
</workbook>
</file>

<file path=xl/calcChain.xml><?xml version="1.0" encoding="utf-8"?>
<calcChain xmlns="http://schemas.openxmlformats.org/spreadsheetml/2006/main">
  <c r="AT76" i="8" l="1"/>
  <c r="Q9" i="2" l="1"/>
  <c r="I9" i="2"/>
  <c r="T28" i="2"/>
  <c r="L28" i="2"/>
  <c r="T22" i="2"/>
  <c r="L22" i="2"/>
  <c r="T29" i="2"/>
  <c r="T30" i="2"/>
  <c r="I17" i="2"/>
  <c r="L17" i="2" s="1"/>
  <c r="I16" i="2"/>
  <c r="L16" i="2" s="1"/>
  <c r="I18" i="2"/>
  <c r="L18" i="2" s="1"/>
  <c r="T24" i="2"/>
  <c r="L24" i="2"/>
  <c r="Q10" i="2" l="1"/>
  <c r="T10" i="2" s="1"/>
  <c r="I10" i="2"/>
  <c r="L10" i="2" s="1"/>
  <c r="Q11" i="2"/>
  <c r="T11" i="2" s="1"/>
  <c r="I11" i="2"/>
  <c r="L11" i="2" s="1"/>
  <c r="I15" i="2" l="1"/>
  <c r="L15" i="2" s="1"/>
  <c r="O14" i="2"/>
  <c r="G14" i="2"/>
  <c r="R90" i="8"/>
  <c r="I13" i="2"/>
  <c r="L13" i="2" s="1"/>
  <c r="AH83" i="8" l="1"/>
  <c r="AG83" i="8"/>
  <c r="AF83" i="8"/>
  <c r="T23" i="2" l="1"/>
  <c r="L23" i="2"/>
  <c r="T31" i="2"/>
  <c r="L31" i="2"/>
  <c r="T32" i="2" l="1"/>
  <c r="L32" i="2"/>
  <c r="T27" i="2"/>
  <c r="L27" i="2"/>
  <c r="T26" i="2"/>
  <c r="L26" i="2"/>
  <c r="A128" i="8"/>
  <c r="A129" i="8" s="1"/>
  <c r="Q20" i="2"/>
  <c r="T20" i="2" s="1"/>
  <c r="I20" i="2"/>
  <c r="L20" i="2" s="1"/>
  <c r="A131" i="8" l="1"/>
  <c r="A130" i="8"/>
  <c r="A132" i="8" s="1"/>
  <c r="A133" i="8" l="1"/>
  <c r="A135" i="8" s="1"/>
  <c r="A134" i="8"/>
  <c r="A136" i="8" l="1"/>
  <c r="I19" i="2" l="1"/>
  <c r="L19" i="2" s="1"/>
  <c r="A14" i="8" l="1"/>
  <c r="A15" i="8" s="1"/>
  <c r="A16" i="8" s="1"/>
  <c r="A17" i="8" l="1"/>
  <c r="A18" i="8" s="1"/>
  <c r="A19" i="8" s="1"/>
  <c r="Q19" i="2"/>
  <c r="T19" i="2" s="1"/>
  <c r="AO82" i="8"/>
  <c r="AQ82" i="8" s="1"/>
  <c r="AR82" i="8" s="1"/>
  <c r="Y82" i="8"/>
  <c r="Z82" i="8" s="1"/>
  <c r="AA82" i="8" s="1"/>
  <c r="AF82" i="8" l="1"/>
  <c r="AH82" i="8"/>
  <c r="AC82" i="8"/>
  <c r="AE82" i="8" s="1"/>
  <c r="AG82" i="8"/>
  <c r="A20" i="8"/>
  <c r="A21" i="8"/>
  <c r="Q14" i="2"/>
  <c r="T14" i="2" s="1"/>
  <c r="I14" i="2"/>
  <c r="L14" i="2" s="1"/>
  <c r="AJ82" i="8" l="1"/>
  <c r="AT82" i="8" s="1"/>
  <c r="A22" i="8"/>
  <c r="Q12" i="2"/>
  <c r="I12" i="2"/>
  <c r="A23" i="8" l="1"/>
  <c r="A24" i="8"/>
  <c r="AZ144" i="8"/>
  <c r="AY144" i="8"/>
  <c r="A25" i="8" l="1"/>
  <c r="T12" i="2"/>
  <c r="L12" i="2"/>
  <c r="A26" i="8" l="1"/>
  <c r="A27" i="8" l="1"/>
  <c r="AL254" i="8"/>
  <c r="AL255" i="8"/>
  <c r="U254" i="8"/>
  <c r="U255" i="8"/>
  <c r="U256" i="8"/>
  <c r="AZ255" i="8"/>
  <c r="AZ254" i="8"/>
  <c r="AY255" i="8"/>
  <c r="AY254" i="8"/>
  <c r="AY256" i="8" s="1"/>
  <c r="A28" i="8" l="1"/>
  <c r="AZ256" i="8"/>
  <c r="A29" i="8" l="1"/>
  <c r="A30" i="8" l="1"/>
  <c r="L25" i="2"/>
  <c r="A31" i="8" l="1"/>
  <c r="U147" i="8"/>
  <c r="AO147" i="8" s="1"/>
  <c r="AQ147" i="8" s="1"/>
  <c r="AR147" i="8" s="1"/>
  <c r="A32" i="8" l="1"/>
  <c r="Y147" i="8"/>
  <c r="Z147" i="8" s="1"/>
  <c r="AA147" i="8" s="1"/>
  <c r="AC147" i="8" s="1"/>
  <c r="A33" i="8" l="1"/>
  <c r="AH147" i="8"/>
  <c r="AD147" i="8"/>
  <c r="AE147" i="8" s="1"/>
  <c r="AF147" i="8"/>
  <c r="AG147" i="8"/>
  <c r="A34" i="8" l="1"/>
  <c r="AJ147" i="8"/>
  <c r="AT147" i="8" s="1"/>
  <c r="Q25" i="2"/>
  <c r="T25" i="2" s="1"/>
  <c r="A35" i="8" l="1"/>
  <c r="A36" i="8" l="1"/>
  <c r="AO80" i="8"/>
  <c r="AQ80" i="8" s="1"/>
  <c r="AR80" i="8" s="1"/>
  <c r="AO81" i="8"/>
  <c r="AQ81" i="8" s="1"/>
  <c r="AR81" i="8" s="1"/>
  <c r="Y80" i="8"/>
  <c r="Z80" i="8" s="1"/>
  <c r="AA80" i="8" s="1"/>
  <c r="Y81" i="8"/>
  <c r="Z81" i="8" s="1"/>
  <c r="AA81" i="8" s="1"/>
  <c r="A37" i="8" l="1"/>
  <c r="AG80" i="8"/>
  <c r="AH80" i="8"/>
  <c r="AC80" i="8"/>
  <c r="AE80" i="8" s="1"/>
  <c r="AF80" i="8"/>
  <c r="AC81" i="8"/>
  <c r="AE81" i="8" s="1"/>
  <c r="U243" i="8"/>
  <c r="A38" i="8" l="1"/>
  <c r="AJ80" i="8"/>
  <c r="AT80" i="8"/>
  <c r="AJ81" i="8"/>
  <c r="AT81" i="8" s="1"/>
  <c r="A39" i="8" l="1"/>
  <c r="A40" i="8" s="1"/>
  <c r="A41" i="8" s="1"/>
  <c r="A42" i="8" s="1"/>
  <c r="A43" i="8" s="1"/>
  <c r="A44" i="8" s="1"/>
  <c r="A45" i="8" s="1"/>
  <c r="A46" i="8" s="1"/>
  <c r="A47" i="8" s="1"/>
  <c r="A48" i="8" s="1"/>
  <c r="A49" i="8" s="1"/>
  <c r="A50" i="8" s="1"/>
  <c r="A51" i="8" s="1"/>
  <c r="A52" i="8" s="1"/>
  <c r="A53" i="8" s="1"/>
  <c r="A54" i="8" s="1"/>
  <c r="A55" i="8" s="1"/>
  <c r="A56" i="8" s="1"/>
  <c r="A57" i="8" s="1"/>
  <c r="A58" i="8" s="1"/>
  <c r="A59" i="8" s="1"/>
  <c r="A60" i="8" s="1"/>
  <c r="A61" i="8" s="1"/>
  <c r="A62" i="8" s="1"/>
  <c r="A63" i="8" s="1"/>
  <c r="A64" i="8" s="1"/>
  <c r="A65" i="8" s="1"/>
  <c r="A66" i="8" s="1"/>
  <c r="A67" i="8" s="1"/>
  <c r="A68" i="8" s="1"/>
  <c r="A69" i="8" s="1"/>
  <c r="A70" i="8" s="1"/>
  <c r="A71" i="8" s="1"/>
  <c r="A72" i="8" s="1"/>
  <c r="A73" i="8" s="1"/>
  <c r="A74" i="8" s="1"/>
  <c r="A75" i="8" s="1"/>
  <c r="A78" i="8" s="1"/>
  <c r="A79" i="8" s="1"/>
  <c r="A80" i="8" s="1"/>
  <c r="A81" i="8" s="1"/>
  <c r="A82" i="8" s="1"/>
  <c r="A83" i="8" s="1"/>
  <c r="A87" i="8" s="1"/>
  <c r="A88" i="8" s="1"/>
  <c r="A89" i="8" s="1"/>
  <c r="A90" i="8" s="1"/>
  <c r="A91" i="8" s="1"/>
  <c r="A92" i="8" s="1"/>
  <c r="A93" i="8" s="1"/>
  <c r="A94" i="8" s="1"/>
  <c r="A95" i="8" s="1"/>
  <c r="A96" i="8" s="1"/>
  <c r="A97" i="8" s="1"/>
  <c r="A98" i="8" s="1"/>
  <c r="A99" i="8" s="1"/>
  <c r="A100" i="8" s="1"/>
  <c r="A101" i="8" s="1"/>
  <c r="A102" i="8" s="1"/>
  <c r="A103" i="8" s="1"/>
  <c r="A104" i="8" s="1"/>
  <c r="A105" i="8" s="1"/>
  <c r="A106" i="8" s="1"/>
  <c r="A107" i="8" s="1"/>
  <c r="A108" i="8" s="1"/>
  <c r="A109" i="8" s="1"/>
  <c r="A110" i="8" s="1"/>
  <c r="A111" i="8" s="1"/>
  <c r="A112" i="8" s="1"/>
  <c r="A113" i="8" s="1"/>
  <c r="A114" i="8" s="1"/>
  <c r="A115" i="8" s="1"/>
  <c r="A116" i="8" s="1"/>
  <c r="A117" i="8" s="1"/>
  <c r="A118" i="8" s="1"/>
  <c r="A119" i="8" s="1"/>
  <c r="A120" i="8" s="1"/>
  <c r="A121" i="8" s="1"/>
  <c r="A122" i="8" s="1"/>
  <c r="A123" i="8" s="1"/>
  <c r="A124" i="8" s="1"/>
  <c r="A125" i="8" s="1"/>
  <c r="A126" i="8" s="1"/>
  <c r="A127" i="8" s="1"/>
  <c r="AL162" i="8"/>
  <c r="AL154" i="8"/>
  <c r="AL156" i="8"/>
  <c r="AY126" i="8" l="1"/>
  <c r="U154" i="8" l="1"/>
  <c r="AU22" i="8" l="1"/>
  <c r="AL22" i="8"/>
  <c r="U22" i="8"/>
  <c r="Y22" i="8" s="1"/>
  <c r="V22" i="8"/>
  <c r="Z22" i="8" l="1"/>
  <c r="AA22" i="8" s="1"/>
  <c r="AH22" i="8" s="1"/>
  <c r="S22" i="8"/>
  <c r="AO22" i="8"/>
  <c r="AQ22" i="8" s="1"/>
  <c r="AR22" i="8" s="1"/>
  <c r="AG22" i="8" l="1"/>
  <c r="AC22" i="8"/>
  <c r="AE22" i="8" s="1"/>
  <c r="AF22" i="8"/>
  <c r="AJ22" i="8" l="1"/>
  <c r="AT22" i="8" s="1"/>
  <c r="AO79" i="8"/>
  <c r="AQ79" i="8" s="1"/>
  <c r="AR79" i="8" s="1"/>
  <c r="Y79" i="8"/>
  <c r="Z79" i="8" s="1"/>
  <c r="AA79" i="8" s="1"/>
  <c r="AF79" i="8" s="1"/>
  <c r="AO78" i="8"/>
  <c r="AQ78" i="8" s="1"/>
  <c r="AR78" i="8" s="1"/>
  <c r="Y78" i="8"/>
  <c r="Z78" i="8" s="1"/>
  <c r="AA78" i="8" s="1"/>
  <c r="AQ95" i="8"/>
  <c r="AR95" i="8" s="1"/>
  <c r="AL95" i="8"/>
  <c r="U95" i="8"/>
  <c r="Y95" i="8" s="1"/>
  <c r="Z95" i="8" s="1"/>
  <c r="AA95" i="8" s="1"/>
  <c r="AH95" i="8" s="1"/>
  <c r="V95" i="8"/>
  <c r="AL135" i="8"/>
  <c r="AC79" i="8" l="1"/>
  <c r="AE79" i="8" s="1"/>
  <c r="AH79" i="8"/>
  <c r="AC95" i="8"/>
  <c r="AG95" i="8"/>
  <c r="AG79" i="8"/>
  <c r="AF95" i="8"/>
  <c r="AD95" i="8"/>
  <c r="AH78" i="8"/>
  <c r="AC78" i="8"/>
  <c r="AE78" i="8" s="1"/>
  <c r="AF78" i="8"/>
  <c r="AG78" i="8"/>
  <c r="E290" i="8" l="1"/>
  <c r="AJ79" i="8"/>
  <c r="AT79" i="8" s="1"/>
  <c r="AJ78" i="8"/>
  <c r="AT78" i="8" s="1"/>
  <c r="AJ95" i="8"/>
  <c r="AE95" i="8"/>
  <c r="AL272" i="8"/>
  <c r="AL273" i="8"/>
  <c r="AL274" i="8"/>
  <c r="AL275" i="8"/>
  <c r="AL276" i="8"/>
  <c r="AL277" i="8"/>
  <c r="AL278" i="8"/>
  <c r="AL279" i="8"/>
  <c r="AL280" i="8"/>
  <c r="AL250" i="8"/>
  <c r="AL251" i="8"/>
  <c r="AL252" i="8"/>
  <c r="AL217" i="8"/>
  <c r="AL218" i="8"/>
  <c r="AU78" i="8" l="1"/>
  <c r="AT95" i="8"/>
  <c r="AL243" i="8"/>
  <c r="AL244" i="8"/>
  <c r="U272" i="8"/>
  <c r="AU79" i="8" l="1"/>
  <c r="AU80" i="8" l="1"/>
  <c r="AY134" i="8"/>
  <c r="AU82" i="8" l="1"/>
  <c r="AU81" i="8"/>
  <c r="AY136" i="8"/>
  <c r="AY137" i="8" s="1"/>
  <c r="E291" i="8" l="1"/>
  <c r="AU95" i="8" l="1"/>
  <c r="AL160" i="8"/>
  <c r="AL146" i="8"/>
  <c r="AL104" i="8" l="1"/>
  <c r="AW131" i="8" l="1"/>
  <c r="AW130" i="8"/>
  <c r="AW132" i="8" l="1"/>
  <c r="AL158" i="8"/>
  <c r="AL159" i="8"/>
  <c r="AN84" i="8"/>
  <c r="AM84" i="8"/>
  <c r="AM291" i="8" s="1"/>
  <c r="AL84" i="8"/>
  <c r="AK84" i="8"/>
  <c r="AD84" i="8"/>
  <c r="AD291" i="8" s="1"/>
  <c r="W84" i="8"/>
  <c r="W291" i="8" s="1"/>
  <c r="R84" i="8"/>
  <c r="R291" i="8" s="1"/>
  <c r="AU83" i="8"/>
  <c r="AO83" i="8"/>
  <c r="AQ83" i="8" s="1"/>
  <c r="AR83" i="8" s="1"/>
  <c r="Y83" i="8"/>
  <c r="Z83" i="8" s="1"/>
  <c r="AA83" i="8" s="1"/>
  <c r="AC83" i="8" s="1"/>
  <c r="AE83" i="8" s="1"/>
  <c r="Y255" i="8"/>
  <c r="Z255" i="8" s="1"/>
  <c r="AA255" i="8" s="1"/>
  <c r="AC255" i="8" s="1"/>
  <c r="AE255" i="8" s="1"/>
  <c r="AO255" i="8"/>
  <c r="AQ255" i="8" s="1"/>
  <c r="AR255" i="8" s="1"/>
  <c r="Y272" i="8"/>
  <c r="Z272" i="8" s="1"/>
  <c r="AA272" i="8" s="1"/>
  <c r="AO272" i="8"/>
  <c r="AQ272" i="8" s="1"/>
  <c r="AR272" i="8" s="1"/>
  <c r="AO254" i="8"/>
  <c r="AQ254" i="8" s="1"/>
  <c r="AR254" i="8" s="1"/>
  <c r="Y254" i="8"/>
  <c r="Z254" i="8" s="1"/>
  <c r="AA254" i="8" s="1"/>
  <c r="AF254" i="8" s="1"/>
  <c r="AO154" i="8"/>
  <c r="AQ154" i="8" s="1"/>
  <c r="AR154" i="8" s="1"/>
  <c r="Y154" i="8"/>
  <c r="Z154" i="8" s="1"/>
  <c r="AA154" i="8" s="1"/>
  <c r="AH154" i="8" s="1"/>
  <c r="Y243" i="8"/>
  <c r="Z243" i="8" s="1"/>
  <c r="AA243" i="8" s="1"/>
  <c r="AG243" i="8" s="1"/>
  <c r="AO243" i="8"/>
  <c r="AQ243" i="8" s="1"/>
  <c r="AR243" i="8" s="1"/>
  <c r="AL144" i="8"/>
  <c r="AL145" i="8"/>
  <c r="AL142" i="8"/>
  <c r="AL143" i="8"/>
  <c r="AL150" i="8"/>
  <c r="AL151" i="8"/>
  <c r="AL152" i="8"/>
  <c r="AL153" i="8"/>
  <c r="AL168" i="8"/>
  <c r="AL191" i="8"/>
  <c r="AL190" i="8"/>
  <c r="AL205" i="8"/>
  <c r="AL253" i="8"/>
  <c r="AL242" i="8"/>
  <c r="U146" i="8"/>
  <c r="Y146" i="8" s="1"/>
  <c r="U90" i="8"/>
  <c r="AO90" i="8" s="1"/>
  <c r="AQ90" i="8" s="1"/>
  <c r="AR90" i="8" s="1"/>
  <c r="U160" i="8"/>
  <c r="AO160" i="8" s="1"/>
  <c r="AQ160" i="8" s="1"/>
  <c r="AR160" i="8" s="1"/>
  <c r="U155" i="8"/>
  <c r="U84" i="8" s="1"/>
  <c r="U291" i="8" s="1"/>
  <c r="N88" i="8"/>
  <c r="N89" i="8"/>
  <c r="N90" i="8"/>
  <c r="N91" i="8"/>
  <c r="N92" i="8"/>
  <c r="N93" i="8"/>
  <c r="N96" i="8"/>
  <c r="N97" i="8"/>
  <c r="N98" i="8"/>
  <c r="N99" i="8"/>
  <c r="N100" i="8"/>
  <c r="N101" i="8"/>
  <c r="N102" i="8"/>
  <c r="N103" i="8"/>
  <c r="N104" i="8"/>
  <c r="N105" i="8"/>
  <c r="N106" i="8"/>
  <c r="N107" i="8"/>
  <c r="N108" i="8"/>
  <c r="N109" i="8"/>
  <c r="N111" i="8"/>
  <c r="N112" i="8"/>
  <c r="N113" i="8"/>
  <c r="N115" i="8"/>
  <c r="N116" i="8"/>
  <c r="N117" i="8"/>
  <c r="N118" i="8"/>
  <c r="N119" i="8"/>
  <c r="N120" i="8"/>
  <c r="N121" i="8"/>
  <c r="N122" i="8"/>
  <c r="N123" i="8"/>
  <c r="N124" i="8"/>
  <c r="N125" i="8"/>
  <c r="N126" i="8"/>
  <c r="N127" i="8"/>
  <c r="N128" i="8"/>
  <c r="N135" i="8"/>
  <c r="N129" i="8"/>
  <c r="N130" i="8"/>
  <c r="N132" i="8"/>
  <c r="N133" i="8"/>
  <c r="N134" i="8"/>
  <c r="N136" i="8"/>
  <c r="N137" i="8"/>
  <c r="N138" i="8"/>
  <c r="N139" i="8"/>
  <c r="N140" i="8"/>
  <c r="N141" i="8"/>
  <c r="N142" i="8"/>
  <c r="N143" i="8"/>
  <c r="N145" i="8"/>
  <c r="N157" i="8"/>
  <c r="N148" i="8"/>
  <c r="N161" i="8"/>
  <c r="N149" i="8"/>
  <c r="N150" i="8"/>
  <c r="N151" i="8"/>
  <c r="N152" i="8"/>
  <c r="N153" i="8"/>
  <c r="N156" i="8"/>
  <c r="N162" i="8"/>
  <c r="N163" i="8"/>
  <c r="N164" i="8"/>
  <c r="N165" i="8"/>
  <c r="N166" i="8"/>
  <c r="N167" i="8"/>
  <c r="N168" i="8"/>
  <c r="N169" i="8"/>
  <c r="N170" i="8"/>
  <c r="N171" i="8"/>
  <c r="N172" i="8"/>
  <c r="N173" i="8"/>
  <c r="N174" i="8"/>
  <c r="N175" i="8"/>
  <c r="N176" i="8"/>
  <c r="N177" i="8"/>
  <c r="N178" i="8"/>
  <c r="N179" i="8"/>
  <c r="N180" i="8"/>
  <c r="N181" i="8"/>
  <c r="N182" i="8"/>
  <c r="N183" i="8"/>
  <c r="N184" i="8"/>
  <c r="N185" i="8"/>
  <c r="N186" i="8"/>
  <c r="N187" i="8"/>
  <c r="N188" i="8"/>
  <c r="N189" i="8"/>
  <c r="N190" i="8"/>
  <c r="N191" i="8"/>
  <c r="N193" i="8"/>
  <c r="N192" i="8"/>
  <c r="N194" i="8"/>
  <c r="N195" i="8"/>
  <c r="N196" i="8"/>
  <c r="N197" i="8"/>
  <c r="N198" i="8"/>
  <c r="N199" i="8"/>
  <c r="N200" i="8"/>
  <c r="N201" i="8"/>
  <c r="N202" i="8"/>
  <c r="N203" i="8"/>
  <c r="N204" i="8"/>
  <c r="N205" i="8"/>
  <c r="N206" i="8"/>
  <c r="N207" i="8"/>
  <c r="N208" i="8"/>
  <c r="N209" i="8"/>
  <c r="N210" i="8"/>
  <c r="N211" i="8"/>
  <c r="N212" i="8"/>
  <c r="N213" i="8"/>
  <c r="N214" i="8"/>
  <c r="N215" i="8"/>
  <c r="N216" i="8"/>
  <c r="N217" i="8"/>
  <c r="N218" i="8"/>
  <c r="N219" i="8"/>
  <c r="N220" i="8"/>
  <c r="N221" i="8"/>
  <c r="N222" i="8"/>
  <c r="N223" i="8"/>
  <c r="N224" i="8"/>
  <c r="N225" i="8"/>
  <c r="N226" i="8"/>
  <c r="N227" i="8"/>
  <c r="N228" i="8"/>
  <c r="N229" i="8"/>
  <c r="N230" i="8"/>
  <c r="N231" i="8"/>
  <c r="N232" i="8"/>
  <c r="N233" i="8"/>
  <c r="N234" i="8"/>
  <c r="N235" i="8"/>
  <c r="N236" i="8"/>
  <c r="N237" i="8"/>
  <c r="N238" i="8"/>
  <c r="N239" i="8"/>
  <c r="N240" i="8"/>
  <c r="N241" i="8"/>
  <c r="N242" i="8"/>
  <c r="N244" i="8"/>
  <c r="N114" i="8"/>
  <c r="N245" i="8"/>
  <c r="N246" i="8"/>
  <c r="N247" i="8"/>
  <c r="N248" i="8"/>
  <c r="N249" i="8"/>
  <c r="N250" i="8"/>
  <c r="N251" i="8"/>
  <c r="N252" i="8"/>
  <c r="N253" i="8"/>
  <c r="N256" i="8"/>
  <c r="N257" i="8"/>
  <c r="N258" i="8"/>
  <c r="N259" i="8"/>
  <c r="N260" i="8"/>
  <c r="N261" i="8"/>
  <c r="N262" i="8"/>
  <c r="N263" i="8"/>
  <c r="N264" i="8"/>
  <c r="N265" i="8"/>
  <c r="N266" i="8"/>
  <c r="N267" i="8"/>
  <c r="N268" i="8"/>
  <c r="N269" i="8"/>
  <c r="N270" i="8"/>
  <c r="N271" i="8"/>
  <c r="N273" i="8"/>
  <c r="N274" i="8"/>
  <c r="N275" i="8"/>
  <c r="N276" i="8"/>
  <c r="N277" i="8"/>
  <c r="N278" i="8"/>
  <c r="N280" i="8"/>
  <c r="N281" i="8"/>
  <c r="N282" i="8"/>
  <c r="N283" i="8"/>
  <c r="N284" i="8"/>
  <c r="N285" i="8"/>
  <c r="N87" i="8"/>
  <c r="N144" i="8"/>
  <c r="N159" i="8"/>
  <c r="N158" i="8"/>
  <c r="N279" i="8"/>
  <c r="N17" i="8"/>
  <c r="N18" i="8"/>
  <c r="N19" i="8"/>
  <c r="N20" i="8"/>
  <c r="N21" i="8"/>
  <c r="N23" i="8"/>
  <c r="N24" i="8"/>
  <c r="N25" i="8"/>
  <c r="N26" i="8"/>
  <c r="N27" i="8"/>
  <c r="N28" i="8"/>
  <c r="N29" i="8"/>
  <c r="N30" i="8"/>
  <c r="N31" i="8"/>
  <c r="N32" i="8"/>
  <c r="N33" i="8"/>
  <c r="N34" i="8"/>
  <c r="N35" i="8"/>
  <c r="N36" i="8"/>
  <c r="N37" i="8"/>
  <c r="N38" i="8"/>
  <c r="N39" i="8"/>
  <c r="N40" i="8"/>
  <c r="N41" i="8"/>
  <c r="N42" i="8"/>
  <c r="N43" i="8"/>
  <c r="N44" i="8"/>
  <c r="N45" i="8"/>
  <c r="N46" i="8"/>
  <c r="N47" i="8"/>
  <c r="N48" i="8"/>
  <c r="N49" i="8"/>
  <c r="N50" i="8"/>
  <c r="N51" i="8"/>
  <c r="N52" i="8"/>
  <c r="N53" i="8"/>
  <c r="N54" i="8"/>
  <c r="N55" i="8"/>
  <c r="N56" i="8"/>
  <c r="N57" i="8"/>
  <c r="N58" i="8"/>
  <c r="N59" i="8"/>
  <c r="N60" i="8"/>
  <c r="N61" i="8"/>
  <c r="N62" i="8"/>
  <c r="N63" i="8"/>
  <c r="N64" i="8"/>
  <c r="N65" i="8"/>
  <c r="N66" i="8"/>
  <c r="N67" i="8"/>
  <c r="N68" i="8"/>
  <c r="N69" i="8"/>
  <c r="N70" i="8"/>
  <c r="N71" i="8"/>
  <c r="N72" i="8"/>
  <c r="N73" i="8"/>
  <c r="N74" i="8"/>
  <c r="N75" i="8"/>
  <c r="N15" i="8"/>
  <c r="N16" i="8"/>
  <c r="AI286" i="8"/>
  <c r="AI292" i="8" s="1"/>
  <c r="AL88" i="8"/>
  <c r="AL89" i="8"/>
  <c r="AL90" i="8"/>
  <c r="AL91" i="8"/>
  <c r="AL92" i="8"/>
  <c r="AL93" i="8"/>
  <c r="AU88" i="8"/>
  <c r="AU89" i="8"/>
  <c r="AU87" i="8"/>
  <c r="AU100" i="8"/>
  <c r="AU101" i="8"/>
  <c r="AU102" i="8"/>
  <c r="AU103" i="8"/>
  <c r="AU104" i="8"/>
  <c r="AU105" i="8"/>
  <c r="AU106" i="8"/>
  <c r="AU107" i="8"/>
  <c r="AU118" i="8"/>
  <c r="AU119" i="8"/>
  <c r="AU120" i="8"/>
  <c r="AU121" i="8"/>
  <c r="AL239" i="8"/>
  <c r="AL240" i="8"/>
  <c r="AL241" i="8"/>
  <c r="AL265" i="8"/>
  <c r="AL266" i="8"/>
  <c r="AL267" i="8"/>
  <c r="AL268" i="8"/>
  <c r="AL269" i="8"/>
  <c r="AL270" i="8"/>
  <c r="AL271" i="8"/>
  <c r="AN286" i="8"/>
  <c r="AN292" i="8" s="1"/>
  <c r="AM286" i="8"/>
  <c r="AM292" i="8" s="1"/>
  <c r="AK286" i="8"/>
  <c r="AK292" i="8" s="1"/>
  <c r="AB286" i="8"/>
  <c r="AL166" i="8"/>
  <c r="U166" i="8"/>
  <c r="AO166" i="8" s="1"/>
  <c r="AQ166" i="8" s="1"/>
  <c r="AR166" i="8" s="1"/>
  <c r="K166" i="8"/>
  <c r="B166" i="8"/>
  <c r="AX11" i="11"/>
  <c r="AY11" i="11"/>
  <c r="AY13" i="11"/>
  <c r="B14" i="11"/>
  <c r="K14" i="11"/>
  <c r="T14" i="11"/>
  <c r="U14" i="11"/>
  <c r="W14" i="11"/>
  <c r="X14" i="11" s="1"/>
  <c r="R14" i="11" s="1"/>
  <c r="AK14" i="11"/>
  <c r="AT14" i="11"/>
  <c r="AY14" i="11"/>
  <c r="B15" i="11"/>
  <c r="K15" i="11"/>
  <c r="T15" i="11"/>
  <c r="U15" i="11"/>
  <c r="AK15" i="11"/>
  <c r="AT15" i="11"/>
  <c r="B16" i="11"/>
  <c r="K16" i="11"/>
  <c r="T16" i="11"/>
  <c r="U16" i="11"/>
  <c r="W16" i="11"/>
  <c r="X16" i="8" s="1"/>
  <c r="AK16" i="11"/>
  <c r="AN16" i="11"/>
  <c r="AP16" i="11" s="1"/>
  <c r="AQ16" i="11" s="1"/>
  <c r="AT16" i="11"/>
  <c r="B17" i="11"/>
  <c r="K17" i="11"/>
  <c r="T17" i="11"/>
  <c r="U17" i="11"/>
  <c r="AK17" i="11"/>
  <c r="AT17" i="11"/>
  <c r="B18" i="11"/>
  <c r="K18" i="11"/>
  <c r="T18" i="11"/>
  <c r="T87" i="11" s="1"/>
  <c r="S87" i="11" s="1"/>
  <c r="U18" i="11"/>
  <c r="W18" i="11"/>
  <c r="AK18" i="11"/>
  <c r="AT18" i="11"/>
  <c r="B19" i="11"/>
  <c r="K19" i="11"/>
  <c r="T19" i="11"/>
  <c r="U19" i="11"/>
  <c r="W19" i="11"/>
  <c r="X19" i="11" s="1"/>
  <c r="AK19" i="11"/>
  <c r="AN19" i="11"/>
  <c r="AP19" i="11"/>
  <c r="AQ19" i="11" s="1"/>
  <c r="AT19" i="11"/>
  <c r="B20" i="11"/>
  <c r="K20" i="11"/>
  <c r="T20" i="11"/>
  <c r="U20" i="11"/>
  <c r="X20" i="11"/>
  <c r="AK20" i="11"/>
  <c r="AT20" i="11"/>
  <c r="B21" i="11"/>
  <c r="T21" i="11"/>
  <c r="X21" i="11" s="1"/>
  <c r="U21" i="11"/>
  <c r="AK21" i="11"/>
  <c r="AT21" i="11"/>
  <c r="B22" i="11"/>
  <c r="T22" i="11"/>
  <c r="U22" i="11"/>
  <c r="X22" i="11"/>
  <c r="AK22" i="11"/>
  <c r="AT22" i="11"/>
  <c r="B23" i="11"/>
  <c r="T23" i="11"/>
  <c r="U23" i="11"/>
  <c r="W23" i="11"/>
  <c r="X23" i="11" s="1"/>
  <c r="Y23" i="11" s="1"/>
  <c r="Z23" i="11" s="1"/>
  <c r="AF23" i="11" s="1"/>
  <c r="AK23" i="11"/>
  <c r="AN23" i="11"/>
  <c r="AP23" i="11" s="1"/>
  <c r="AQ23" i="11" s="1"/>
  <c r="AT23" i="11"/>
  <c r="B24" i="11"/>
  <c r="T24" i="11"/>
  <c r="AN24" i="11"/>
  <c r="AP24" i="11" s="1"/>
  <c r="AQ24" i="11" s="1"/>
  <c r="U24" i="11"/>
  <c r="W24" i="11"/>
  <c r="X25" i="8" s="1"/>
  <c r="AK24" i="11"/>
  <c r="AT24" i="11"/>
  <c r="B25" i="11"/>
  <c r="T25" i="11"/>
  <c r="X25" i="11" s="1"/>
  <c r="U25" i="11"/>
  <c r="AK25" i="11"/>
  <c r="AT25" i="11"/>
  <c r="B26" i="11"/>
  <c r="K26" i="11"/>
  <c r="T26" i="11"/>
  <c r="AN26" i="11" s="1"/>
  <c r="AP26" i="11" s="1"/>
  <c r="AQ26" i="11" s="1"/>
  <c r="U26" i="11"/>
  <c r="W26" i="11"/>
  <c r="AK26" i="11"/>
  <c r="AT26" i="11"/>
  <c r="B27" i="11"/>
  <c r="K27" i="11"/>
  <c r="T27" i="11"/>
  <c r="U27" i="11"/>
  <c r="W27" i="11"/>
  <c r="X27" i="11" s="1"/>
  <c r="Y27" i="11" s="1"/>
  <c r="Z27" i="11" s="1"/>
  <c r="AF27" i="11" s="1"/>
  <c r="AK27" i="11"/>
  <c r="AN27" i="11"/>
  <c r="AP27" i="11"/>
  <c r="AQ27" i="11" s="1"/>
  <c r="AT27" i="11"/>
  <c r="B28" i="11"/>
  <c r="K28" i="11"/>
  <c r="T28" i="11"/>
  <c r="U28" i="11"/>
  <c r="W28" i="11"/>
  <c r="X28" i="11" s="1"/>
  <c r="Y28" i="11" s="1"/>
  <c r="Z28" i="11" s="1"/>
  <c r="AK28" i="11"/>
  <c r="AN28" i="11"/>
  <c r="AP28" i="11" s="1"/>
  <c r="AQ28" i="11" s="1"/>
  <c r="AT28" i="11"/>
  <c r="B29" i="11"/>
  <c r="K29" i="11"/>
  <c r="T29" i="11"/>
  <c r="U29" i="11"/>
  <c r="W29" i="11"/>
  <c r="AK29" i="11"/>
  <c r="AT29" i="11"/>
  <c r="B30" i="11"/>
  <c r="K30" i="11"/>
  <c r="T30" i="11"/>
  <c r="U30" i="11"/>
  <c r="W30" i="11"/>
  <c r="X30" i="11" s="1"/>
  <c r="AK30" i="11"/>
  <c r="AN30" i="11"/>
  <c r="AP30" i="11" s="1"/>
  <c r="AQ30" i="11" s="1"/>
  <c r="AT30" i="11"/>
  <c r="B31" i="11"/>
  <c r="K31" i="11"/>
  <c r="T31" i="11"/>
  <c r="U31" i="11"/>
  <c r="W31" i="11"/>
  <c r="X31" i="11" s="1"/>
  <c r="R31" i="11" s="1"/>
  <c r="AK31" i="11"/>
  <c r="AT31" i="11"/>
  <c r="B32" i="11"/>
  <c r="K32" i="11"/>
  <c r="T32" i="11"/>
  <c r="U32" i="11"/>
  <c r="AK32" i="11"/>
  <c r="AN32" i="11"/>
  <c r="AP32" i="11" s="1"/>
  <c r="AQ32" i="11" s="1"/>
  <c r="AT32" i="11"/>
  <c r="B33" i="11"/>
  <c r="K33" i="11"/>
  <c r="T33" i="11"/>
  <c r="U33" i="11"/>
  <c r="AK33" i="11"/>
  <c r="AT33" i="11"/>
  <c r="B34" i="11"/>
  <c r="K34" i="11"/>
  <c r="T34" i="11"/>
  <c r="X34" i="11" s="1"/>
  <c r="Y34" i="11" s="1"/>
  <c r="Z34" i="11" s="1"/>
  <c r="U34" i="11"/>
  <c r="AK34" i="11"/>
  <c r="AT34" i="11"/>
  <c r="B35" i="11"/>
  <c r="K35" i="11"/>
  <c r="T35" i="11"/>
  <c r="U35" i="11"/>
  <c r="AK35" i="11"/>
  <c r="AT35" i="11"/>
  <c r="B36" i="11"/>
  <c r="K36" i="11"/>
  <c r="T36" i="11"/>
  <c r="X36" i="11" s="1"/>
  <c r="U36" i="11"/>
  <c r="AK36" i="11"/>
  <c r="AT36" i="11"/>
  <c r="B37" i="11"/>
  <c r="K37" i="11"/>
  <c r="T37" i="11"/>
  <c r="X37" i="11" s="1"/>
  <c r="U37" i="11"/>
  <c r="AK37" i="11"/>
  <c r="AN37" i="11"/>
  <c r="AP37" i="11"/>
  <c r="AQ37" i="11" s="1"/>
  <c r="AT37" i="11"/>
  <c r="B38" i="11"/>
  <c r="K38" i="11"/>
  <c r="T38" i="11"/>
  <c r="X38" i="11" s="1"/>
  <c r="U38" i="11"/>
  <c r="AK38" i="11"/>
  <c r="AT38" i="11"/>
  <c r="B39" i="11"/>
  <c r="K39" i="11"/>
  <c r="T39" i="11"/>
  <c r="U39" i="11"/>
  <c r="AK39" i="11"/>
  <c r="AT39" i="11"/>
  <c r="B40" i="11"/>
  <c r="K40" i="11"/>
  <c r="T40" i="11"/>
  <c r="U40" i="11"/>
  <c r="AK40" i="11"/>
  <c r="AT40" i="11"/>
  <c r="B41" i="11"/>
  <c r="K41" i="11"/>
  <c r="T41" i="11"/>
  <c r="AN41" i="11" s="1"/>
  <c r="AP41" i="11" s="1"/>
  <c r="AQ41" i="11" s="1"/>
  <c r="U41" i="11"/>
  <c r="AK41" i="11"/>
  <c r="AT41" i="11"/>
  <c r="B42" i="11"/>
  <c r="T42" i="11"/>
  <c r="R42" i="11" s="1"/>
  <c r="U42" i="11"/>
  <c r="X42" i="11"/>
  <c r="AK42" i="11"/>
  <c r="AT42" i="11"/>
  <c r="B43" i="11"/>
  <c r="K43" i="11"/>
  <c r="T43" i="11"/>
  <c r="X43" i="11" s="1"/>
  <c r="U43" i="11"/>
  <c r="AK43" i="11"/>
  <c r="AN43" i="11"/>
  <c r="AP43" i="11"/>
  <c r="AQ43" i="11" s="1"/>
  <c r="AT43" i="11"/>
  <c r="B44" i="11"/>
  <c r="K44" i="11"/>
  <c r="T44" i="11"/>
  <c r="U44" i="11"/>
  <c r="AK44" i="11"/>
  <c r="AT44" i="11"/>
  <c r="B45" i="11"/>
  <c r="K45" i="11"/>
  <c r="T45" i="11"/>
  <c r="U45" i="11"/>
  <c r="AK45" i="11"/>
  <c r="AT45" i="11"/>
  <c r="B46" i="11"/>
  <c r="K46" i="11"/>
  <c r="T46" i="11"/>
  <c r="U46" i="11"/>
  <c r="AK46" i="11"/>
  <c r="AT46" i="11"/>
  <c r="B47" i="11"/>
  <c r="T47" i="11"/>
  <c r="U47" i="11"/>
  <c r="W47" i="11"/>
  <c r="AK47" i="11"/>
  <c r="AT47" i="11"/>
  <c r="B48" i="11"/>
  <c r="K48" i="11"/>
  <c r="T48" i="11"/>
  <c r="U48" i="11"/>
  <c r="AK48" i="11"/>
  <c r="AT48" i="11"/>
  <c r="AX48" i="11"/>
  <c r="B49" i="11"/>
  <c r="T49" i="11"/>
  <c r="U49" i="11"/>
  <c r="AK49" i="11"/>
  <c r="AT49" i="11"/>
  <c r="AX49" i="11"/>
  <c r="B50" i="11"/>
  <c r="K50" i="11"/>
  <c r="T50" i="11"/>
  <c r="X50" i="11" s="1"/>
  <c r="U50" i="11"/>
  <c r="AK50" i="11"/>
  <c r="AN50" i="11"/>
  <c r="AP50" i="11" s="1"/>
  <c r="AQ50" i="11" s="1"/>
  <c r="AT50" i="11"/>
  <c r="AX50" i="11"/>
  <c r="B51" i="11"/>
  <c r="K51" i="11"/>
  <c r="T51" i="11"/>
  <c r="X51" i="11" s="1"/>
  <c r="U51" i="11"/>
  <c r="AK51" i="11"/>
  <c r="AT51" i="11"/>
  <c r="AX51" i="11"/>
  <c r="B52" i="11"/>
  <c r="K52" i="11"/>
  <c r="R52" i="11"/>
  <c r="T52" i="11"/>
  <c r="U52" i="11"/>
  <c r="X52" i="11"/>
  <c r="Y52" i="11"/>
  <c r="Z52" i="11" s="1"/>
  <c r="AK52" i="11"/>
  <c r="AN52" i="11"/>
  <c r="AP52" i="11" s="1"/>
  <c r="AQ52" i="11" s="1"/>
  <c r="AT52" i="11"/>
  <c r="AX52" i="11"/>
  <c r="B53" i="11"/>
  <c r="K53" i="11"/>
  <c r="T53" i="11"/>
  <c r="U53" i="11"/>
  <c r="W53" i="11"/>
  <c r="X31" i="8" s="1"/>
  <c r="AK53" i="11"/>
  <c r="AN53" i="11"/>
  <c r="AP53" i="11" s="1"/>
  <c r="AQ53" i="11" s="1"/>
  <c r="AT53" i="11"/>
  <c r="B54" i="11"/>
  <c r="K54" i="11"/>
  <c r="T54" i="11"/>
  <c r="U54" i="11"/>
  <c r="X54" i="11"/>
  <c r="AK54" i="11"/>
  <c r="AN54" i="11"/>
  <c r="AP54" i="11" s="1"/>
  <c r="AQ54" i="11" s="1"/>
  <c r="AT54" i="11"/>
  <c r="K55" i="11"/>
  <c r="T55" i="11"/>
  <c r="X55" i="11"/>
  <c r="U55" i="11"/>
  <c r="AK55" i="11"/>
  <c r="AN55" i="11"/>
  <c r="AP55" i="11"/>
  <c r="AQ55" i="11" s="1"/>
  <c r="AT55" i="11"/>
  <c r="B56" i="11"/>
  <c r="K56" i="11"/>
  <c r="T56" i="11"/>
  <c r="U56" i="11"/>
  <c r="AK56" i="11"/>
  <c r="AT56" i="11"/>
  <c r="B57" i="11"/>
  <c r="K57" i="11"/>
  <c r="T57" i="11"/>
  <c r="X57" i="11" s="1"/>
  <c r="U57" i="11"/>
  <c r="AK57" i="11"/>
  <c r="AT57" i="11"/>
  <c r="B58" i="11"/>
  <c r="K58" i="11"/>
  <c r="T58" i="11"/>
  <c r="X58" i="11" s="1"/>
  <c r="U58" i="11"/>
  <c r="AK58" i="11"/>
  <c r="AT58" i="11"/>
  <c r="B59" i="11"/>
  <c r="K59" i="11"/>
  <c r="T59" i="11"/>
  <c r="X59" i="11"/>
  <c r="U59" i="11"/>
  <c r="AK59" i="11"/>
  <c r="AN59" i="11"/>
  <c r="AP59" i="11"/>
  <c r="AQ59" i="11" s="1"/>
  <c r="AT59" i="11"/>
  <c r="B60" i="11"/>
  <c r="K60" i="11"/>
  <c r="T60" i="11"/>
  <c r="X60" i="11"/>
  <c r="U60" i="11"/>
  <c r="AK60" i="11"/>
  <c r="AT60" i="11"/>
  <c r="B61" i="11"/>
  <c r="K61" i="11"/>
  <c r="T61" i="11"/>
  <c r="X61" i="11" s="1"/>
  <c r="U61" i="11"/>
  <c r="AK61" i="11"/>
  <c r="AN61" i="11"/>
  <c r="AP61" i="11"/>
  <c r="AQ61" i="11" s="1"/>
  <c r="AT61" i="11"/>
  <c r="B62" i="11"/>
  <c r="K62" i="11"/>
  <c r="T62" i="11"/>
  <c r="U62" i="11"/>
  <c r="W62" i="11"/>
  <c r="X62" i="11" s="1"/>
  <c r="Y62" i="11" s="1"/>
  <c r="AK62" i="11"/>
  <c r="AN62" i="11"/>
  <c r="AP62" i="11"/>
  <c r="AQ62" i="11" s="1"/>
  <c r="AT62" i="11"/>
  <c r="B63" i="11"/>
  <c r="T63" i="11"/>
  <c r="U63" i="11"/>
  <c r="W63" i="11"/>
  <c r="AK63" i="11"/>
  <c r="AT63" i="11"/>
  <c r="B64" i="11"/>
  <c r="K64" i="11"/>
  <c r="T64" i="11"/>
  <c r="X64" i="11" s="1"/>
  <c r="U64" i="11"/>
  <c r="AK64" i="11"/>
  <c r="AT64" i="11"/>
  <c r="B65" i="11"/>
  <c r="K65" i="11"/>
  <c r="T65" i="11"/>
  <c r="X65" i="11" s="1"/>
  <c r="U65" i="11"/>
  <c r="AK65" i="11"/>
  <c r="AT65" i="11"/>
  <c r="B66" i="11"/>
  <c r="K66" i="11"/>
  <c r="T66" i="11"/>
  <c r="X66" i="11" s="1"/>
  <c r="U66" i="11"/>
  <c r="AK66" i="11"/>
  <c r="AN66" i="11"/>
  <c r="AP66" i="11"/>
  <c r="AQ66" i="11" s="1"/>
  <c r="AT66" i="11"/>
  <c r="B67" i="11"/>
  <c r="K67" i="11"/>
  <c r="T67" i="11"/>
  <c r="U67" i="11"/>
  <c r="X67" i="11"/>
  <c r="AK67" i="11"/>
  <c r="AT67" i="11"/>
  <c r="B68" i="11"/>
  <c r="K68" i="11"/>
  <c r="T68" i="11"/>
  <c r="X68" i="11" s="1"/>
  <c r="U68" i="11"/>
  <c r="AK68" i="11"/>
  <c r="AN68" i="11"/>
  <c r="AP68" i="11" s="1"/>
  <c r="AQ68" i="11" s="1"/>
  <c r="AT68" i="11"/>
  <c r="B69" i="11"/>
  <c r="K69" i="11"/>
  <c r="T69" i="11"/>
  <c r="U69" i="11"/>
  <c r="AK69" i="11"/>
  <c r="AT69" i="11"/>
  <c r="B70" i="11"/>
  <c r="K70" i="11"/>
  <c r="T70" i="11"/>
  <c r="U70" i="11"/>
  <c r="X70" i="11"/>
  <c r="AK70" i="11"/>
  <c r="AN70" i="11"/>
  <c r="AP70" i="11" s="1"/>
  <c r="AQ70" i="11" s="1"/>
  <c r="AT70" i="11"/>
  <c r="B71" i="11"/>
  <c r="K71" i="11"/>
  <c r="T71" i="11"/>
  <c r="U71" i="11"/>
  <c r="AK71" i="11"/>
  <c r="AT71" i="11"/>
  <c r="B72" i="11"/>
  <c r="K72" i="11"/>
  <c r="T72" i="11"/>
  <c r="U72" i="11"/>
  <c r="AK72" i="11"/>
  <c r="AT72" i="11"/>
  <c r="B73" i="11"/>
  <c r="K73" i="11"/>
  <c r="T73" i="11"/>
  <c r="AN73" i="11" s="1"/>
  <c r="AP73" i="11" s="1"/>
  <c r="AQ73" i="11" s="1"/>
  <c r="U73" i="11"/>
  <c r="AK73" i="11"/>
  <c r="AT73" i="11"/>
  <c r="B74" i="11"/>
  <c r="K74" i="11"/>
  <c r="T74" i="11"/>
  <c r="U74" i="11"/>
  <c r="W74" i="11"/>
  <c r="X28" i="8" s="1"/>
  <c r="AK74" i="11"/>
  <c r="AN74" i="11"/>
  <c r="AP74" i="11" s="1"/>
  <c r="AQ74" i="11" s="1"/>
  <c r="AT74" i="11"/>
  <c r="B75" i="11"/>
  <c r="K75" i="11"/>
  <c r="T75" i="11"/>
  <c r="U75" i="11"/>
  <c r="W75" i="11"/>
  <c r="AK75" i="11"/>
  <c r="AN75" i="11"/>
  <c r="AP75" i="11" s="1"/>
  <c r="AQ75" i="11" s="1"/>
  <c r="AT75" i="11"/>
  <c r="B76" i="11"/>
  <c r="K76" i="11"/>
  <c r="T76" i="11"/>
  <c r="U76" i="11"/>
  <c r="AK76" i="11"/>
  <c r="AT76" i="11"/>
  <c r="B77" i="11"/>
  <c r="K77" i="11"/>
  <c r="T77" i="11"/>
  <c r="U77" i="11"/>
  <c r="AK77" i="11"/>
  <c r="AT77" i="11"/>
  <c r="B78" i="11"/>
  <c r="K78" i="11"/>
  <c r="T78" i="11"/>
  <c r="R78" i="11" s="1"/>
  <c r="U78" i="11"/>
  <c r="X78" i="11"/>
  <c r="AK78" i="11"/>
  <c r="AT78" i="11"/>
  <c r="B79" i="11"/>
  <c r="K79" i="11"/>
  <c r="T79" i="11"/>
  <c r="X79" i="11" s="1"/>
  <c r="U79" i="11"/>
  <c r="AK79" i="11"/>
  <c r="AN79" i="11"/>
  <c r="AP79" i="11"/>
  <c r="AQ79" i="11" s="1"/>
  <c r="AT79" i="11"/>
  <c r="B80" i="11"/>
  <c r="K80" i="11"/>
  <c r="T80" i="11"/>
  <c r="U80" i="11"/>
  <c r="AK80" i="11"/>
  <c r="AT80" i="11"/>
  <c r="B81" i="11"/>
  <c r="K81" i="11"/>
  <c r="T81" i="11"/>
  <c r="U81" i="11"/>
  <c r="W81" i="11"/>
  <c r="X81" i="11" s="1"/>
  <c r="Y81" i="11" s="1"/>
  <c r="AK81" i="11"/>
  <c r="AN81" i="11"/>
  <c r="AP81" i="11" s="1"/>
  <c r="AQ81" i="11" s="1"/>
  <c r="AT81" i="11"/>
  <c r="B82" i="11"/>
  <c r="K82" i="11"/>
  <c r="T82" i="11"/>
  <c r="U82" i="11"/>
  <c r="W82" i="11"/>
  <c r="AK82" i="11"/>
  <c r="AN82" i="11"/>
  <c r="AP82" i="11" s="1"/>
  <c r="AQ82" i="11" s="1"/>
  <c r="AT82" i="11"/>
  <c r="B83" i="11"/>
  <c r="K83" i="11"/>
  <c r="T83" i="11"/>
  <c r="X83" i="11" s="1"/>
  <c r="U83" i="11"/>
  <c r="AK83" i="11"/>
  <c r="AT83" i="11"/>
  <c r="B84" i="11"/>
  <c r="K84" i="11"/>
  <c r="T84" i="11"/>
  <c r="U84" i="11"/>
  <c r="W84" i="11"/>
  <c r="AK84" i="11"/>
  <c r="AP84" i="11"/>
  <c r="AQ84" i="11"/>
  <c r="AT84" i="11"/>
  <c r="B85" i="11"/>
  <c r="K85" i="11"/>
  <c r="T85" i="11"/>
  <c r="U85" i="11"/>
  <c r="W85" i="11"/>
  <c r="AK85" i="11"/>
  <c r="AN85" i="11"/>
  <c r="AP85" i="11" s="1"/>
  <c r="AQ85" i="11" s="1"/>
  <c r="AT85" i="11"/>
  <c r="B86" i="11"/>
  <c r="K86" i="11"/>
  <c r="T86" i="11"/>
  <c r="U86" i="11"/>
  <c r="W86" i="11"/>
  <c r="AK86" i="11"/>
  <c r="AT86" i="11"/>
  <c r="B87" i="11"/>
  <c r="G87" i="11"/>
  <c r="H87" i="11"/>
  <c r="Q87" i="11"/>
  <c r="V87" i="11"/>
  <c r="AH87" i="11"/>
  <c r="AJ87" i="11"/>
  <c r="AR87" i="11"/>
  <c r="B88" i="11"/>
  <c r="T89" i="11"/>
  <c r="AN89" i="11" s="1"/>
  <c r="AP89" i="11" s="1"/>
  <c r="AQ89" i="11" s="1"/>
  <c r="W89" i="11"/>
  <c r="B90" i="11"/>
  <c r="T90" i="11"/>
  <c r="AN90" i="11" s="1"/>
  <c r="AP90" i="11" s="1"/>
  <c r="AQ90" i="11" s="1"/>
  <c r="W90" i="11"/>
  <c r="B91" i="11"/>
  <c r="T91" i="11"/>
  <c r="W91" i="11"/>
  <c r="AN91" i="11"/>
  <c r="AP91" i="11" s="1"/>
  <c r="AQ91" i="11" s="1"/>
  <c r="B92" i="11"/>
  <c r="T92" i="11"/>
  <c r="W92" i="11"/>
  <c r="T93" i="11"/>
  <c r="AN93" i="11" s="1"/>
  <c r="W93" i="11"/>
  <c r="AP93" i="11"/>
  <c r="AQ93" i="11"/>
  <c r="T94" i="11"/>
  <c r="AN94" i="11" s="1"/>
  <c r="AP94" i="11"/>
  <c r="W94" i="11"/>
  <c r="X94" i="11" s="1"/>
  <c r="T95" i="11"/>
  <c r="W95" i="11"/>
  <c r="T96" i="11"/>
  <c r="X96" i="11"/>
  <c r="Y96" i="11" s="1"/>
  <c r="Z96" i="11" s="1"/>
  <c r="AN96" i="11"/>
  <c r="AP96" i="11"/>
  <c r="AQ96" i="11"/>
  <c r="T97" i="11"/>
  <c r="X97" i="11" s="1"/>
  <c r="AN97" i="11"/>
  <c r="AP97" i="11"/>
  <c r="AQ97" i="11" s="1"/>
  <c r="T98" i="11"/>
  <c r="T99" i="11"/>
  <c r="AN99" i="11"/>
  <c r="AP99" i="11" s="1"/>
  <c r="AQ99" i="11" s="1"/>
  <c r="W99" i="11"/>
  <c r="B100" i="11"/>
  <c r="Q100" i="11"/>
  <c r="S100" i="11"/>
  <c r="V100" i="11"/>
  <c r="AJ100" i="11"/>
  <c r="AK100" i="11"/>
  <c r="AL100" i="11"/>
  <c r="AM100" i="11"/>
  <c r="AN100" i="11"/>
  <c r="AO100" i="11"/>
  <c r="AR100" i="11"/>
  <c r="B101" i="11"/>
  <c r="B102" i="11"/>
  <c r="B103" i="11"/>
  <c r="K103" i="11"/>
  <c r="T103" i="11"/>
  <c r="X103" i="11"/>
  <c r="U103" i="11"/>
  <c r="AK103" i="11"/>
  <c r="AN103" i="11"/>
  <c r="AP103" i="11"/>
  <c r="AQ103" i="11" s="1"/>
  <c r="AT103" i="11"/>
  <c r="B104" i="11"/>
  <c r="K104" i="11"/>
  <c r="T104" i="11"/>
  <c r="X104" i="11" s="1"/>
  <c r="U104" i="11"/>
  <c r="AK104" i="11"/>
  <c r="AN104" i="11"/>
  <c r="AP104" i="11" s="1"/>
  <c r="AQ104" i="11"/>
  <c r="AT104" i="11"/>
  <c r="B105" i="11"/>
  <c r="K105" i="11"/>
  <c r="T105" i="11"/>
  <c r="AN105" i="11" s="1"/>
  <c r="AP105" i="11" s="1"/>
  <c r="AQ105" i="11" s="1"/>
  <c r="U105" i="11"/>
  <c r="AK105" i="11"/>
  <c r="AT105" i="11"/>
  <c r="B106" i="11"/>
  <c r="K106" i="11"/>
  <c r="T106" i="11"/>
  <c r="U106" i="11"/>
  <c r="AK106" i="11"/>
  <c r="AT106" i="11"/>
  <c r="B107" i="11"/>
  <c r="K107" i="11"/>
  <c r="T107" i="11"/>
  <c r="U107" i="11"/>
  <c r="W107" i="11"/>
  <c r="X132" i="8" s="1"/>
  <c r="AK107" i="11"/>
  <c r="AT107" i="11"/>
  <c r="B108" i="11"/>
  <c r="K108" i="11"/>
  <c r="T108" i="11"/>
  <c r="AN108" i="11" s="1"/>
  <c r="AP108" i="11" s="1"/>
  <c r="AQ108" i="11" s="1"/>
  <c r="W108" i="11"/>
  <c r="AK108" i="11"/>
  <c r="AT108" i="11"/>
  <c r="B109" i="11"/>
  <c r="K109" i="11"/>
  <c r="T109" i="11"/>
  <c r="W109" i="11"/>
  <c r="X87" i="8" s="1"/>
  <c r="AK109" i="11"/>
  <c r="AN109" i="11"/>
  <c r="AP109" i="11"/>
  <c r="AQ109" i="11" s="1"/>
  <c r="B110" i="11"/>
  <c r="T110" i="11"/>
  <c r="U110" i="11"/>
  <c r="W110" i="11"/>
  <c r="X127" i="8" s="1"/>
  <c r="AK110" i="11"/>
  <c r="AN110" i="11"/>
  <c r="AP110" i="11"/>
  <c r="AQ110" i="11" s="1"/>
  <c r="AT110" i="11"/>
  <c r="B111" i="11"/>
  <c r="K111" i="11"/>
  <c r="T111" i="11"/>
  <c r="X111" i="11" s="1"/>
  <c r="U111" i="11"/>
  <c r="AK111" i="11"/>
  <c r="AN111" i="11"/>
  <c r="AP111" i="11" s="1"/>
  <c r="AQ111" i="11" s="1"/>
  <c r="AT111" i="11"/>
  <c r="B112" i="11"/>
  <c r="K112" i="11"/>
  <c r="T112" i="11"/>
  <c r="X112" i="11"/>
  <c r="U112" i="11"/>
  <c r="AK112" i="11"/>
  <c r="AN112" i="11"/>
  <c r="AP112" i="11"/>
  <c r="AQ112" i="11" s="1"/>
  <c r="AT112" i="11"/>
  <c r="B113" i="11"/>
  <c r="T113" i="11"/>
  <c r="X113" i="11" s="1"/>
  <c r="U113" i="11"/>
  <c r="AK113" i="11"/>
  <c r="AN113" i="11"/>
  <c r="AP113" i="11" s="1"/>
  <c r="AQ113" i="11" s="1"/>
  <c r="AT113" i="11"/>
  <c r="B114" i="11"/>
  <c r="K114" i="11"/>
  <c r="T114" i="11"/>
  <c r="U114" i="11"/>
  <c r="AK114" i="11"/>
  <c r="AT114" i="11"/>
  <c r="B115" i="11"/>
  <c r="K115" i="11"/>
  <c r="T115" i="11"/>
  <c r="U115" i="11"/>
  <c r="W115" i="11"/>
  <c r="AK115" i="11"/>
  <c r="AT115" i="11"/>
  <c r="B116" i="11"/>
  <c r="K116" i="11"/>
  <c r="T116" i="11"/>
  <c r="W116" i="11"/>
  <c r="AT116" i="11"/>
  <c r="B117" i="11"/>
  <c r="K117" i="11"/>
  <c r="T117" i="11"/>
  <c r="W117" i="11"/>
  <c r="X117" i="11" s="1"/>
  <c r="AT117" i="11"/>
  <c r="B118" i="11"/>
  <c r="K118" i="11"/>
  <c r="T118" i="11"/>
  <c r="X118" i="11" s="1"/>
  <c r="AK118" i="11"/>
  <c r="AT118" i="11"/>
  <c r="B119" i="11"/>
  <c r="K119" i="11"/>
  <c r="T119" i="11"/>
  <c r="X119" i="11"/>
  <c r="U119" i="11"/>
  <c r="AK119" i="11"/>
  <c r="AN119" i="11"/>
  <c r="AP119" i="11"/>
  <c r="AQ119" i="11"/>
  <c r="AT119" i="11"/>
  <c r="B120" i="11"/>
  <c r="K120" i="11"/>
  <c r="T120" i="11"/>
  <c r="U120" i="11"/>
  <c r="W120" i="11"/>
  <c r="AK120" i="11"/>
  <c r="AN120" i="11"/>
  <c r="AP120" i="11" s="1"/>
  <c r="AQ120" i="11" s="1"/>
  <c r="AT120" i="11"/>
  <c r="B121" i="11"/>
  <c r="K121" i="11"/>
  <c r="T121" i="11"/>
  <c r="AN121" i="11"/>
  <c r="AP121" i="11"/>
  <c r="AQ121" i="11" s="1"/>
  <c r="U121" i="11"/>
  <c r="W121" i="11"/>
  <c r="X121" i="11" s="1"/>
  <c r="R121" i="11" s="1"/>
  <c r="AK121" i="11"/>
  <c r="AT121" i="11"/>
  <c r="B122" i="11"/>
  <c r="K122" i="11"/>
  <c r="T122" i="11"/>
  <c r="U122" i="11"/>
  <c r="AK122" i="11"/>
  <c r="AT122" i="11"/>
  <c r="B123" i="11"/>
  <c r="K123" i="11"/>
  <c r="T123" i="11"/>
  <c r="X123" i="11" s="1"/>
  <c r="U123" i="11"/>
  <c r="AK123" i="11"/>
  <c r="AN123" i="11"/>
  <c r="AP123" i="11" s="1"/>
  <c r="AQ123" i="11" s="1"/>
  <c r="AT123" i="11"/>
  <c r="B124" i="11"/>
  <c r="K124" i="11"/>
  <c r="T124" i="11"/>
  <c r="X124" i="11"/>
  <c r="U124" i="11"/>
  <c r="AK124" i="11"/>
  <c r="AN124" i="11"/>
  <c r="AP124" i="11"/>
  <c r="AQ124" i="11"/>
  <c r="AT124" i="11"/>
  <c r="B125" i="11"/>
  <c r="K125" i="11"/>
  <c r="T125" i="11"/>
  <c r="U125" i="11"/>
  <c r="AK125" i="11"/>
  <c r="AN125" i="11"/>
  <c r="AP125" i="11" s="1"/>
  <c r="AQ125" i="11" s="1"/>
  <c r="AT125" i="11"/>
  <c r="B126" i="11"/>
  <c r="K126" i="11"/>
  <c r="T126" i="11"/>
  <c r="U126" i="11"/>
  <c r="AK126" i="11"/>
  <c r="AT126" i="11"/>
  <c r="B127" i="11"/>
  <c r="T127" i="11"/>
  <c r="U127" i="11"/>
  <c r="V127" i="11"/>
  <c r="AK127" i="11"/>
  <c r="AT127" i="11"/>
  <c r="B128" i="11"/>
  <c r="K128" i="11"/>
  <c r="T128" i="11"/>
  <c r="U128" i="11"/>
  <c r="X128" i="11"/>
  <c r="AK128" i="11"/>
  <c r="AN128" i="11"/>
  <c r="AP128" i="11"/>
  <c r="AQ128" i="11"/>
  <c r="AT128" i="11"/>
  <c r="B129" i="11"/>
  <c r="K129" i="11"/>
  <c r="T129" i="11"/>
  <c r="X129" i="11" s="1"/>
  <c r="U129" i="11"/>
  <c r="AK129" i="11"/>
  <c r="AN129" i="11"/>
  <c r="AP129" i="11" s="1"/>
  <c r="AQ129" i="11" s="1"/>
  <c r="AT129" i="11"/>
  <c r="B130" i="11"/>
  <c r="K130" i="11"/>
  <c r="T130" i="11"/>
  <c r="U130" i="11"/>
  <c r="AK130" i="11"/>
  <c r="AT130" i="11"/>
  <c r="B131" i="11"/>
  <c r="K131" i="11"/>
  <c r="T131" i="11"/>
  <c r="R131" i="11" s="1"/>
  <c r="U131" i="11"/>
  <c r="X131" i="11"/>
  <c r="AK131" i="11"/>
  <c r="AT131" i="11"/>
  <c r="B132" i="11"/>
  <c r="T132" i="11"/>
  <c r="U132" i="11"/>
  <c r="AK132" i="11"/>
  <c r="AT132" i="11"/>
  <c r="B133" i="11"/>
  <c r="K133" i="11"/>
  <c r="T133" i="11"/>
  <c r="AK133" i="11"/>
  <c r="AN133" i="11"/>
  <c r="AP133" i="11" s="1"/>
  <c r="AQ133" i="11" s="1"/>
  <c r="AT133" i="11"/>
  <c r="B134" i="11"/>
  <c r="T134" i="11"/>
  <c r="U134" i="11"/>
  <c r="AK134" i="11"/>
  <c r="AT134" i="11"/>
  <c r="B135" i="11"/>
  <c r="K135" i="11"/>
  <c r="T135" i="11"/>
  <c r="U135" i="11"/>
  <c r="W135" i="11"/>
  <c r="AK135" i="11"/>
  <c r="AT135" i="11"/>
  <c r="B136" i="11"/>
  <c r="K136" i="11"/>
  <c r="T136" i="11"/>
  <c r="U136" i="11"/>
  <c r="W136" i="11"/>
  <c r="X102" i="8" s="1"/>
  <c r="AK136" i="11"/>
  <c r="AP136" i="11"/>
  <c r="AQ136" i="11"/>
  <c r="AT136" i="11"/>
  <c r="B137" i="11"/>
  <c r="K137" i="11"/>
  <c r="T137" i="11"/>
  <c r="U137" i="11"/>
  <c r="W137" i="11"/>
  <c r="AK137" i="11"/>
  <c r="AN137" i="11"/>
  <c r="AP137" i="11"/>
  <c r="AQ137" i="11" s="1"/>
  <c r="AT137" i="11"/>
  <c r="B138" i="11"/>
  <c r="K138" i="11"/>
  <c r="T138" i="11"/>
  <c r="U138" i="11"/>
  <c r="W138" i="11"/>
  <c r="X138" i="11" s="1"/>
  <c r="AK138" i="11"/>
  <c r="AP138" i="11"/>
  <c r="AQ138" i="11"/>
  <c r="AT138" i="11"/>
  <c r="B139" i="11"/>
  <c r="K139" i="11"/>
  <c r="T139" i="11"/>
  <c r="U139" i="11"/>
  <c r="W139" i="11"/>
  <c r="X111" i="8" s="1"/>
  <c r="AK139" i="11"/>
  <c r="AP139" i="11"/>
  <c r="AQ139" i="11"/>
  <c r="AT139" i="11"/>
  <c r="B140" i="11"/>
  <c r="K140" i="11"/>
  <c r="T140" i="11"/>
  <c r="U140" i="11"/>
  <c r="W140" i="11"/>
  <c r="X137" i="8" s="1"/>
  <c r="AK140" i="11"/>
  <c r="AP140" i="11"/>
  <c r="AQ140" i="11"/>
  <c r="AT140" i="11"/>
  <c r="B141" i="11"/>
  <c r="K141" i="11"/>
  <c r="T141" i="11"/>
  <c r="U141" i="11"/>
  <c r="W141" i="11"/>
  <c r="AK141" i="11"/>
  <c r="AP141" i="11"/>
  <c r="AQ141" i="11" s="1"/>
  <c r="AT141" i="11"/>
  <c r="B142" i="11"/>
  <c r="K142" i="11"/>
  <c r="T142" i="11"/>
  <c r="U142" i="11"/>
  <c r="W142" i="11"/>
  <c r="AK142" i="11"/>
  <c r="AP142" i="11"/>
  <c r="AQ142" i="11"/>
  <c r="AT142" i="11"/>
  <c r="B143" i="11"/>
  <c r="K143" i="11"/>
  <c r="T143" i="11"/>
  <c r="U143" i="11"/>
  <c r="W143" i="11"/>
  <c r="AK143" i="11"/>
  <c r="AP143" i="11"/>
  <c r="AQ143" i="11"/>
  <c r="AT143" i="11"/>
  <c r="B144" i="11"/>
  <c r="K144" i="11"/>
  <c r="T144" i="11"/>
  <c r="AN144" i="11" s="1"/>
  <c r="AP144" i="11" s="1"/>
  <c r="AQ144" i="11" s="1"/>
  <c r="W144" i="11"/>
  <c r="X144" i="11" s="1"/>
  <c r="Y144" i="11" s="1"/>
  <c r="Z144" i="11" s="1"/>
  <c r="AB144" i="11" s="1"/>
  <c r="AD144" i="11" s="1"/>
  <c r="AT144" i="11"/>
  <c r="B145" i="11"/>
  <c r="K145" i="11"/>
  <c r="T145" i="11"/>
  <c r="U145" i="11"/>
  <c r="W145" i="11"/>
  <c r="X115" i="8" s="1"/>
  <c r="AK145" i="11"/>
  <c r="AP145" i="11"/>
  <c r="AQ145" i="11" s="1"/>
  <c r="AT145" i="11"/>
  <c r="B146" i="11"/>
  <c r="K146" i="11"/>
  <c r="T146" i="11"/>
  <c r="U146" i="11"/>
  <c r="W146" i="11"/>
  <c r="X146" i="11" s="1"/>
  <c r="R146" i="11" s="1"/>
  <c r="AK146" i="11"/>
  <c r="AN146" i="11"/>
  <c r="AP146" i="11"/>
  <c r="AQ146" i="11"/>
  <c r="AT146" i="11"/>
  <c r="B147" i="11"/>
  <c r="K147" i="11"/>
  <c r="T147" i="11"/>
  <c r="U147" i="11"/>
  <c r="W147" i="11"/>
  <c r="AK147" i="11"/>
  <c r="AP147" i="11"/>
  <c r="AQ147" i="11" s="1"/>
  <c r="AT147" i="11"/>
  <c r="B148" i="11"/>
  <c r="K148" i="11"/>
  <c r="T148" i="11"/>
  <c r="W148" i="11"/>
  <c r="X129" i="8" s="1"/>
  <c r="AK148" i="11"/>
  <c r="AN148" i="11"/>
  <c r="AP148" i="11"/>
  <c r="AQ148" i="11"/>
  <c r="AT148" i="11"/>
  <c r="B149" i="11"/>
  <c r="K149" i="11"/>
  <c r="T149" i="11"/>
  <c r="U149" i="11"/>
  <c r="W149" i="11"/>
  <c r="AK149" i="11"/>
  <c r="AP149" i="11"/>
  <c r="AQ149" i="11"/>
  <c r="AT149" i="11"/>
  <c r="B150" i="11"/>
  <c r="K150" i="11"/>
  <c r="T150" i="11"/>
  <c r="U150" i="11"/>
  <c r="W150" i="11"/>
  <c r="X101" i="8" s="1"/>
  <c r="AK150" i="11"/>
  <c r="AP150" i="11"/>
  <c r="AQ150" i="11"/>
  <c r="AT150" i="11"/>
  <c r="B151" i="11"/>
  <c r="K151" i="11"/>
  <c r="T151" i="11"/>
  <c r="U151" i="11"/>
  <c r="W151" i="11"/>
  <c r="AK151" i="11"/>
  <c r="AT151" i="11"/>
  <c r="B152" i="11"/>
  <c r="K152" i="11"/>
  <c r="T152" i="11"/>
  <c r="U152" i="11"/>
  <c r="W152" i="11"/>
  <c r="X117" i="8" s="1"/>
  <c r="AK152" i="11"/>
  <c r="AP152" i="11"/>
  <c r="AQ152" i="11" s="1"/>
  <c r="AT152" i="11"/>
  <c r="B153" i="11"/>
  <c r="K153" i="11"/>
  <c r="T153" i="11"/>
  <c r="U153" i="11"/>
  <c r="W153" i="11"/>
  <c r="X118" i="8" s="1"/>
  <c r="AK153" i="11"/>
  <c r="AP153" i="11"/>
  <c r="AQ153" i="11"/>
  <c r="B154" i="11"/>
  <c r="K154" i="11"/>
  <c r="T154" i="11"/>
  <c r="AN154" i="11"/>
  <c r="AP154" i="11"/>
  <c r="AQ154" i="11" s="1"/>
  <c r="W154" i="11"/>
  <c r="AK154" i="11"/>
  <c r="AT154" i="11"/>
  <c r="B155" i="11"/>
  <c r="T155" i="11"/>
  <c r="U155" i="11"/>
  <c r="W155" i="11"/>
  <c r="X155" i="11" s="1"/>
  <c r="Y155" i="11" s="1"/>
  <c r="Z155" i="11" s="1"/>
  <c r="AE155" i="11" s="1"/>
  <c r="AK155" i="11"/>
  <c r="AP155" i="11"/>
  <c r="AQ155" i="11"/>
  <c r="AT155" i="11"/>
  <c r="B156" i="11"/>
  <c r="K156" i="11"/>
  <c r="T156" i="11"/>
  <c r="U156" i="11"/>
  <c r="W156" i="11"/>
  <c r="X156" i="11" s="1"/>
  <c r="AK156" i="11"/>
  <c r="AP156" i="11"/>
  <c r="AQ156" i="11"/>
  <c r="AT156" i="11"/>
  <c r="B157" i="11"/>
  <c r="K157" i="11"/>
  <c r="T157" i="11"/>
  <c r="U157" i="11"/>
  <c r="W157" i="11"/>
  <c r="AK157" i="11"/>
  <c r="AN157" i="11"/>
  <c r="AP157" i="11"/>
  <c r="AQ157" i="11" s="1"/>
  <c r="AT157" i="11"/>
  <c r="B158" i="11"/>
  <c r="K158" i="11"/>
  <c r="T158" i="11"/>
  <c r="U158" i="11"/>
  <c r="W158" i="11"/>
  <c r="X158" i="11" s="1"/>
  <c r="Y158" i="11" s="1"/>
  <c r="Z158" i="11" s="1"/>
  <c r="AK158" i="11"/>
  <c r="AP158" i="11"/>
  <c r="AQ158" i="11"/>
  <c r="AT158" i="11"/>
  <c r="B159" i="11"/>
  <c r="K159" i="11"/>
  <c r="T159" i="11"/>
  <c r="U159" i="11"/>
  <c r="W159" i="11"/>
  <c r="X141" i="8" s="1"/>
  <c r="AK159" i="11"/>
  <c r="AN159" i="11"/>
  <c r="AP159" i="11"/>
  <c r="AQ159" i="11"/>
  <c r="AT159" i="11"/>
  <c r="B160" i="11"/>
  <c r="K160" i="11"/>
  <c r="T160" i="11"/>
  <c r="U160" i="11"/>
  <c r="W160" i="11"/>
  <c r="AK160" i="11"/>
  <c r="AP160" i="11"/>
  <c r="AQ160" i="11" s="1"/>
  <c r="AT160" i="11"/>
  <c r="B161" i="11"/>
  <c r="K161" i="11"/>
  <c r="T161" i="11"/>
  <c r="U161" i="11"/>
  <c r="W161" i="11"/>
  <c r="AK161" i="11"/>
  <c r="AP161" i="11"/>
  <c r="AQ161" i="11"/>
  <c r="AT161" i="11"/>
  <c r="B162" i="11"/>
  <c r="K162" i="11"/>
  <c r="T162" i="11"/>
  <c r="W162" i="11"/>
  <c r="X112" i="8" s="1"/>
  <c r="AI162" i="11"/>
  <c r="AK162" i="11"/>
  <c r="AN162" i="11"/>
  <c r="AP162" i="11"/>
  <c r="AQ162" i="11" s="1"/>
  <c r="AT162" i="11"/>
  <c r="B163" i="11"/>
  <c r="K163" i="11"/>
  <c r="T163" i="11"/>
  <c r="U163" i="11"/>
  <c r="W163" i="11"/>
  <c r="X163" i="11" s="1"/>
  <c r="AK163" i="11"/>
  <c r="AN163" i="11"/>
  <c r="AP163" i="11"/>
  <c r="AQ163" i="11"/>
  <c r="AT163" i="11"/>
  <c r="B164" i="11"/>
  <c r="K164" i="11"/>
  <c r="T164" i="11"/>
  <c r="U164" i="11"/>
  <c r="W164" i="11"/>
  <c r="X126" i="8" s="1"/>
  <c r="AK164" i="11"/>
  <c r="AP164" i="11"/>
  <c r="AQ164" i="11" s="1"/>
  <c r="AT164" i="11"/>
  <c r="AV164" i="11"/>
  <c r="B165" i="11"/>
  <c r="K165" i="11"/>
  <c r="T165" i="11"/>
  <c r="U165" i="11"/>
  <c r="W165" i="11"/>
  <c r="X165" i="11" s="1"/>
  <c r="R165" i="11" s="1"/>
  <c r="AK165" i="11"/>
  <c r="AP165" i="11"/>
  <c r="AQ165" i="11"/>
  <c r="AT165" i="11"/>
  <c r="B166" i="11"/>
  <c r="K166" i="11"/>
  <c r="T166" i="11"/>
  <c r="U166" i="11"/>
  <c r="W166" i="11"/>
  <c r="X110" i="8" s="1"/>
  <c r="AK166" i="11"/>
  <c r="AN166" i="11"/>
  <c r="AP166" i="11"/>
  <c r="AQ166" i="11" s="1"/>
  <c r="AT166" i="11"/>
  <c r="B167" i="11"/>
  <c r="K167" i="11"/>
  <c r="T167" i="11"/>
  <c r="U167" i="11"/>
  <c r="W167" i="11"/>
  <c r="X105" i="8" s="1"/>
  <c r="AK167" i="11"/>
  <c r="AN167" i="11"/>
  <c r="AP167" i="11"/>
  <c r="AQ167" i="11"/>
  <c r="AT167" i="11"/>
  <c r="B168" i="11"/>
  <c r="K168" i="11"/>
  <c r="T168" i="11"/>
  <c r="U168" i="11"/>
  <c r="W168" i="11"/>
  <c r="X106" i="8" s="1"/>
  <c r="AK168" i="11"/>
  <c r="AN168" i="11"/>
  <c r="AP168" i="11"/>
  <c r="AQ168" i="11" s="1"/>
  <c r="AT168" i="11"/>
  <c r="B169" i="11"/>
  <c r="T169" i="11"/>
  <c r="U169" i="11"/>
  <c r="W169" i="11"/>
  <c r="AK169" i="11"/>
  <c r="AT169" i="11"/>
  <c r="B170" i="11"/>
  <c r="K170" i="11"/>
  <c r="T170" i="11"/>
  <c r="U170" i="11"/>
  <c r="W170" i="11"/>
  <c r="AK170" i="11"/>
  <c r="AP170" i="11"/>
  <c r="AQ170" i="11"/>
  <c r="AT170" i="11"/>
  <c r="AV170" i="11"/>
  <c r="B171" i="11"/>
  <c r="K171" i="11"/>
  <c r="T171" i="11"/>
  <c r="U171" i="11"/>
  <c r="W171" i="11"/>
  <c r="X136" i="8" s="1"/>
  <c r="AK171" i="11"/>
  <c r="AP171" i="11"/>
  <c r="AQ171" i="11" s="1"/>
  <c r="AT171" i="11"/>
  <c r="B172" i="11"/>
  <c r="T172" i="11"/>
  <c r="U172" i="11"/>
  <c r="W172" i="11"/>
  <c r="AK172" i="11"/>
  <c r="AP172" i="11"/>
  <c r="AQ172" i="11"/>
  <c r="AT172" i="11"/>
  <c r="B173" i="11"/>
  <c r="K173" i="11"/>
  <c r="T173" i="11"/>
  <c r="U173" i="11"/>
  <c r="X173" i="11"/>
  <c r="AK173" i="11"/>
  <c r="AN173" i="11"/>
  <c r="AP173" i="11"/>
  <c r="AQ173" i="11"/>
  <c r="AT173" i="11"/>
  <c r="B174" i="11"/>
  <c r="K174" i="11"/>
  <c r="T174" i="11"/>
  <c r="U174" i="11"/>
  <c r="AK174" i="11"/>
  <c r="AT174" i="11"/>
  <c r="B175" i="11"/>
  <c r="K175" i="11"/>
  <c r="T175" i="11"/>
  <c r="U175" i="11"/>
  <c r="AK175" i="11"/>
  <c r="AT175" i="11"/>
  <c r="B176" i="11"/>
  <c r="K176" i="11"/>
  <c r="R176" i="11"/>
  <c r="T176" i="11"/>
  <c r="X176" i="11"/>
  <c r="U176" i="11"/>
  <c r="Y176" i="11"/>
  <c r="Z176" i="11" s="1"/>
  <c r="AK176" i="11"/>
  <c r="AN176" i="11"/>
  <c r="AP176" i="11"/>
  <c r="AQ176" i="11" s="1"/>
  <c r="AT176" i="11"/>
  <c r="B177" i="11"/>
  <c r="K177" i="11"/>
  <c r="T177" i="11"/>
  <c r="U177" i="11"/>
  <c r="X177" i="11"/>
  <c r="AK177" i="11"/>
  <c r="AN177" i="11"/>
  <c r="AP177" i="11"/>
  <c r="AQ177" i="11"/>
  <c r="AT177" i="11"/>
  <c r="B178" i="11"/>
  <c r="K178" i="11"/>
  <c r="T178" i="11"/>
  <c r="AN178" i="11"/>
  <c r="AP178" i="11" s="1"/>
  <c r="AQ178" i="11" s="1"/>
  <c r="U178" i="11"/>
  <c r="AK178" i="11"/>
  <c r="AT178" i="11"/>
  <c r="B179" i="11"/>
  <c r="K179" i="11"/>
  <c r="R179" i="11"/>
  <c r="T179" i="11"/>
  <c r="U179" i="11"/>
  <c r="X179" i="11"/>
  <c r="Y179" i="11"/>
  <c r="Z179" i="11" s="1"/>
  <c r="AF179" i="11" s="1"/>
  <c r="AK179" i="11"/>
  <c r="AN179" i="11"/>
  <c r="AP179" i="11" s="1"/>
  <c r="AQ179" i="11" s="1"/>
  <c r="AT179" i="11"/>
  <c r="B180" i="11"/>
  <c r="K180" i="11"/>
  <c r="T180" i="11"/>
  <c r="U180" i="11"/>
  <c r="X180" i="11"/>
  <c r="AK180" i="11"/>
  <c r="AN180" i="11"/>
  <c r="AP180" i="11"/>
  <c r="AQ180" i="11"/>
  <c r="AT180" i="11"/>
  <c r="B181" i="11"/>
  <c r="K181" i="11"/>
  <c r="T181" i="11"/>
  <c r="U181" i="11"/>
  <c r="AK181" i="11"/>
  <c r="AT181" i="11"/>
  <c r="B182" i="11"/>
  <c r="K182" i="11"/>
  <c r="T182" i="11"/>
  <c r="X182" i="11"/>
  <c r="U182" i="11"/>
  <c r="AK182" i="11"/>
  <c r="AN182" i="11"/>
  <c r="AP182" i="11"/>
  <c r="AQ182" i="11" s="1"/>
  <c r="AT182" i="11"/>
  <c r="B183" i="11"/>
  <c r="K183" i="11"/>
  <c r="T183" i="11"/>
  <c r="U183" i="11"/>
  <c r="AK183" i="11"/>
  <c r="AT183" i="11"/>
  <c r="B184" i="11"/>
  <c r="K184" i="11"/>
  <c r="T184" i="11"/>
  <c r="U184" i="11"/>
  <c r="AK184" i="11"/>
  <c r="AT184" i="11"/>
  <c r="B185" i="11"/>
  <c r="K185" i="11"/>
  <c r="T185" i="11"/>
  <c r="X185" i="11" s="1"/>
  <c r="U185" i="11"/>
  <c r="AK185" i="11"/>
  <c r="AT185" i="11"/>
  <c r="B186" i="11"/>
  <c r="T186" i="11"/>
  <c r="U186" i="11"/>
  <c r="W186" i="11"/>
  <c r="X186" i="11" s="1"/>
  <c r="Y186" i="11" s="1"/>
  <c r="AK186" i="11"/>
  <c r="AN186" i="11"/>
  <c r="AP186" i="11"/>
  <c r="AQ186" i="11" s="1"/>
  <c r="AT186" i="11"/>
  <c r="B187" i="11"/>
  <c r="K187" i="11"/>
  <c r="T187" i="11"/>
  <c r="U187" i="11"/>
  <c r="W187" i="11"/>
  <c r="X122" i="8" s="1"/>
  <c r="AK187" i="11"/>
  <c r="AN187" i="11"/>
  <c r="AP187" i="11"/>
  <c r="AQ187" i="11"/>
  <c r="AT187" i="11"/>
  <c r="B188" i="11"/>
  <c r="T188" i="11"/>
  <c r="U188" i="11"/>
  <c r="W188" i="11"/>
  <c r="X188" i="11" s="1"/>
  <c r="R188" i="11" s="1"/>
  <c r="AK188" i="11"/>
  <c r="AT188" i="11"/>
  <c r="B189" i="11"/>
  <c r="K189" i="11"/>
  <c r="T189" i="11"/>
  <c r="U189" i="11"/>
  <c r="AK189" i="11"/>
  <c r="AT189" i="11"/>
  <c r="B190" i="11"/>
  <c r="K190" i="11"/>
  <c r="R190" i="11"/>
  <c r="T190" i="11"/>
  <c r="U190" i="11"/>
  <c r="X190" i="11"/>
  <c r="Y190" i="11"/>
  <c r="Z190" i="11" s="1"/>
  <c r="AK190" i="11"/>
  <c r="AN190" i="11"/>
  <c r="AP190" i="11"/>
  <c r="AQ190" i="11" s="1"/>
  <c r="AT190" i="11"/>
  <c r="B191" i="11"/>
  <c r="K191" i="11"/>
  <c r="T191" i="11"/>
  <c r="U191" i="11"/>
  <c r="X191" i="11"/>
  <c r="AK191" i="11"/>
  <c r="AN191" i="11"/>
  <c r="AP191" i="11"/>
  <c r="AQ191" i="11"/>
  <c r="AT191" i="11"/>
  <c r="B192" i="11"/>
  <c r="K192" i="11"/>
  <c r="T192" i="11"/>
  <c r="U192" i="11"/>
  <c r="W192" i="11"/>
  <c r="AK192" i="11"/>
  <c r="AN192" i="11"/>
  <c r="AP192" i="11" s="1"/>
  <c r="AQ192" i="11" s="1"/>
  <c r="AT192" i="11"/>
  <c r="B193" i="11"/>
  <c r="K193" i="11"/>
  <c r="T193" i="11"/>
  <c r="U193" i="11"/>
  <c r="X193" i="11"/>
  <c r="AK193" i="11"/>
  <c r="AN193" i="11"/>
  <c r="AP193" i="11"/>
  <c r="AQ193" i="11"/>
  <c r="AT193" i="11"/>
  <c r="B194" i="11"/>
  <c r="K194" i="11"/>
  <c r="T194" i="11"/>
  <c r="X194" i="11" s="1"/>
  <c r="U194" i="11"/>
  <c r="AK194" i="11"/>
  <c r="AN194" i="11"/>
  <c r="AP194" i="11" s="1"/>
  <c r="AQ194" i="11" s="1"/>
  <c r="AT194" i="11"/>
  <c r="B195" i="11"/>
  <c r="K195" i="11"/>
  <c r="T195" i="11"/>
  <c r="U195" i="11"/>
  <c r="AK195" i="11"/>
  <c r="AT195" i="11"/>
  <c r="B196" i="11"/>
  <c r="K196" i="11"/>
  <c r="T196" i="11"/>
  <c r="U196" i="11"/>
  <c r="W196" i="11"/>
  <c r="AK196" i="11"/>
  <c r="AN196" i="11"/>
  <c r="AP196" i="11" s="1"/>
  <c r="AQ196" i="11" s="1"/>
  <c r="AT196" i="11"/>
  <c r="B197" i="11"/>
  <c r="K197" i="11"/>
  <c r="T197" i="11"/>
  <c r="X197" i="11"/>
  <c r="U197" i="11"/>
  <c r="AK197" i="11"/>
  <c r="AN197" i="11"/>
  <c r="AP197" i="11"/>
  <c r="AQ197" i="11"/>
  <c r="AT197" i="11"/>
  <c r="B198" i="11"/>
  <c r="K198" i="11"/>
  <c r="T198" i="11"/>
  <c r="U198" i="11"/>
  <c r="AK198" i="11"/>
  <c r="AT198" i="11"/>
  <c r="B199" i="11"/>
  <c r="K199" i="11"/>
  <c r="T199" i="11"/>
  <c r="U199" i="11"/>
  <c r="W199" i="11"/>
  <c r="X199" i="11" s="1"/>
  <c r="R199" i="11" s="1"/>
  <c r="AK199" i="11"/>
  <c r="AT199" i="11"/>
  <c r="B200" i="11"/>
  <c r="T200" i="11"/>
  <c r="U200" i="11"/>
  <c r="W200" i="11"/>
  <c r="AK200" i="11"/>
  <c r="AT200" i="11"/>
  <c r="B201" i="11"/>
  <c r="T201" i="11"/>
  <c r="X201" i="11"/>
  <c r="U201" i="11"/>
  <c r="AK201" i="11"/>
  <c r="AN201" i="11"/>
  <c r="AP201" i="11"/>
  <c r="AQ201" i="11"/>
  <c r="AT201" i="11"/>
  <c r="B202" i="11"/>
  <c r="K202" i="11"/>
  <c r="T202" i="11"/>
  <c r="U202" i="11"/>
  <c r="AK202" i="11"/>
  <c r="AT202" i="11"/>
  <c r="B203" i="11"/>
  <c r="K203" i="11"/>
  <c r="T203" i="11"/>
  <c r="U203" i="11"/>
  <c r="AK203" i="11"/>
  <c r="AT203" i="11"/>
  <c r="B204" i="11"/>
  <c r="T204" i="11"/>
  <c r="U204" i="11"/>
  <c r="AK204" i="11"/>
  <c r="AT204" i="11"/>
  <c r="B205" i="11"/>
  <c r="K205" i="11"/>
  <c r="T205" i="11"/>
  <c r="U205" i="11"/>
  <c r="W205" i="11"/>
  <c r="AK205" i="11"/>
  <c r="AN205" i="11"/>
  <c r="AP205" i="11" s="1"/>
  <c r="AQ205" i="11" s="1"/>
  <c r="AT205" i="11"/>
  <c r="B206" i="11"/>
  <c r="K206" i="11"/>
  <c r="T206" i="11"/>
  <c r="U206" i="11"/>
  <c r="AK206" i="11"/>
  <c r="AT206" i="11"/>
  <c r="B207" i="11"/>
  <c r="K207" i="11"/>
  <c r="T207" i="11"/>
  <c r="X207" i="11" s="1"/>
  <c r="R207" i="11"/>
  <c r="U207" i="11"/>
  <c r="AK207" i="11"/>
  <c r="AN207" i="11"/>
  <c r="AP207" i="11" s="1"/>
  <c r="AQ207" i="11" s="1"/>
  <c r="AT207" i="11"/>
  <c r="B208" i="11"/>
  <c r="K208" i="11"/>
  <c r="T208" i="11"/>
  <c r="X208" i="11"/>
  <c r="U208" i="11"/>
  <c r="AK208" i="11"/>
  <c r="AN208" i="11"/>
  <c r="AP208" i="11"/>
  <c r="AQ208" i="11" s="1"/>
  <c r="AT208" i="11"/>
  <c r="B209" i="11"/>
  <c r="K209" i="11"/>
  <c r="T209" i="11"/>
  <c r="U209" i="11"/>
  <c r="AK209" i="11"/>
  <c r="AT209" i="11"/>
  <c r="B210" i="11"/>
  <c r="K210" i="11"/>
  <c r="T210" i="11"/>
  <c r="U210" i="11"/>
  <c r="AK210" i="11"/>
  <c r="AT210" i="11"/>
  <c r="B211" i="11"/>
  <c r="K211" i="11"/>
  <c r="T211" i="11"/>
  <c r="U211" i="11"/>
  <c r="X211" i="11"/>
  <c r="R211" i="11" s="1"/>
  <c r="AK211" i="11"/>
  <c r="AN211" i="11"/>
  <c r="AP211" i="11" s="1"/>
  <c r="AQ211" i="11" s="1"/>
  <c r="AT211" i="11"/>
  <c r="B212" i="11"/>
  <c r="K212" i="11"/>
  <c r="T212" i="11"/>
  <c r="U212" i="11"/>
  <c r="AK212" i="11"/>
  <c r="AT212" i="11"/>
  <c r="B213" i="11"/>
  <c r="K213" i="11"/>
  <c r="T213" i="11"/>
  <c r="X213" i="11" s="1"/>
  <c r="U213" i="11"/>
  <c r="AK213" i="11"/>
  <c r="AN213" i="11"/>
  <c r="AP213" i="11" s="1"/>
  <c r="AQ213" i="11" s="1"/>
  <c r="AT213" i="11"/>
  <c r="B214" i="11"/>
  <c r="K214" i="11"/>
  <c r="T214" i="11"/>
  <c r="U214" i="11"/>
  <c r="X214" i="11"/>
  <c r="AK214" i="11"/>
  <c r="AN214" i="11"/>
  <c r="AP214" i="11"/>
  <c r="AQ214" i="11"/>
  <c r="AT214" i="11"/>
  <c r="B215" i="11"/>
  <c r="K215" i="11"/>
  <c r="T215" i="11"/>
  <c r="AN215" i="11" s="1"/>
  <c r="AP215" i="11" s="1"/>
  <c r="AQ215" i="11" s="1"/>
  <c r="U215" i="11"/>
  <c r="AK215" i="11"/>
  <c r="AT215" i="11"/>
  <c r="B216" i="11"/>
  <c r="T216" i="11"/>
  <c r="U216" i="11"/>
  <c r="AK216" i="11"/>
  <c r="AT216" i="11"/>
  <c r="B217" i="11"/>
  <c r="K217" i="11"/>
  <c r="T217" i="11"/>
  <c r="R217" i="11" s="1"/>
  <c r="X217" i="11"/>
  <c r="U217" i="11"/>
  <c r="AK217" i="11"/>
  <c r="AN217" i="11"/>
  <c r="AP217" i="11"/>
  <c r="AQ217" i="11" s="1"/>
  <c r="AT217" i="11"/>
  <c r="B218" i="11"/>
  <c r="K218" i="11"/>
  <c r="T218" i="11"/>
  <c r="U218" i="11"/>
  <c r="AK218" i="11"/>
  <c r="AT218" i="11"/>
  <c r="B219" i="11"/>
  <c r="K219" i="11"/>
  <c r="T219" i="11"/>
  <c r="U219" i="11"/>
  <c r="X219" i="11"/>
  <c r="AK219" i="11"/>
  <c r="AN219" i="11"/>
  <c r="AP219" i="11"/>
  <c r="AQ219" i="11" s="1"/>
  <c r="AT219" i="11"/>
  <c r="T220" i="11"/>
  <c r="U220" i="11"/>
  <c r="AK220" i="11"/>
  <c r="AT220" i="11"/>
  <c r="B221" i="11"/>
  <c r="K221" i="11"/>
  <c r="T221" i="11"/>
  <c r="U221" i="11"/>
  <c r="X221" i="11"/>
  <c r="AK221" i="11"/>
  <c r="AN221" i="11"/>
  <c r="AP221" i="11" s="1"/>
  <c r="AQ221" i="11" s="1"/>
  <c r="AT221" i="11"/>
  <c r="B222" i="11"/>
  <c r="K222" i="11"/>
  <c r="T222" i="11"/>
  <c r="X222" i="11" s="1"/>
  <c r="R222" i="11"/>
  <c r="U222" i="11"/>
  <c r="AK222" i="11"/>
  <c r="AN222" i="11"/>
  <c r="AP222" i="11"/>
  <c r="AQ222" i="11" s="1"/>
  <c r="AT222" i="11"/>
  <c r="B223" i="11"/>
  <c r="K223" i="11"/>
  <c r="T223" i="11"/>
  <c r="U223" i="11"/>
  <c r="AK223" i="11"/>
  <c r="AT223" i="11"/>
  <c r="B224" i="11"/>
  <c r="T224" i="11"/>
  <c r="X224" i="11" s="1"/>
  <c r="U224" i="11"/>
  <c r="AK224" i="11"/>
  <c r="AN224" i="11"/>
  <c r="AP224" i="11" s="1"/>
  <c r="AQ224" i="11" s="1"/>
  <c r="AT224" i="11"/>
  <c r="B225" i="11"/>
  <c r="K225" i="11"/>
  <c r="T225" i="11"/>
  <c r="R225" i="11" s="1"/>
  <c r="X225" i="11"/>
  <c r="U225" i="11"/>
  <c r="AK225" i="11"/>
  <c r="AT225" i="11"/>
  <c r="B226" i="11"/>
  <c r="K226" i="11"/>
  <c r="T226" i="11"/>
  <c r="U226" i="11"/>
  <c r="AK226" i="11"/>
  <c r="AT226" i="11"/>
  <c r="B227" i="11"/>
  <c r="K227" i="11"/>
  <c r="T227" i="11"/>
  <c r="AN227" i="11" s="1"/>
  <c r="AP227" i="11" s="1"/>
  <c r="AQ227" i="11" s="1"/>
  <c r="U227" i="11"/>
  <c r="W227" i="11"/>
  <c r="X227" i="11" s="1"/>
  <c r="R227" i="11" s="1"/>
  <c r="AK227" i="11"/>
  <c r="AT227" i="11"/>
  <c r="B228" i="11"/>
  <c r="T228" i="11"/>
  <c r="AN228" i="11"/>
  <c r="AP228" i="11" s="1"/>
  <c r="AQ228" i="11" s="1"/>
  <c r="U228" i="11"/>
  <c r="AK228" i="11"/>
  <c r="AT228" i="11"/>
  <c r="B229" i="11"/>
  <c r="K229" i="11"/>
  <c r="T229" i="11"/>
  <c r="U229" i="11"/>
  <c r="W229" i="11"/>
  <c r="X229" i="11" s="1"/>
  <c r="Y229" i="11" s="1"/>
  <c r="Z229" i="11" s="1"/>
  <c r="AK229" i="11"/>
  <c r="AN229" i="11"/>
  <c r="AP229" i="11" s="1"/>
  <c r="AQ229" i="11" s="1"/>
  <c r="AT229" i="11"/>
  <c r="B230" i="11"/>
  <c r="K230" i="11"/>
  <c r="T230" i="11"/>
  <c r="U230" i="11"/>
  <c r="W230" i="11"/>
  <c r="X230" i="11" s="1"/>
  <c r="Y230" i="11" s="1"/>
  <c r="Z230" i="11" s="1"/>
  <c r="AK230" i="11"/>
  <c r="AN230" i="11"/>
  <c r="AP230" i="11"/>
  <c r="AQ230" i="11"/>
  <c r="AT230" i="11"/>
  <c r="B231" i="11"/>
  <c r="K231" i="11"/>
  <c r="T231" i="11"/>
  <c r="X231" i="11" s="1"/>
  <c r="U231" i="11"/>
  <c r="AK231" i="11"/>
  <c r="AN231" i="11"/>
  <c r="AP231" i="11" s="1"/>
  <c r="AQ231" i="11" s="1"/>
  <c r="AT231" i="11"/>
  <c r="B232" i="11"/>
  <c r="T232" i="11"/>
  <c r="W232" i="11"/>
  <c r="X232" i="11" s="1"/>
  <c r="Y232" i="11" s="1"/>
  <c r="Z232" i="11" s="1"/>
  <c r="AG232" i="11" s="1"/>
  <c r="B233" i="11"/>
  <c r="K233" i="11"/>
  <c r="T233" i="11"/>
  <c r="U233" i="11"/>
  <c r="AK233" i="11"/>
  <c r="AT233" i="11"/>
  <c r="B234" i="11"/>
  <c r="K234" i="11"/>
  <c r="T234" i="11"/>
  <c r="U234" i="11"/>
  <c r="AK234" i="11"/>
  <c r="AT234" i="11"/>
  <c r="B235" i="11"/>
  <c r="K235" i="11"/>
  <c r="T235" i="11"/>
  <c r="AN235" i="11" s="1"/>
  <c r="AP235" i="11" s="1"/>
  <c r="AQ235" i="11" s="1"/>
  <c r="U235" i="11"/>
  <c r="W235" i="11"/>
  <c r="X235" i="11" s="1"/>
  <c r="Y235" i="11" s="1"/>
  <c r="Z235" i="11" s="1"/>
  <c r="AB235" i="11" s="1"/>
  <c r="AK235" i="11"/>
  <c r="AT235" i="11"/>
  <c r="B236" i="11"/>
  <c r="T236" i="11"/>
  <c r="X236" i="11"/>
  <c r="U236" i="11"/>
  <c r="AK236" i="11"/>
  <c r="AN236" i="11"/>
  <c r="AP236" i="11"/>
  <c r="AQ236" i="11" s="1"/>
  <c r="AT236" i="11"/>
  <c r="B237" i="11"/>
  <c r="K237" i="11"/>
  <c r="T237" i="11"/>
  <c r="U237" i="11"/>
  <c r="W237" i="11"/>
  <c r="X237" i="11" s="1"/>
  <c r="R237" i="11" s="1"/>
  <c r="AK237" i="11"/>
  <c r="AT237" i="11"/>
  <c r="B238" i="11"/>
  <c r="K238" i="11"/>
  <c r="T238" i="11"/>
  <c r="AN238" i="11" s="1"/>
  <c r="AP238" i="11" s="1"/>
  <c r="AQ238" i="11" s="1"/>
  <c r="U238" i="11"/>
  <c r="W238" i="11"/>
  <c r="X238" i="11" s="1"/>
  <c r="AK238" i="11"/>
  <c r="AT238" i="11"/>
  <c r="B239" i="11"/>
  <c r="T239" i="11"/>
  <c r="W239" i="11"/>
  <c r="X239" i="11" s="1"/>
  <c r="Y239" i="11" s="1"/>
  <c r="Z239" i="11" s="1"/>
  <c r="AG239" i="11" s="1"/>
  <c r="AN239" i="11"/>
  <c r="AP239" i="11" s="1"/>
  <c r="AQ239" i="11" s="1"/>
  <c r="AT239" i="11"/>
  <c r="K240" i="11"/>
  <c r="T240" i="11"/>
  <c r="AN240" i="11" s="1"/>
  <c r="AP240" i="11" s="1"/>
  <c r="AQ240" i="11" s="1"/>
  <c r="U240" i="11"/>
  <c r="X240" i="11"/>
  <c r="AK240" i="11"/>
  <c r="AT240" i="11"/>
  <c r="B241" i="11"/>
  <c r="K241" i="11"/>
  <c r="T241" i="11"/>
  <c r="U241" i="11"/>
  <c r="AK241" i="11"/>
  <c r="AT241" i="11"/>
  <c r="B242" i="11"/>
  <c r="K242" i="11"/>
  <c r="T242" i="11"/>
  <c r="U242" i="11"/>
  <c r="X242" i="11"/>
  <c r="R242" i="11" s="1"/>
  <c r="AK242" i="11"/>
  <c r="AN242" i="11"/>
  <c r="AP242" i="11"/>
  <c r="AQ242" i="11" s="1"/>
  <c r="AT242" i="11"/>
  <c r="B243" i="11"/>
  <c r="K243" i="11"/>
  <c r="T243" i="11"/>
  <c r="U243" i="11"/>
  <c r="AK243" i="11"/>
  <c r="AT243" i="11"/>
  <c r="B244" i="11"/>
  <c r="K244" i="11"/>
  <c r="T244" i="11"/>
  <c r="AN244" i="11"/>
  <c r="AP244" i="11" s="1"/>
  <c r="AQ244" i="11" s="1"/>
  <c r="U244" i="11"/>
  <c r="AK244" i="11"/>
  <c r="AT244" i="11"/>
  <c r="B245" i="11"/>
  <c r="K245" i="11"/>
  <c r="T245" i="11"/>
  <c r="AN245" i="11" s="1"/>
  <c r="AP245" i="11" s="1"/>
  <c r="AQ245" i="11" s="1"/>
  <c r="U245" i="11"/>
  <c r="X245" i="11"/>
  <c r="AK245" i="11"/>
  <c r="AT245" i="11"/>
  <c r="B246" i="11"/>
  <c r="K246" i="11"/>
  <c r="T246" i="11"/>
  <c r="U246" i="11"/>
  <c r="X246" i="11"/>
  <c r="R246" i="11" s="1"/>
  <c r="AK246" i="11"/>
  <c r="AN246" i="11"/>
  <c r="AP246" i="11"/>
  <c r="AQ246" i="11" s="1"/>
  <c r="AT246" i="11"/>
  <c r="B247" i="11"/>
  <c r="K247" i="11"/>
  <c r="T247" i="11"/>
  <c r="U247" i="11"/>
  <c r="W247" i="11"/>
  <c r="X247" i="11" s="1"/>
  <c r="R247" i="11" s="1"/>
  <c r="AK247" i="11"/>
  <c r="AN247" i="11"/>
  <c r="AP247" i="11" s="1"/>
  <c r="AQ247" i="11" s="1"/>
  <c r="AT247" i="11"/>
  <c r="B248" i="11"/>
  <c r="T248" i="11"/>
  <c r="X248" i="11" s="1"/>
  <c r="U248" i="11"/>
  <c r="AK248" i="11"/>
  <c r="AN248" i="11"/>
  <c r="AP248" i="11" s="1"/>
  <c r="AQ248" i="11" s="1"/>
  <c r="AT248" i="11"/>
  <c r="AV248" i="11"/>
  <c r="B249" i="11"/>
  <c r="T249" i="11"/>
  <c r="AN249" i="11"/>
  <c r="AP249" i="11" s="1"/>
  <c r="AQ249" i="11" s="1"/>
  <c r="U249" i="11"/>
  <c r="W249" i="11"/>
  <c r="X249" i="11" s="1"/>
  <c r="R249" i="11" s="1"/>
  <c r="AK249" i="11"/>
  <c r="AT249" i="11"/>
  <c r="AV249" i="11"/>
  <c r="B250" i="11"/>
  <c r="T250" i="11"/>
  <c r="AN250" i="11"/>
  <c r="AP250" i="11" s="1"/>
  <c r="AQ250" i="11" s="1"/>
  <c r="U250" i="11"/>
  <c r="W250" i="11"/>
  <c r="X250" i="11" s="1"/>
  <c r="Y250" i="11" s="1"/>
  <c r="Z250" i="11" s="1"/>
  <c r="AF250" i="11" s="1"/>
  <c r="AK250" i="11"/>
  <c r="AT250" i="11"/>
  <c r="B251" i="11"/>
  <c r="K251" i="11"/>
  <c r="T251" i="11"/>
  <c r="AN251" i="11" s="1"/>
  <c r="AP251" i="11" s="1"/>
  <c r="AQ251" i="11" s="1"/>
  <c r="U251" i="11"/>
  <c r="AK251" i="11"/>
  <c r="AT251" i="11"/>
  <c r="B252" i="11"/>
  <c r="K252" i="11"/>
  <c r="T252" i="11"/>
  <c r="X252" i="11" s="1"/>
  <c r="R252" i="11" s="1"/>
  <c r="AK252" i="11"/>
  <c r="AN252" i="11"/>
  <c r="AP252" i="11" s="1"/>
  <c r="AQ252" i="11" s="1"/>
  <c r="AT252" i="11"/>
  <c r="AV252" i="11"/>
  <c r="B253" i="11"/>
  <c r="T253" i="11"/>
  <c r="U253" i="11"/>
  <c r="W253" i="11"/>
  <c r="AK253" i="11"/>
  <c r="AT253" i="11"/>
  <c r="B254" i="11"/>
  <c r="K254" i="11"/>
  <c r="T254" i="11"/>
  <c r="AN254" i="11" s="1"/>
  <c r="AP254" i="11" s="1"/>
  <c r="AQ254" i="11" s="1"/>
  <c r="U254" i="11"/>
  <c r="W254" i="11"/>
  <c r="X254" i="11" s="1"/>
  <c r="Y254" i="11" s="1"/>
  <c r="Z254" i="11" s="1"/>
  <c r="AK254" i="11"/>
  <c r="AT254" i="11"/>
  <c r="B255" i="11"/>
  <c r="K255" i="11"/>
  <c r="T255" i="11"/>
  <c r="W255" i="11"/>
  <c r="AK255" i="11"/>
  <c r="AN255" i="11"/>
  <c r="AP255" i="11" s="1"/>
  <c r="AQ255" i="11" s="1"/>
  <c r="AT255" i="11"/>
  <c r="B256" i="11"/>
  <c r="K256" i="11"/>
  <c r="T256" i="11"/>
  <c r="X256" i="11"/>
  <c r="R256" i="11" s="1"/>
  <c r="AK256" i="11"/>
  <c r="AN256" i="11"/>
  <c r="AP256" i="11" s="1"/>
  <c r="AQ256" i="11" s="1"/>
  <c r="AT256" i="11"/>
  <c r="B257" i="11"/>
  <c r="K257" i="11"/>
  <c r="T257" i="11"/>
  <c r="W257" i="11"/>
  <c r="X257" i="11" s="1"/>
  <c r="R257" i="11" s="1"/>
  <c r="AK257" i="11"/>
  <c r="AN257" i="11"/>
  <c r="AP257" i="11"/>
  <c r="AQ257" i="11" s="1"/>
  <c r="AT257" i="11"/>
  <c r="AV257" i="11"/>
  <c r="B258" i="11"/>
  <c r="K258" i="11"/>
  <c r="T258" i="11"/>
  <c r="X258" i="11" s="1"/>
  <c r="AK258" i="11"/>
  <c r="AN258" i="11"/>
  <c r="AP258" i="11" s="1"/>
  <c r="AQ258" i="11" s="1"/>
  <c r="AT258" i="11"/>
  <c r="AV258" i="11"/>
  <c r="B259" i="11"/>
  <c r="K259" i="11"/>
  <c r="T259" i="11"/>
  <c r="W259" i="11"/>
  <c r="AK259" i="11"/>
  <c r="AT259" i="11"/>
  <c r="B260" i="11"/>
  <c r="K260" i="11"/>
  <c r="T260" i="11"/>
  <c r="W260" i="11"/>
  <c r="X260" i="11" s="1"/>
  <c r="Y260" i="11" s="1"/>
  <c r="Z260" i="11" s="1"/>
  <c r="AC260" i="11" s="1"/>
  <c r="AK260" i="11"/>
  <c r="AN260" i="11"/>
  <c r="AP260" i="11" s="1"/>
  <c r="AQ260" i="11" s="1"/>
  <c r="AT260" i="11"/>
  <c r="B261" i="11"/>
  <c r="K261" i="11"/>
  <c r="T261" i="11"/>
  <c r="W261" i="11"/>
  <c r="AK261" i="11"/>
  <c r="AN261" i="11"/>
  <c r="AP261" i="11" s="1"/>
  <c r="AQ261" i="11" s="1"/>
  <c r="AT261" i="11"/>
  <c r="B262" i="11"/>
  <c r="K262" i="11"/>
  <c r="T262" i="11"/>
  <c r="W262" i="11"/>
  <c r="AK262" i="11"/>
  <c r="AN262" i="11"/>
  <c r="AP262" i="11" s="1"/>
  <c r="AQ262" i="11" s="1"/>
  <c r="AT262" i="11"/>
  <c r="B263" i="11"/>
  <c r="K263" i="11"/>
  <c r="T263" i="11"/>
  <c r="AK263" i="11"/>
  <c r="AT263" i="11"/>
  <c r="B264" i="11"/>
  <c r="T264" i="11"/>
  <c r="U264" i="11"/>
  <c r="W264" i="11"/>
  <c r="X264" i="11" s="1"/>
  <c r="Y264" i="11" s="1"/>
  <c r="AK264" i="11"/>
  <c r="AN264" i="11"/>
  <c r="AP264" i="11" s="1"/>
  <c r="AQ264" i="11" s="1"/>
  <c r="AT264" i="11"/>
  <c r="B265" i="11"/>
  <c r="K265" i="11"/>
  <c r="T265" i="11"/>
  <c r="AN265" i="11" s="1"/>
  <c r="AP265" i="11" s="1"/>
  <c r="AQ265" i="11" s="1"/>
  <c r="U265" i="11"/>
  <c r="W265" i="11"/>
  <c r="X265" i="11" s="1"/>
  <c r="Y265" i="11" s="1"/>
  <c r="Z265" i="11" s="1"/>
  <c r="AK265" i="11"/>
  <c r="AT265" i="11"/>
  <c r="B266" i="11"/>
  <c r="K266" i="11"/>
  <c r="T266" i="11"/>
  <c r="AN266" i="11" s="1"/>
  <c r="AP266" i="11" s="1"/>
  <c r="AQ266" i="11" s="1"/>
  <c r="U266" i="11"/>
  <c r="W266" i="11"/>
  <c r="X266" i="11" s="1"/>
  <c r="Y266" i="11" s="1"/>
  <c r="Z266" i="11" s="1"/>
  <c r="AF266" i="11" s="1"/>
  <c r="AK266" i="11"/>
  <c r="AT266" i="11"/>
  <c r="B267" i="11"/>
  <c r="K267" i="11"/>
  <c r="T267" i="11"/>
  <c r="U267" i="11"/>
  <c r="W267" i="11"/>
  <c r="AK267" i="11"/>
  <c r="AN267" i="11"/>
  <c r="AP267" i="11" s="1"/>
  <c r="AQ267" i="11" s="1"/>
  <c r="AT267" i="11"/>
  <c r="B268" i="11"/>
  <c r="K268" i="11"/>
  <c r="T268" i="11"/>
  <c r="AN268" i="11" s="1"/>
  <c r="AP268" i="11" s="1"/>
  <c r="AQ268" i="11" s="1"/>
  <c r="W268" i="11"/>
  <c r="AT268" i="11"/>
  <c r="B269" i="11"/>
  <c r="K269" i="11"/>
  <c r="T269" i="11"/>
  <c r="AN269" i="11"/>
  <c r="AP269" i="11" s="1"/>
  <c r="AQ269" i="11" s="1"/>
  <c r="W269" i="11"/>
  <c r="X269" i="11" s="1"/>
  <c r="Y269" i="11" s="1"/>
  <c r="Z269" i="11" s="1"/>
  <c r="AE269" i="11" s="1"/>
  <c r="AT269" i="11"/>
  <c r="B270" i="11"/>
  <c r="K270" i="11"/>
  <c r="T270" i="11"/>
  <c r="AN270" i="11"/>
  <c r="AP270" i="11" s="1"/>
  <c r="AQ270" i="11" s="1"/>
  <c r="W270" i="11"/>
  <c r="X168" i="8" s="1"/>
  <c r="AT270" i="11"/>
  <c r="B271" i="11"/>
  <c r="K271" i="11"/>
  <c r="T271" i="11"/>
  <c r="W271" i="11"/>
  <c r="X274" i="8" s="1"/>
  <c r="AN271" i="11"/>
  <c r="AP271" i="11" s="1"/>
  <c r="AQ271" i="11" s="1"/>
  <c r="B272" i="11"/>
  <c r="T272" i="11"/>
  <c r="W272" i="11"/>
  <c r="X272" i="11" s="1"/>
  <c r="Y272" i="11" s="1"/>
  <c r="Z272" i="11" s="1"/>
  <c r="AC272" i="11" s="1"/>
  <c r="AN272" i="11"/>
  <c r="AP272" i="11" s="1"/>
  <c r="AQ272" i="11" s="1"/>
  <c r="T273" i="11"/>
  <c r="W273" i="11"/>
  <c r="X273" i="11" s="1"/>
  <c r="Y273" i="11" s="1"/>
  <c r="Z273" i="11" s="1"/>
  <c r="AN273" i="11"/>
  <c r="AP273" i="11" s="1"/>
  <c r="AQ273" i="11" s="1"/>
  <c r="B274" i="11"/>
  <c r="K274" i="11"/>
  <c r="T274" i="11"/>
  <c r="W274" i="11"/>
  <c r="X274" i="11" s="1"/>
  <c r="Y274" i="11" s="1"/>
  <c r="Z274" i="11" s="1"/>
  <c r="AB274" i="11" s="1"/>
  <c r="AN274" i="11"/>
  <c r="AP274" i="11" s="1"/>
  <c r="AQ274" i="11" s="1"/>
  <c r="AT274" i="11"/>
  <c r="B275" i="11"/>
  <c r="K275" i="11"/>
  <c r="T275" i="11"/>
  <c r="W275" i="11"/>
  <c r="X275" i="11" s="1"/>
  <c r="Y275" i="11" s="1"/>
  <c r="Z275" i="11" s="1"/>
  <c r="AG275" i="11" s="1"/>
  <c r="AN275" i="11"/>
  <c r="AP275" i="11" s="1"/>
  <c r="AQ275" i="11" s="1"/>
  <c r="AT275" i="11"/>
  <c r="B276" i="11"/>
  <c r="K276" i="11"/>
  <c r="T276" i="11"/>
  <c r="W276" i="11"/>
  <c r="X265" i="8" s="1"/>
  <c r="AN276" i="11"/>
  <c r="AP276" i="11" s="1"/>
  <c r="AQ276" i="11" s="1"/>
  <c r="AT276" i="11"/>
  <c r="B277" i="11"/>
  <c r="T277" i="11"/>
  <c r="AN277" i="11" s="1"/>
  <c r="AP277" i="11" s="1"/>
  <c r="AQ277" i="11" s="1"/>
  <c r="W277" i="11"/>
  <c r="X277" i="11" s="1"/>
  <c r="Y277" i="11" s="1"/>
  <c r="Z277" i="11" s="1"/>
  <c r="AT277" i="11"/>
  <c r="B278" i="11"/>
  <c r="T278" i="11"/>
  <c r="AN278" i="11" s="1"/>
  <c r="AP278" i="11" s="1"/>
  <c r="AQ278" i="11" s="1"/>
  <c r="W278" i="11"/>
  <c r="X278" i="11" s="1"/>
  <c r="Y278" i="11" s="1"/>
  <c r="Z278" i="11" s="1"/>
  <c r="AT278" i="11"/>
  <c r="B279" i="11"/>
  <c r="K279" i="11"/>
  <c r="T279" i="11"/>
  <c r="AN279" i="11" s="1"/>
  <c r="AP279" i="11" s="1"/>
  <c r="AQ279" i="11" s="1"/>
  <c r="U279" i="11"/>
  <c r="W279" i="11"/>
  <c r="X133" i="8" s="1"/>
  <c r="AK279" i="11"/>
  <c r="AT279" i="11"/>
  <c r="B280" i="11"/>
  <c r="K280" i="11"/>
  <c r="T280" i="11"/>
  <c r="U280" i="11"/>
  <c r="U282" i="11" s="1"/>
  <c r="W280" i="11"/>
  <c r="X108" i="8" s="1"/>
  <c r="AK280" i="11"/>
  <c r="AN280" i="11"/>
  <c r="AP280" i="11" s="1"/>
  <c r="AQ280" i="11" s="1"/>
  <c r="AT280" i="11"/>
  <c r="B281" i="11"/>
  <c r="K281" i="11"/>
  <c r="T281" i="11"/>
  <c r="W281" i="11"/>
  <c r="X139" i="8" s="1"/>
  <c r="AK281" i="11"/>
  <c r="AN281" i="11"/>
  <c r="AP281" i="11"/>
  <c r="AQ281" i="11" s="1"/>
  <c r="AT281" i="11"/>
  <c r="Q282" i="11"/>
  <c r="Q283" i="11"/>
  <c r="Q289" i="11" s="1"/>
  <c r="S282" i="11"/>
  <c r="V282" i="11"/>
  <c r="AA282" i="11"/>
  <c r="AH282" i="11"/>
  <c r="AH283" i="11" s="1"/>
  <c r="AH289" i="11" s="1"/>
  <c r="AJ282" i="11"/>
  <c r="AJ288" i="11"/>
  <c r="AL282" i="11"/>
  <c r="AL288" i="11" s="1"/>
  <c r="AM282" i="11"/>
  <c r="AM283" i="11" s="1"/>
  <c r="AM289" i="11" s="1"/>
  <c r="AO282" i="11"/>
  <c r="AR282" i="11"/>
  <c r="G283" i="11"/>
  <c r="V283" i="11"/>
  <c r="V289" i="11" s="1"/>
  <c r="AJ283" i="11"/>
  <c r="AJ289" i="11" s="1"/>
  <c r="AL283" i="11"/>
  <c r="AO283" i="11"/>
  <c r="AR283" i="11"/>
  <c r="I285" i="11"/>
  <c r="I286" i="11"/>
  <c r="Q286" i="11"/>
  <c r="S286" i="11"/>
  <c r="T286" i="11"/>
  <c r="V286" i="11"/>
  <c r="W286" i="11"/>
  <c r="AH286" i="11"/>
  <c r="AJ286" i="11"/>
  <c r="AL286" i="11"/>
  <c r="AM286" i="11"/>
  <c r="I287" i="11"/>
  <c r="Q287" i="11"/>
  <c r="R287" i="11"/>
  <c r="S287" i="11"/>
  <c r="S289" i="11" s="1"/>
  <c r="U287" i="11"/>
  <c r="V287" i="11"/>
  <c r="AH287" i="11"/>
  <c r="AJ287" i="11"/>
  <c r="AK287" i="11"/>
  <c r="AL287" i="11"/>
  <c r="AM287" i="11"/>
  <c r="AN287" i="11"/>
  <c r="AO287" i="11"/>
  <c r="AO289" i="11"/>
  <c r="AR287" i="11"/>
  <c r="AR289" i="11" s="1"/>
  <c r="Q288" i="11"/>
  <c r="V288" i="11"/>
  <c r="AA288" i="11"/>
  <c r="E289" i="11"/>
  <c r="I289" i="11"/>
  <c r="N289" i="11"/>
  <c r="O289" i="11"/>
  <c r="P289" i="11"/>
  <c r="W289" i="11"/>
  <c r="AC289" i="11"/>
  <c r="AL289" i="11"/>
  <c r="AZ6" i="10"/>
  <c r="AZ8" i="10" s="1"/>
  <c r="AZ9" i="10" s="1"/>
  <c r="B14" i="10"/>
  <c r="K14" i="10"/>
  <c r="T14" i="10"/>
  <c r="U14" i="10"/>
  <c r="AE14" i="10"/>
  <c r="AE19" i="10" s="1"/>
  <c r="AL14" i="10"/>
  <c r="AV14" i="10"/>
  <c r="B15" i="10"/>
  <c r="K15" i="10"/>
  <c r="T15" i="10"/>
  <c r="U15" i="10"/>
  <c r="AE15" i="10"/>
  <c r="X15" i="10"/>
  <c r="R15" i="10" s="1"/>
  <c r="AL15" i="10"/>
  <c r="AO15" i="10"/>
  <c r="AQ15" i="10" s="1"/>
  <c r="AR15" i="10" s="1"/>
  <c r="AV15" i="10"/>
  <c r="AZ15" i="10"/>
  <c r="BA15" i="10"/>
  <c r="BA16" i="10" s="1"/>
  <c r="BB15" i="10"/>
  <c r="B16" i="10"/>
  <c r="K16" i="10"/>
  <c r="T16" i="10"/>
  <c r="AO16" i="10" s="1"/>
  <c r="AQ16" i="10" s="1"/>
  <c r="AR16" i="10" s="1"/>
  <c r="U16" i="10"/>
  <c r="AE16" i="10"/>
  <c r="X16" i="10"/>
  <c r="AL16" i="10"/>
  <c r="AV16" i="10"/>
  <c r="BB16" i="10"/>
  <c r="B17" i="10"/>
  <c r="T17" i="10"/>
  <c r="AO17" i="10" s="1"/>
  <c r="AQ17" i="10" s="1"/>
  <c r="AR17" i="10" s="1"/>
  <c r="U17" i="10"/>
  <c r="AE17" i="10"/>
  <c r="X17" i="10"/>
  <c r="AL17" i="10"/>
  <c r="AV17" i="10"/>
  <c r="B18" i="10"/>
  <c r="K18" i="10"/>
  <c r="T18" i="10"/>
  <c r="R18" i="10" s="1"/>
  <c r="U18" i="10"/>
  <c r="AE18" i="10" s="1"/>
  <c r="X18" i="10"/>
  <c r="AL18" i="10"/>
  <c r="AO18" i="10"/>
  <c r="AQ18" i="10" s="1"/>
  <c r="AR18" i="10" s="1"/>
  <c r="AV18" i="10"/>
  <c r="Q19" i="10"/>
  <c r="V19" i="10"/>
  <c r="AA19" i="10"/>
  <c r="AI19" i="10"/>
  <c r="AK19" i="10"/>
  <c r="AM19" i="10"/>
  <c r="AN19" i="10"/>
  <c r="AP19" i="10"/>
  <c r="AS19" i="10"/>
  <c r="AT19" i="10"/>
  <c r="B14" i="8"/>
  <c r="K14" i="8"/>
  <c r="U14" i="8"/>
  <c r="AO14" i="8" s="1"/>
  <c r="AQ14" i="8" s="1"/>
  <c r="AR14" i="8" s="1"/>
  <c r="V14" i="8"/>
  <c r="AL14" i="8"/>
  <c r="AU14" i="8"/>
  <c r="B15" i="8"/>
  <c r="K15" i="8"/>
  <c r="U15" i="8"/>
  <c r="Y15" i="8" s="1"/>
  <c r="V15" i="8"/>
  <c r="AL15" i="8"/>
  <c r="AU15" i="8"/>
  <c r="B16" i="8"/>
  <c r="K16" i="8"/>
  <c r="U16" i="8"/>
  <c r="AO16" i="8" s="1"/>
  <c r="AQ16" i="8" s="1"/>
  <c r="AR16" i="8" s="1"/>
  <c r="V16" i="8"/>
  <c r="AL16" i="8"/>
  <c r="AU16" i="8"/>
  <c r="B17" i="8"/>
  <c r="K17" i="8"/>
  <c r="U17" i="8"/>
  <c r="AO17" i="8" s="1"/>
  <c r="AQ17" i="8" s="1"/>
  <c r="AR17" i="8" s="1"/>
  <c r="V17" i="8"/>
  <c r="AL17" i="8"/>
  <c r="AU17" i="8"/>
  <c r="B24" i="8"/>
  <c r="K24" i="8"/>
  <c r="U24" i="8"/>
  <c r="AO24" i="8" s="1"/>
  <c r="AQ24" i="8" s="1"/>
  <c r="AR24" i="8" s="1"/>
  <c r="V24" i="8"/>
  <c r="AL24" i="8"/>
  <c r="AU24" i="8"/>
  <c r="B19" i="8"/>
  <c r="K19" i="8"/>
  <c r="U19" i="8"/>
  <c r="AO19" i="8" s="1"/>
  <c r="AQ19" i="8" s="1"/>
  <c r="AR19" i="8" s="1"/>
  <c r="V19" i="8"/>
  <c r="AL19" i="8"/>
  <c r="AU19" i="8"/>
  <c r="U18" i="8"/>
  <c r="AO18" i="8" s="1"/>
  <c r="AQ18" i="8" s="1"/>
  <c r="AR18" i="8" s="1"/>
  <c r="V18" i="8"/>
  <c r="AL18" i="8"/>
  <c r="AU18" i="8"/>
  <c r="B32" i="8"/>
  <c r="U32" i="8"/>
  <c r="Y32" i="8" s="1"/>
  <c r="V32" i="8"/>
  <c r="AL32" i="8"/>
  <c r="AU32" i="8"/>
  <c r="B23" i="8"/>
  <c r="U23" i="8"/>
  <c r="AO23" i="8" s="1"/>
  <c r="AQ23" i="8" s="1"/>
  <c r="AR23" i="8" s="1"/>
  <c r="V23" i="8"/>
  <c r="AL23" i="8"/>
  <c r="AU23" i="8"/>
  <c r="B25" i="8"/>
  <c r="U25" i="8"/>
  <c r="AO25" i="8" s="1"/>
  <c r="AQ25" i="8" s="1"/>
  <c r="AR25" i="8" s="1"/>
  <c r="V25" i="8"/>
  <c r="AL25" i="8"/>
  <c r="AU25" i="8"/>
  <c r="B55" i="8"/>
  <c r="U55" i="8"/>
  <c r="AO55" i="8" s="1"/>
  <c r="AQ55" i="8" s="1"/>
  <c r="AR55" i="8" s="1"/>
  <c r="V55" i="8"/>
  <c r="AL55" i="8"/>
  <c r="AU55" i="8"/>
  <c r="B20" i="8"/>
  <c r="K20" i="8"/>
  <c r="U20" i="8"/>
  <c r="Y20" i="8" s="1"/>
  <c r="S20" i="8" s="1"/>
  <c r="V20" i="8"/>
  <c r="AL20" i="8"/>
  <c r="AU20" i="8"/>
  <c r="B26" i="8"/>
  <c r="K26" i="8"/>
  <c r="U26" i="8"/>
  <c r="AO26" i="8" s="1"/>
  <c r="AQ26" i="8" s="1"/>
  <c r="AR26" i="8" s="1"/>
  <c r="V26" i="8"/>
  <c r="AL26" i="8"/>
  <c r="AU26" i="8"/>
  <c r="B56" i="8"/>
  <c r="K56" i="8"/>
  <c r="U56" i="8"/>
  <c r="Y56" i="8" s="1"/>
  <c r="V56" i="8"/>
  <c r="AL56" i="8"/>
  <c r="AU56" i="8"/>
  <c r="B38" i="8"/>
  <c r="K38" i="8"/>
  <c r="U38" i="8"/>
  <c r="AO38" i="8" s="1"/>
  <c r="AQ38" i="8" s="1"/>
  <c r="AR38" i="8" s="1"/>
  <c r="V38" i="8"/>
  <c r="AL38" i="8"/>
  <c r="AU38" i="8"/>
  <c r="B72" i="8"/>
  <c r="K72" i="8"/>
  <c r="U72" i="8"/>
  <c r="AO72" i="8" s="1"/>
  <c r="AQ72" i="8" s="1"/>
  <c r="AR72" i="8" s="1"/>
  <c r="V72" i="8"/>
  <c r="AL72" i="8"/>
  <c r="AU72" i="8"/>
  <c r="B54" i="8"/>
  <c r="K54" i="8"/>
  <c r="U54" i="8"/>
  <c r="Y54" i="8" s="1"/>
  <c r="S54" i="8" s="1"/>
  <c r="V54" i="8"/>
  <c r="AL54" i="8"/>
  <c r="AU54" i="8"/>
  <c r="B29" i="8"/>
  <c r="K29" i="8"/>
  <c r="U29" i="8"/>
  <c r="Y29" i="8" s="1"/>
  <c r="Z29" i="8" s="1"/>
  <c r="AA29" i="8" s="1"/>
  <c r="V29" i="8"/>
  <c r="AL29" i="8"/>
  <c r="AU29" i="8"/>
  <c r="B21" i="8"/>
  <c r="K21" i="8"/>
  <c r="U21" i="8"/>
  <c r="Y21" i="8" s="1"/>
  <c r="Z21" i="8" s="1"/>
  <c r="AA21" i="8" s="1"/>
  <c r="AG21" i="8" s="1"/>
  <c r="V21" i="8"/>
  <c r="AL21" i="8"/>
  <c r="AU21" i="8"/>
  <c r="B35" i="8"/>
  <c r="K35" i="8"/>
  <c r="U35" i="8"/>
  <c r="AO35" i="8" s="1"/>
  <c r="AQ35" i="8" s="1"/>
  <c r="AR35" i="8" s="1"/>
  <c r="V35" i="8"/>
  <c r="AL35" i="8"/>
  <c r="AU35" i="8"/>
  <c r="B48" i="8"/>
  <c r="K48" i="8"/>
  <c r="U48" i="8"/>
  <c r="Y48" i="8" s="1"/>
  <c r="V48" i="8"/>
  <c r="AL48" i="8"/>
  <c r="AU48" i="8"/>
  <c r="B64" i="8"/>
  <c r="K64" i="8"/>
  <c r="U64" i="8"/>
  <c r="Y64" i="8" s="1"/>
  <c r="Z64" i="8" s="1"/>
  <c r="AA64" i="8" s="1"/>
  <c r="V64" i="8"/>
  <c r="AL64" i="8"/>
  <c r="AU64" i="8"/>
  <c r="B52" i="8"/>
  <c r="K52" i="8"/>
  <c r="U52" i="8"/>
  <c r="AO52" i="8" s="1"/>
  <c r="AQ52" i="8" s="1"/>
  <c r="AR52" i="8" s="1"/>
  <c r="V52" i="8"/>
  <c r="AL52" i="8"/>
  <c r="AU52" i="8"/>
  <c r="B65" i="8"/>
  <c r="U65" i="8"/>
  <c r="Y65" i="8" s="1"/>
  <c r="V65" i="8"/>
  <c r="AL65" i="8"/>
  <c r="AU65" i="8"/>
  <c r="B37" i="8"/>
  <c r="K37" i="8"/>
  <c r="U37" i="8"/>
  <c r="Y37" i="8" s="1"/>
  <c r="S37" i="8" s="1"/>
  <c r="V37" i="8"/>
  <c r="AL37" i="8"/>
  <c r="AU37" i="8"/>
  <c r="AY37" i="8"/>
  <c r="B57" i="8"/>
  <c r="U57" i="8"/>
  <c r="AO57" i="8" s="1"/>
  <c r="AQ57" i="8" s="1"/>
  <c r="AR57" i="8" s="1"/>
  <c r="V57" i="8"/>
  <c r="AL57" i="8"/>
  <c r="AU57" i="8"/>
  <c r="AY57" i="8"/>
  <c r="B49" i="8"/>
  <c r="K49" i="8"/>
  <c r="U49" i="8"/>
  <c r="AO49" i="8" s="1"/>
  <c r="AQ49" i="8" s="1"/>
  <c r="AR49" i="8" s="1"/>
  <c r="V49" i="8"/>
  <c r="AL49" i="8"/>
  <c r="AU49" i="8"/>
  <c r="AY49" i="8"/>
  <c r="B46" i="8"/>
  <c r="K46" i="8"/>
  <c r="U46" i="8"/>
  <c r="AO46" i="8" s="1"/>
  <c r="AQ46" i="8" s="1"/>
  <c r="AR46" i="8" s="1"/>
  <c r="V46" i="8"/>
  <c r="AL46" i="8"/>
  <c r="AU46" i="8"/>
  <c r="AY46" i="8"/>
  <c r="B47" i="8"/>
  <c r="K47" i="8"/>
  <c r="U47" i="8"/>
  <c r="Y47" i="8" s="1"/>
  <c r="S47" i="8" s="1"/>
  <c r="V47" i="8"/>
  <c r="AL47" i="8"/>
  <c r="AU47" i="8"/>
  <c r="B31" i="8"/>
  <c r="K31" i="8"/>
  <c r="U31" i="8"/>
  <c r="AO31" i="8" s="1"/>
  <c r="AQ31" i="8" s="1"/>
  <c r="AR31" i="8" s="1"/>
  <c r="V31" i="8"/>
  <c r="AL31" i="8"/>
  <c r="AU31" i="8"/>
  <c r="B50" i="8"/>
  <c r="K50" i="8"/>
  <c r="U50" i="8"/>
  <c r="AO50" i="8" s="1"/>
  <c r="AQ50" i="8" s="1"/>
  <c r="AR50" i="8" s="1"/>
  <c r="V50" i="8"/>
  <c r="AL50" i="8"/>
  <c r="AU50" i="8"/>
  <c r="K58" i="8"/>
  <c r="U58" i="8"/>
  <c r="Y58" i="8" s="1"/>
  <c r="S58" i="8" s="1"/>
  <c r="V58" i="8"/>
  <c r="AL58" i="8"/>
  <c r="AU58" i="8"/>
  <c r="B39" i="8"/>
  <c r="K39" i="8"/>
  <c r="U39" i="8"/>
  <c r="AO39" i="8" s="1"/>
  <c r="AQ39" i="8" s="1"/>
  <c r="AR39" i="8" s="1"/>
  <c r="V39" i="8"/>
  <c r="AL39" i="8"/>
  <c r="AU39" i="8"/>
  <c r="B75" i="8"/>
  <c r="K75" i="8"/>
  <c r="U75" i="8"/>
  <c r="AO75" i="8" s="1"/>
  <c r="AQ75" i="8" s="1"/>
  <c r="AR75" i="8" s="1"/>
  <c r="V75" i="8"/>
  <c r="AL75" i="8"/>
  <c r="AU75" i="8"/>
  <c r="B43" i="8"/>
  <c r="K43" i="8"/>
  <c r="U43" i="8"/>
  <c r="AO43" i="8" s="1"/>
  <c r="AQ43" i="8" s="1"/>
  <c r="AR43" i="8" s="1"/>
  <c r="V43" i="8"/>
  <c r="AL43" i="8"/>
  <c r="AU43" i="8"/>
  <c r="B59" i="8"/>
  <c r="K59" i="8"/>
  <c r="U59" i="8"/>
  <c r="AO59" i="8" s="1"/>
  <c r="AQ59" i="8" s="1"/>
  <c r="AR59" i="8" s="1"/>
  <c r="V59" i="8"/>
  <c r="AL59" i="8"/>
  <c r="AU59" i="8"/>
  <c r="B63" i="8"/>
  <c r="K63" i="8"/>
  <c r="U63" i="8"/>
  <c r="Y63" i="8" s="1"/>
  <c r="S63" i="8" s="1"/>
  <c r="V63" i="8"/>
  <c r="AL63" i="8"/>
  <c r="AU63" i="8"/>
  <c r="B67" i="8"/>
  <c r="K67" i="8"/>
  <c r="U67" i="8"/>
  <c r="Y67" i="8" s="1"/>
  <c r="S67" i="8" s="1"/>
  <c r="V67" i="8"/>
  <c r="AL67" i="8"/>
  <c r="AU67" i="8"/>
  <c r="B45" i="8"/>
  <c r="K45" i="8"/>
  <c r="U45" i="8"/>
  <c r="AO45" i="8" s="1"/>
  <c r="AQ45" i="8" s="1"/>
  <c r="AR45" i="8" s="1"/>
  <c r="V45" i="8"/>
  <c r="AL45" i="8"/>
  <c r="AU45" i="8"/>
  <c r="B40" i="8"/>
  <c r="U40" i="8"/>
  <c r="Y40" i="8" s="1"/>
  <c r="Z40" i="8" s="1"/>
  <c r="AA40" i="8" s="1"/>
  <c r="AD40" i="8" s="1"/>
  <c r="V40" i="8"/>
  <c r="AL40" i="8"/>
  <c r="AU40" i="8"/>
  <c r="B44" i="8"/>
  <c r="K44" i="8"/>
  <c r="U44" i="8"/>
  <c r="AO44" i="8" s="1"/>
  <c r="AQ44" i="8" s="1"/>
  <c r="AR44" i="8" s="1"/>
  <c r="V44" i="8"/>
  <c r="AL44" i="8"/>
  <c r="AU44" i="8"/>
  <c r="B36" i="8"/>
  <c r="K36" i="8"/>
  <c r="U36" i="8"/>
  <c r="AO36" i="8" s="1"/>
  <c r="AQ36" i="8" s="1"/>
  <c r="AR36" i="8" s="1"/>
  <c r="V36" i="8"/>
  <c r="AL36" i="8"/>
  <c r="AU36" i="8"/>
  <c r="B73" i="8"/>
  <c r="K73" i="8"/>
  <c r="U73" i="8"/>
  <c r="AO73" i="8" s="1"/>
  <c r="AQ73" i="8" s="1"/>
  <c r="AR73" i="8" s="1"/>
  <c r="V73" i="8"/>
  <c r="AL73" i="8"/>
  <c r="AU73" i="8"/>
  <c r="B42" i="8"/>
  <c r="K42" i="8"/>
  <c r="U42" i="8"/>
  <c r="AO42" i="8" s="1"/>
  <c r="AQ42" i="8" s="1"/>
  <c r="AR42" i="8" s="1"/>
  <c r="V42" i="8"/>
  <c r="AL42" i="8"/>
  <c r="AU42" i="8"/>
  <c r="B41" i="8"/>
  <c r="K41" i="8"/>
  <c r="U41" i="8"/>
  <c r="AO41" i="8" s="1"/>
  <c r="AQ41" i="8" s="1"/>
  <c r="AR41" i="8" s="1"/>
  <c r="V41" i="8"/>
  <c r="AL41" i="8"/>
  <c r="AU41" i="8"/>
  <c r="B74" i="8"/>
  <c r="K74" i="8"/>
  <c r="U74" i="8"/>
  <c r="Y74" i="8" s="1"/>
  <c r="Z74" i="8" s="1"/>
  <c r="AA74" i="8" s="1"/>
  <c r="V74" i="8"/>
  <c r="AL74" i="8"/>
  <c r="AU74" i="8"/>
  <c r="B66" i="8"/>
  <c r="K66" i="8"/>
  <c r="U66" i="8"/>
  <c r="AO66" i="8" s="1"/>
  <c r="AQ66" i="8" s="1"/>
  <c r="AR66" i="8" s="1"/>
  <c r="V66" i="8"/>
  <c r="AL66" i="8"/>
  <c r="AU66" i="8"/>
  <c r="B68" i="8"/>
  <c r="K68" i="8"/>
  <c r="U68" i="8"/>
  <c r="AO68" i="8" s="1"/>
  <c r="AQ68" i="8" s="1"/>
  <c r="AR68" i="8" s="1"/>
  <c r="V68" i="8"/>
  <c r="AL68" i="8"/>
  <c r="AU68" i="8"/>
  <c r="B61" i="8"/>
  <c r="K61" i="8"/>
  <c r="U61" i="8"/>
  <c r="AO61" i="8" s="1"/>
  <c r="AQ61" i="8" s="1"/>
  <c r="AR61" i="8" s="1"/>
  <c r="V61" i="8"/>
  <c r="AL61" i="8"/>
  <c r="AU61" i="8"/>
  <c r="B28" i="8"/>
  <c r="K28" i="8"/>
  <c r="U28" i="8"/>
  <c r="V28" i="8"/>
  <c r="AL28" i="8"/>
  <c r="AU28" i="8"/>
  <c r="B27" i="8"/>
  <c r="K27" i="8"/>
  <c r="U27" i="8"/>
  <c r="AO27" i="8" s="1"/>
  <c r="AQ27" i="8" s="1"/>
  <c r="AR27" i="8" s="1"/>
  <c r="V27" i="8"/>
  <c r="AL27" i="8"/>
  <c r="AU27" i="8"/>
  <c r="B70" i="8"/>
  <c r="K70" i="8"/>
  <c r="U70" i="8"/>
  <c r="Y70" i="8" s="1"/>
  <c r="Z70" i="8" s="1"/>
  <c r="AA70" i="8" s="1"/>
  <c r="AH70" i="8" s="1"/>
  <c r="V70" i="8"/>
  <c r="AL70" i="8"/>
  <c r="AU70" i="8"/>
  <c r="B69" i="8"/>
  <c r="K69" i="8"/>
  <c r="U69" i="8"/>
  <c r="AO69" i="8" s="1"/>
  <c r="AQ69" i="8" s="1"/>
  <c r="AR69" i="8" s="1"/>
  <c r="V69" i="8"/>
  <c r="AL69" i="8"/>
  <c r="AU69" i="8"/>
  <c r="B71" i="8"/>
  <c r="K71" i="8"/>
  <c r="U71" i="8"/>
  <c r="Y71" i="8" s="1"/>
  <c r="Z71" i="8" s="1"/>
  <c r="AA71" i="8" s="1"/>
  <c r="AC71" i="8" s="1"/>
  <c r="V71" i="8"/>
  <c r="AL71" i="8"/>
  <c r="AU71" i="8"/>
  <c r="B60" i="8"/>
  <c r="K60" i="8"/>
  <c r="U60" i="8"/>
  <c r="AO60" i="8" s="1"/>
  <c r="AQ60" i="8" s="1"/>
  <c r="AR60" i="8" s="1"/>
  <c r="V60" i="8"/>
  <c r="AL60" i="8"/>
  <c r="AU60" i="8"/>
  <c r="B62" i="8"/>
  <c r="K62" i="8"/>
  <c r="U62" i="8"/>
  <c r="AO62" i="8" s="1"/>
  <c r="AQ62" i="8" s="1"/>
  <c r="AR62" i="8" s="1"/>
  <c r="V62" i="8"/>
  <c r="AL62" i="8"/>
  <c r="AU62" i="8"/>
  <c r="B53" i="8"/>
  <c r="K53" i="8"/>
  <c r="U53" i="8"/>
  <c r="Y53" i="8" s="1"/>
  <c r="S53" i="8" s="1"/>
  <c r="V53" i="8"/>
  <c r="AL53" i="8"/>
  <c r="AU53" i="8"/>
  <c r="B34" i="8"/>
  <c r="K34" i="8"/>
  <c r="U34" i="8"/>
  <c r="Y34" i="8" s="1"/>
  <c r="V34" i="8"/>
  <c r="AL34" i="8"/>
  <c r="AU34" i="8"/>
  <c r="B33" i="8"/>
  <c r="K33" i="8"/>
  <c r="U33" i="8"/>
  <c r="AO33" i="8" s="1"/>
  <c r="AQ33" i="8" s="1"/>
  <c r="AR33" i="8" s="1"/>
  <c r="V33" i="8"/>
  <c r="AL33" i="8"/>
  <c r="AU33" i="8"/>
  <c r="B30" i="8"/>
  <c r="K30" i="8"/>
  <c r="U30" i="8"/>
  <c r="V30" i="8"/>
  <c r="AL30" i="8"/>
  <c r="AQ30" i="8"/>
  <c r="AR30" i="8" s="1"/>
  <c r="AU30" i="8"/>
  <c r="B51" i="8"/>
  <c r="K51" i="8"/>
  <c r="U51" i="8"/>
  <c r="AO51" i="8" s="1"/>
  <c r="AQ51" i="8" s="1"/>
  <c r="AR51" i="8" s="1"/>
  <c r="V51" i="8"/>
  <c r="AL51" i="8"/>
  <c r="AU51" i="8"/>
  <c r="B76" i="8"/>
  <c r="G76" i="8"/>
  <c r="H76" i="8"/>
  <c r="R76" i="8"/>
  <c r="R290" i="8" s="1"/>
  <c r="W76" i="8"/>
  <c r="W290" i="8" s="1"/>
  <c r="AI76" i="8"/>
  <c r="AI290" i="8" s="1"/>
  <c r="AK76" i="8"/>
  <c r="AK290" i="8" s="1"/>
  <c r="AS76" i="8"/>
  <c r="B77" i="8"/>
  <c r="U190" i="8"/>
  <c r="AO190" i="8" s="1"/>
  <c r="AQ190" i="8" s="1"/>
  <c r="AR190" i="8" s="1"/>
  <c r="U143" i="8"/>
  <c r="AO143" i="8" s="1"/>
  <c r="AQ143" i="8" s="1"/>
  <c r="AR143" i="8" s="1"/>
  <c r="U276" i="8"/>
  <c r="Y276" i="8" s="1"/>
  <c r="Z276" i="8" s="1"/>
  <c r="AA276" i="8" s="1"/>
  <c r="U284" i="8"/>
  <c r="AO284" i="8" s="1"/>
  <c r="AQ284" i="8" s="1"/>
  <c r="AR284" i="8" s="1"/>
  <c r="U279" i="8"/>
  <c r="AO279" i="8" s="1"/>
  <c r="AQ279" i="8" s="1"/>
  <c r="AR279" i="8" s="1"/>
  <c r="U242" i="8"/>
  <c r="Y242" i="8" s="1"/>
  <c r="U144" i="8"/>
  <c r="AO144" i="8" s="1"/>
  <c r="AQ144" i="8" s="1"/>
  <c r="AR144" i="8" s="1"/>
  <c r="U277" i="8"/>
  <c r="AO277" i="8" s="1"/>
  <c r="AQ277" i="8" s="1"/>
  <c r="AR277" i="8" s="1"/>
  <c r="U191" i="8"/>
  <c r="AO191" i="8" s="1"/>
  <c r="AQ191" i="8" s="1"/>
  <c r="AR191" i="8" s="1"/>
  <c r="X191" i="8"/>
  <c r="U159" i="8"/>
  <c r="AO159" i="8" s="1"/>
  <c r="AQ159" i="8" s="1"/>
  <c r="AR159" i="8" s="1"/>
  <c r="X159" i="8"/>
  <c r="U275" i="8"/>
  <c r="AO275" i="8" s="1"/>
  <c r="AQ275" i="8" s="1"/>
  <c r="AR275" i="8" s="1"/>
  <c r="U156" i="8"/>
  <c r="Y156" i="8" s="1"/>
  <c r="U158" i="8"/>
  <c r="AO158" i="8" s="1"/>
  <c r="AQ158" i="8" s="1"/>
  <c r="AR158" i="8" s="1"/>
  <c r="U278" i="8"/>
  <c r="AO278" i="8" s="1"/>
  <c r="AQ278" i="8" s="1"/>
  <c r="AR278" i="8" s="1"/>
  <c r="B84" i="8"/>
  <c r="T84" i="8"/>
  <c r="T291" i="8" s="1"/>
  <c r="AS84" i="8"/>
  <c r="AS286" i="8" s="1"/>
  <c r="B85" i="8"/>
  <c r="B86" i="8"/>
  <c r="B256" i="8"/>
  <c r="K256" i="8"/>
  <c r="Y256" i="8"/>
  <c r="V256" i="8"/>
  <c r="AL256" i="8"/>
  <c r="B224" i="8"/>
  <c r="K224" i="8"/>
  <c r="U224" i="8"/>
  <c r="AO224" i="8" s="1"/>
  <c r="AQ224" i="8" s="1"/>
  <c r="AR224" i="8" s="1"/>
  <c r="V224" i="8"/>
  <c r="AL224" i="8"/>
  <c r="B131" i="8"/>
  <c r="K131" i="8"/>
  <c r="U131" i="8"/>
  <c r="AO131" i="8" s="1"/>
  <c r="AQ131" i="8" s="1"/>
  <c r="AR131" i="8" s="1"/>
  <c r="V131" i="8"/>
  <c r="AL131" i="8"/>
  <c r="B134" i="8"/>
  <c r="K134" i="8"/>
  <c r="U134" i="8"/>
  <c r="V134" i="8"/>
  <c r="AL134" i="8"/>
  <c r="B132" i="8"/>
  <c r="K132" i="8"/>
  <c r="U132" i="8"/>
  <c r="AO132" i="8" s="1"/>
  <c r="AQ132" i="8" s="1"/>
  <c r="AR132" i="8" s="1"/>
  <c r="V132" i="8"/>
  <c r="AL132" i="8"/>
  <c r="B113" i="8"/>
  <c r="K113" i="8"/>
  <c r="U113" i="8"/>
  <c r="AO113" i="8" s="1"/>
  <c r="AQ113" i="8" s="1"/>
  <c r="AR113" i="8" s="1"/>
  <c r="AL113" i="8"/>
  <c r="AU113" i="8"/>
  <c r="B87" i="8"/>
  <c r="K87" i="8"/>
  <c r="U87" i="8"/>
  <c r="AO87" i="8" s="1"/>
  <c r="AQ87" i="8" s="1"/>
  <c r="AR87" i="8" s="1"/>
  <c r="AL87" i="8"/>
  <c r="B127" i="8"/>
  <c r="U127" i="8"/>
  <c r="AO127" i="8" s="1"/>
  <c r="AQ127" i="8" s="1"/>
  <c r="AR127" i="8" s="1"/>
  <c r="V127" i="8"/>
  <c r="AL127" i="8"/>
  <c r="AU127" i="8"/>
  <c r="B193" i="8"/>
  <c r="K193" i="8"/>
  <c r="U193" i="8"/>
  <c r="V193" i="8"/>
  <c r="AL193" i="8"/>
  <c r="B192" i="8"/>
  <c r="K192" i="8"/>
  <c r="U192" i="8"/>
  <c r="V192" i="8"/>
  <c r="AL192" i="8"/>
  <c r="B225" i="8"/>
  <c r="U225" i="8"/>
  <c r="AO225" i="8" s="1"/>
  <c r="AQ225" i="8" s="1"/>
  <c r="AR225" i="8" s="1"/>
  <c r="V225" i="8"/>
  <c r="AL225" i="8"/>
  <c r="B142" i="8"/>
  <c r="K142" i="8"/>
  <c r="U142" i="8"/>
  <c r="Y142" i="8" s="1"/>
  <c r="Z142" i="8" s="1"/>
  <c r="AA142" i="8" s="1"/>
  <c r="AD142" i="8" s="1"/>
  <c r="B205" i="8"/>
  <c r="K205" i="8"/>
  <c r="U205" i="8"/>
  <c r="AO205" i="8" s="1"/>
  <c r="AQ205" i="8" s="1"/>
  <c r="AR205" i="8" s="1"/>
  <c r="B280" i="8"/>
  <c r="K280" i="8"/>
  <c r="U280" i="8"/>
  <c r="Y280" i="8" s="1"/>
  <c r="Z280" i="8" s="1"/>
  <c r="AA280" i="8" s="1"/>
  <c r="AG280" i="8" s="1"/>
  <c r="B162" i="8"/>
  <c r="K162" i="8"/>
  <c r="U162" i="8"/>
  <c r="AO162" i="8" s="1"/>
  <c r="AQ162" i="8" s="1"/>
  <c r="AR162" i="8" s="1"/>
  <c r="V162" i="8"/>
  <c r="B281" i="8"/>
  <c r="K281" i="8"/>
  <c r="U281" i="8"/>
  <c r="Y281" i="8" s="1"/>
  <c r="Z281" i="8" s="1"/>
  <c r="AA281" i="8" s="1"/>
  <c r="V281" i="8"/>
  <c r="AL281" i="8"/>
  <c r="B138" i="8"/>
  <c r="K138" i="8"/>
  <c r="U138" i="8"/>
  <c r="Y138" i="8" s="1"/>
  <c r="V138" i="8"/>
  <c r="AL138" i="8"/>
  <c r="B88" i="8"/>
  <c r="U88" i="8"/>
  <c r="AO88" i="8" s="1"/>
  <c r="AQ88" i="8" s="1"/>
  <c r="AR88" i="8" s="1"/>
  <c r="B114" i="8"/>
  <c r="K114" i="8"/>
  <c r="U114" i="8"/>
  <c r="V114" i="8"/>
  <c r="AL114" i="8"/>
  <c r="AU114" i="8"/>
  <c r="B226" i="8"/>
  <c r="K226" i="8"/>
  <c r="U226" i="8"/>
  <c r="V226" i="8"/>
  <c r="AL226" i="8"/>
  <c r="B257" i="8"/>
  <c r="K257" i="8"/>
  <c r="U257" i="8"/>
  <c r="AO257" i="8" s="1"/>
  <c r="AQ257" i="8" s="1"/>
  <c r="AR257" i="8" s="1"/>
  <c r="V257" i="8"/>
  <c r="AL257" i="8"/>
  <c r="B258" i="8"/>
  <c r="K258" i="8"/>
  <c r="U258" i="8"/>
  <c r="AO258" i="8" s="1"/>
  <c r="AQ258" i="8" s="1"/>
  <c r="AR258" i="8" s="1"/>
  <c r="V258" i="8"/>
  <c r="AL258" i="8"/>
  <c r="B212" i="8"/>
  <c r="K212" i="8"/>
  <c r="U212" i="8"/>
  <c r="AO212" i="8" s="1"/>
  <c r="AQ212" i="8" s="1"/>
  <c r="AR212" i="8" s="1"/>
  <c r="V212" i="8"/>
  <c r="AL212" i="8"/>
  <c r="B170" i="8"/>
  <c r="U170" i="8"/>
  <c r="V170" i="8"/>
  <c r="W170" i="8"/>
  <c r="AL170" i="8"/>
  <c r="B216" i="8"/>
  <c r="K216" i="8"/>
  <c r="U216" i="8"/>
  <c r="V216" i="8"/>
  <c r="AL216" i="8"/>
  <c r="B194" i="8"/>
  <c r="K194" i="8"/>
  <c r="U194" i="8"/>
  <c r="Y194" i="8" s="1"/>
  <c r="V194" i="8"/>
  <c r="AL194" i="8"/>
  <c r="B145" i="8"/>
  <c r="K145" i="8"/>
  <c r="U145" i="8"/>
  <c r="AO145" i="8" s="1"/>
  <c r="AQ145" i="8" s="1"/>
  <c r="AR145" i="8" s="1"/>
  <c r="V145" i="8"/>
  <c r="B157" i="8"/>
  <c r="K157" i="8"/>
  <c r="U157" i="8"/>
  <c r="Y157" i="8" s="1"/>
  <c r="Z157" i="8" s="1"/>
  <c r="AA157" i="8" s="1"/>
  <c r="AD157" i="8" s="1"/>
  <c r="V157" i="8"/>
  <c r="AL157" i="8"/>
  <c r="B227" i="8"/>
  <c r="U227" i="8"/>
  <c r="AO227" i="8" s="1"/>
  <c r="AQ227" i="8" s="1"/>
  <c r="AR227" i="8" s="1"/>
  <c r="V227" i="8"/>
  <c r="AL227" i="8"/>
  <c r="B259" i="8"/>
  <c r="K259" i="8"/>
  <c r="U259" i="8"/>
  <c r="Y259" i="8" s="1"/>
  <c r="Z259" i="8" s="1"/>
  <c r="AA259" i="8" s="1"/>
  <c r="AD259" i="8" s="1"/>
  <c r="AE259" i="8" s="1"/>
  <c r="AL259" i="8"/>
  <c r="B244" i="8"/>
  <c r="U244" i="8"/>
  <c r="AO244" i="8" s="1"/>
  <c r="AQ244" i="8" s="1"/>
  <c r="AR244" i="8" s="1"/>
  <c r="V244" i="8"/>
  <c r="B99" i="8"/>
  <c r="K99" i="8"/>
  <c r="U99" i="8"/>
  <c r="AO99" i="8" s="1"/>
  <c r="AQ99" i="8" s="1"/>
  <c r="AR99" i="8" s="1"/>
  <c r="V99" i="8"/>
  <c r="X99" i="8"/>
  <c r="AL99" i="8"/>
  <c r="AU99" i="8"/>
  <c r="B102" i="8"/>
  <c r="K102" i="8"/>
  <c r="U102" i="8"/>
  <c r="V102" i="8"/>
  <c r="AL102" i="8"/>
  <c r="AQ102" i="8"/>
  <c r="AR102" i="8" s="1"/>
  <c r="B123" i="8"/>
  <c r="K123" i="8"/>
  <c r="U123" i="8"/>
  <c r="AO123" i="8" s="1"/>
  <c r="AQ123" i="8" s="1"/>
  <c r="AR123" i="8" s="1"/>
  <c r="V123" i="8"/>
  <c r="AL123" i="8"/>
  <c r="AU123" i="8"/>
  <c r="B125" i="8"/>
  <c r="K125" i="8"/>
  <c r="U125" i="8"/>
  <c r="V125" i="8"/>
  <c r="AL125" i="8"/>
  <c r="AQ125" i="8"/>
  <c r="AR125" i="8" s="1"/>
  <c r="AU125" i="8"/>
  <c r="B111" i="8"/>
  <c r="K111" i="8"/>
  <c r="U111" i="8"/>
  <c r="V111" i="8"/>
  <c r="AL111" i="8"/>
  <c r="AQ111" i="8"/>
  <c r="AR111" i="8" s="1"/>
  <c r="AU111" i="8"/>
  <c r="B137" i="8"/>
  <c r="K137" i="8"/>
  <c r="U137" i="8"/>
  <c r="V137" i="8"/>
  <c r="AL137" i="8"/>
  <c r="AQ137" i="8"/>
  <c r="AR137" i="8" s="1"/>
  <c r="B98" i="8"/>
  <c r="K98" i="8"/>
  <c r="U98" i="8"/>
  <c r="V98" i="8"/>
  <c r="AL98" i="8"/>
  <c r="AQ98" i="8"/>
  <c r="AR98" i="8" s="1"/>
  <c r="AU98" i="8"/>
  <c r="B128" i="8"/>
  <c r="K128" i="8"/>
  <c r="U128" i="8"/>
  <c r="V128" i="8"/>
  <c r="AL128" i="8"/>
  <c r="AQ128" i="8"/>
  <c r="AR128" i="8" s="1"/>
  <c r="AU128" i="8"/>
  <c r="B89" i="8"/>
  <c r="K89" i="8"/>
  <c r="U89" i="8"/>
  <c r="V89" i="8"/>
  <c r="AQ89" i="8"/>
  <c r="AR89" i="8" s="1"/>
  <c r="B90" i="8"/>
  <c r="K90" i="8"/>
  <c r="AU90" i="8"/>
  <c r="B115" i="8"/>
  <c r="K115" i="8"/>
  <c r="U115" i="8"/>
  <c r="V115" i="8"/>
  <c r="AL115" i="8"/>
  <c r="AQ115" i="8"/>
  <c r="AR115" i="8" s="1"/>
  <c r="AU115" i="8"/>
  <c r="B140" i="8"/>
  <c r="K140" i="8"/>
  <c r="U140" i="8"/>
  <c r="AO140" i="8" s="1"/>
  <c r="AQ140" i="8" s="1"/>
  <c r="AR140" i="8" s="1"/>
  <c r="V140" i="8"/>
  <c r="AL140" i="8"/>
  <c r="B116" i="8"/>
  <c r="K116" i="8"/>
  <c r="U116" i="8"/>
  <c r="V116" i="8"/>
  <c r="AL116" i="8"/>
  <c r="AQ116" i="8"/>
  <c r="AR116" i="8" s="1"/>
  <c r="AU116" i="8"/>
  <c r="B129" i="8"/>
  <c r="K129" i="8"/>
  <c r="U129" i="8"/>
  <c r="AL129" i="8"/>
  <c r="B100" i="8"/>
  <c r="K100" i="8"/>
  <c r="U100" i="8"/>
  <c r="V100" i="8"/>
  <c r="AL100" i="8"/>
  <c r="AQ100" i="8"/>
  <c r="AR100" i="8" s="1"/>
  <c r="B101" i="8"/>
  <c r="K101" i="8"/>
  <c r="U101" i="8"/>
  <c r="V101" i="8"/>
  <c r="AL101" i="8"/>
  <c r="AQ101" i="8"/>
  <c r="AR101" i="8" s="1"/>
  <c r="B93" i="8"/>
  <c r="K93" i="8"/>
  <c r="U93" i="8"/>
  <c r="AO93" i="8" s="1"/>
  <c r="AQ93" i="8" s="1"/>
  <c r="AR93" i="8" s="1"/>
  <c r="V93" i="8"/>
  <c r="AU93" i="8"/>
  <c r="B117" i="8"/>
  <c r="K117" i="8"/>
  <c r="U117" i="8"/>
  <c r="V117" i="8"/>
  <c r="AL117" i="8"/>
  <c r="AQ117" i="8"/>
  <c r="AR117" i="8" s="1"/>
  <c r="AU117" i="8"/>
  <c r="AY117" i="8"/>
  <c r="AY118" i="8" s="1"/>
  <c r="AY121" i="8" s="1"/>
  <c r="AY107" i="8" s="1"/>
  <c r="AZ117" i="8"/>
  <c r="AZ118" i="8" s="1"/>
  <c r="AZ121" i="8" s="1"/>
  <c r="AZ107" i="8" s="1"/>
  <c r="B118" i="8"/>
  <c r="K118" i="8"/>
  <c r="U118" i="8"/>
  <c r="V118" i="8"/>
  <c r="AL118" i="8"/>
  <c r="AQ118" i="8"/>
  <c r="AR118" i="8" s="1"/>
  <c r="B121" i="8"/>
  <c r="K121" i="8"/>
  <c r="U121" i="8"/>
  <c r="AO121" i="8" s="1"/>
  <c r="AQ121" i="8" s="1"/>
  <c r="AR121" i="8" s="1"/>
  <c r="AL121" i="8"/>
  <c r="B107" i="8"/>
  <c r="U107" i="8"/>
  <c r="V107" i="8"/>
  <c r="AL107" i="8"/>
  <c r="AQ107" i="8"/>
  <c r="AR107" i="8" s="1"/>
  <c r="B94" i="8"/>
  <c r="K94" i="8"/>
  <c r="U94" i="8"/>
  <c r="V94" i="8"/>
  <c r="AL94" i="8"/>
  <c r="AQ94" i="8"/>
  <c r="AR94" i="8" s="1"/>
  <c r="AU94" i="8"/>
  <c r="B91" i="8"/>
  <c r="K91" i="8"/>
  <c r="U91" i="8"/>
  <c r="AO91" i="8" s="1"/>
  <c r="AQ91" i="8" s="1"/>
  <c r="AR91" i="8" s="1"/>
  <c r="V91" i="8"/>
  <c r="AU91" i="8"/>
  <c r="B130" i="8"/>
  <c r="K130" i="8"/>
  <c r="U130" i="8"/>
  <c r="V130" i="8"/>
  <c r="AL130" i="8"/>
  <c r="AQ130" i="8"/>
  <c r="AR130" i="8" s="1"/>
  <c r="B141" i="8"/>
  <c r="K141" i="8"/>
  <c r="U141" i="8"/>
  <c r="AO141" i="8" s="1"/>
  <c r="AQ141" i="8" s="1"/>
  <c r="AR141" i="8" s="1"/>
  <c r="V141" i="8"/>
  <c r="AL141" i="8"/>
  <c r="B119" i="8"/>
  <c r="K119" i="8"/>
  <c r="U119" i="8"/>
  <c r="V119" i="8"/>
  <c r="AL119" i="8"/>
  <c r="AQ119" i="8"/>
  <c r="AR119" i="8" s="1"/>
  <c r="B92" i="8"/>
  <c r="K92" i="8"/>
  <c r="U92" i="8"/>
  <c r="V92" i="8"/>
  <c r="AQ92" i="8"/>
  <c r="AR92" i="8" s="1"/>
  <c r="AU92" i="8"/>
  <c r="B112" i="8"/>
  <c r="K112" i="8"/>
  <c r="U112" i="8"/>
  <c r="AO112" i="8" s="1"/>
  <c r="AQ112" i="8" s="1"/>
  <c r="AR112" i="8" s="1"/>
  <c r="AL112" i="8"/>
  <c r="AU112" i="8"/>
  <c r="B96" i="8"/>
  <c r="U96" i="8"/>
  <c r="AO96" i="8" s="1"/>
  <c r="AQ96" i="8" s="1"/>
  <c r="AR96" i="8" s="1"/>
  <c r="V96" i="8"/>
  <c r="AL96" i="8"/>
  <c r="AU96" i="8"/>
  <c r="B126" i="8"/>
  <c r="K126" i="8"/>
  <c r="U126" i="8"/>
  <c r="V126" i="8"/>
  <c r="AL126" i="8"/>
  <c r="AQ126" i="8"/>
  <c r="AR126" i="8" s="1"/>
  <c r="AU126" i="8"/>
  <c r="AW126" i="8"/>
  <c r="B109" i="8"/>
  <c r="K109" i="8"/>
  <c r="U109" i="8"/>
  <c r="V109" i="8"/>
  <c r="AL109" i="8"/>
  <c r="AQ109" i="8"/>
  <c r="AR109" i="8" s="1"/>
  <c r="AU109" i="8"/>
  <c r="B110" i="8"/>
  <c r="K110" i="8"/>
  <c r="U110" i="8"/>
  <c r="AO110" i="8" s="1"/>
  <c r="AQ110" i="8" s="1"/>
  <c r="AR110" i="8" s="1"/>
  <c r="V110" i="8"/>
  <c r="AL110" i="8"/>
  <c r="AU110" i="8"/>
  <c r="B105" i="8"/>
  <c r="K105" i="8"/>
  <c r="U105" i="8"/>
  <c r="AO105" i="8" s="1"/>
  <c r="AQ105" i="8" s="1"/>
  <c r="AR105" i="8" s="1"/>
  <c r="V105" i="8"/>
  <c r="AL105" i="8"/>
  <c r="B106" i="8"/>
  <c r="K106" i="8"/>
  <c r="U106" i="8"/>
  <c r="AO106" i="8" s="1"/>
  <c r="AQ106" i="8" s="1"/>
  <c r="AR106" i="8" s="1"/>
  <c r="V106" i="8"/>
  <c r="AL106" i="8"/>
  <c r="B97" i="8"/>
  <c r="K97" i="8"/>
  <c r="U97" i="8"/>
  <c r="V97" i="8"/>
  <c r="AL97" i="8"/>
  <c r="AQ97" i="8"/>
  <c r="AR97" i="8" s="1"/>
  <c r="AU97" i="8"/>
  <c r="AW97" i="8"/>
  <c r="B136" i="8"/>
  <c r="K136" i="8"/>
  <c r="U136" i="8"/>
  <c r="V136" i="8"/>
  <c r="AL136" i="8"/>
  <c r="AQ136" i="8"/>
  <c r="AR136" i="8" s="1"/>
  <c r="B103" i="8"/>
  <c r="U103" i="8"/>
  <c r="V103" i="8"/>
  <c r="AL103" i="8"/>
  <c r="AQ103" i="8"/>
  <c r="AR103" i="8" s="1"/>
  <c r="B104" i="8"/>
  <c r="U104" i="8"/>
  <c r="AO104" i="8" s="1"/>
  <c r="AQ104" i="8" s="1"/>
  <c r="AR104" i="8" s="1"/>
  <c r="B228" i="8"/>
  <c r="K228" i="8"/>
  <c r="U228" i="8"/>
  <c r="AO228" i="8" s="1"/>
  <c r="AQ228" i="8" s="1"/>
  <c r="AR228" i="8" s="1"/>
  <c r="V228" i="8"/>
  <c r="AL228" i="8"/>
  <c r="B189" i="8"/>
  <c r="K189" i="8"/>
  <c r="U189" i="8"/>
  <c r="Y189" i="8" s="1"/>
  <c r="Z189" i="8" s="1"/>
  <c r="AA189" i="8" s="1"/>
  <c r="AC189" i="8" s="1"/>
  <c r="V189" i="8"/>
  <c r="AL189" i="8"/>
  <c r="B283" i="8"/>
  <c r="K283" i="8"/>
  <c r="U283" i="8"/>
  <c r="AO283" i="8" s="1"/>
  <c r="AQ283" i="8" s="1"/>
  <c r="AR283" i="8" s="1"/>
  <c r="V283" i="8"/>
  <c r="AL283" i="8"/>
  <c r="B171" i="8"/>
  <c r="K171" i="8"/>
  <c r="U171" i="8"/>
  <c r="V171" i="8"/>
  <c r="AL171" i="8"/>
  <c r="B172" i="8"/>
  <c r="K172" i="8"/>
  <c r="U172" i="8"/>
  <c r="Y172" i="8" s="1"/>
  <c r="Z172" i="8" s="1"/>
  <c r="AA172" i="8" s="1"/>
  <c r="AH172" i="8" s="1"/>
  <c r="V172" i="8"/>
  <c r="AL172" i="8"/>
  <c r="B173" i="8"/>
  <c r="K173" i="8"/>
  <c r="U173" i="8"/>
  <c r="V173" i="8"/>
  <c r="AL173" i="8"/>
  <c r="B246" i="8"/>
  <c r="K246" i="8"/>
  <c r="U246" i="8"/>
  <c r="AO246" i="8" s="1"/>
  <c r="AQ246" i="8" s="1"/>
  <c r="AR246" i="8" s="1"/>
  <c r="V246" i="8"/>
  <c r="AL246" i="8"/>
  <c r="B201" i="8"/>
  <c r="K201" i="8"/>
  <c r="U201" i="8"/>
  <c r="V201" i="8"/>
  <c r="AL201" i="8"/>
  <c r="B174" i="8"/>
  <c r="K174" i="8"/>
  <c r="U174" i="8"/>
  <c r="V174" i="8"/>
  <c r="AL174" i="8"/>
  <c r="B222" i="8"/>
  <c r="K222" i="8"/>
  <c r="U222" i="8"/>
  <c r="V222" i="8"/>
  <c r="AL222" i="8"/>
  <c r="B206" i="8"/>
  <c r="K206" i="8"/>
  <c r="U206" i="8"/>
  <c r="V206" i="8"/>
  <c r="AL206" i="8"/>
  <c r="B197" i="8"/>
  <c r="U197" i="8"/>
  <c r="V197" i="8"/>
  <c r="AL197" i="8"/>
  <c r="B122" i="8"/>
  <c r="K122" i="8"/>
  <c r="U122" i="8"/>
  <c r="V122" i="8"/>
  <c r="AL122" i="8"/>
  <c r="AU122" i="8"/>
  <c r="B249" i="8"/>
  <c r="U249" i="8"/>
  <c r="V249" i="8"/>
  <c r="AL249" i="8"/>
  <c r="B261" i="8"/>
  <c r="K261" i="8"/>
  <c r="U261" i="8"/>
  <c r="Y261" i="8" s="1"/>
  <c r="S261" i="8" s="1"/>
  <c r="V261" i="8"/>
  <c r="AL261" i="8"/>
  <c r="B198" i="8"/>
  <c r="K198" i="8"/>
  <c r="U198" i="8"/>
  <c r="AO198" i="8" s="1"/>
  <c r="AQ198" i="8" s="1"/>
  <c r="AR198" i="8" s="1"/>
  <c r="V198" i="8"/>
  <c r="AL198" i="8"/>
  <c r="B218" i="8"/>
  <c r="K218" i="8"/>
  <c r="U218" i="8"/>
  <c r="AO218" i="8" s="1"/>
  <c r="AQ218" i="8" s="1"/>
  <c r="AR218" i="8" s="1"/>
  <c r="V218" i="8"/>
  <c r="B208" i="8"/>
  <c r="K208" i="8"/>
  <c r="U208" i="8"/>
  <c r="Y208" i="8" s="1"/>
  <c r="V208" i="8"/>
  <c r="AL208" i="8"/>
  <c r="B220" i="8"/>
  <c r="K220" i="8"/>
  <c r="U220" i="8"/>
  <c r="AO220" i="8" s="1"/>
  <c r="AQ220" i="8" s="1"/>
  <c r="AR220" i="8" s="1"/>
  <c r="V220" i="8"/>
  <c r="AL220" i="8"/>
  <c r="B264" i="8"/>
  <c r="K264" i="8"/>
  <c r="U264" i="8"/>
  <c r="V264" i="8"/>
  <c r="AL264" i="8"/>
  <c r="B210" i="8"/>
  <c r="K210" i="8"/>
  <c r="U210" i="8"/>
  <c r="AO210" i="8" s="1"/>
  <c r="AQ210" i="8" s="1"/>
  <c r="AR210" i="8" s="1"/>
  <c r="V210" i="8"/>
  <c r="AL210" i="8"/>
  <c r="B177" i="8"/>
  <c r="K177" i="8"/>
  <c r="U177" i="8"/>
  <c r="V177" i="8"/>
  <c r="AL177" i="8"/>
  <c r="B221" i="8"/>
  <c r="K221" i="8"/>
  <c r="U221" i="8"/>
  <c r="AO221" i="8" s="1"/>
  <c r="AQ221" i="8" s="1"/>
  <c r="AR221" i="8" s="1"/>
  <c r="V221" i="8"/>
  <c r="AL221" i="8"/>
  <c r="B149" i="8"/>
  <c r="K149" i="8"/>
  <c r="U149" i="8"/>
  <c r="V149" i="8"/>
  <c r="AL149" i="8"/>
  <c r="B178" i="8"/>
  <c r="U178" i="8"/>
  <c r="V178" i="8"/>
  <c r="AL178" i="8"/>
  <c r="B229" i="8"/>
  <c r="U229" i="8"/>
  <c r="Y229" i="8" s="1"/>
  <c r="V229" i="8"/>
  <c r="AL229" i="8"/>
  <c r="B207" i="8"/>
  <c r="K207" i="8"/>
  <c r="U207" i="8"/>
  <c r="V207" i="8"/>
  <c r="AL207" i="8"/>
  <c r="B179" i="8"/>
  <c r="K179" i="8"/>
  <c r="U179" i="8"/>
  <c r="V179" i="8"/>
  <c r="AL179" i="8"/>
  <c r="B180" i="8"/>
  <c r="U180" i="8"/>
  <c r="V180" i="8"/>
  <c r="AL180" i="8"/>
  <c r="B211" i="8"/>
  <c r="K211" i="8"/>
  <c r="U211" i="8"/>
  <c r="V211" i="8"/>
  <c r="AL211" i="8"/>
  <c r="B262" i="8"/>
  <c r="K262" i="8"/>
  <c r="U262" i="8"/>
  <c r="V262" i="8"/>
  <c r="AL262" i="8"/>
  <c r="B230" i="8"/>
  <c r="K230" i="8"/>
  <c r="U230" i="8"/>
  <c r="V230" i="8"/>
  <c r="AL230" i="8"/>
  <c r="B209" i="8"/>
  <c r="K209" i="8"/>
  <c r="U209" i="8"/>
  <c r="V209" i="8"/>
  <c r="AL209" i="8"/>
  <c r="B214" i="8"/>
  <c r="K214" i="8"/>
  <c r="U214" i="8"/>
  <c r="Y214" i="8" s="1"/>
  <c r="V214" i="8"/>
  <c r="AL214" i="8"/>
  <c r="B213" i="8"/>
  <c r="K213" i="8"/>
  <c r="U213" i="8"/>
  <c r="V213" i="8"/>
  <c r="AL213" i="8"/>
  <c r="B181" i="8"/>
  <c r="K181" i="8"/>
  <c r="U181" i="8"/>
  <c r="Y181" i="8" s="1"/>
  <c r="V181" i="8"/>
  <c r="AL181" i="8"/>
  <c r="B182" i="8"/>
  <c r="K182" i="8"/>
  <c r="U182" i="8"/>
  <c r="V182" i="8"/>
  <c r="AL182" i="8"/>
  <c r="B215" i="8"/>
  <c r="K215" i="8"/>
  <c r="U215" i="8"/>
  <c r="V215" i="8"/>
  <c r="AL215" i="8"/>
  <c r="B183" i="8"/>
  <c r="K183" i="8"/>
  <c r="U183" i="8"/>
  <c r="Y183" i="8" s="1"/>
  <c r="Z183" i="8" s="1"/>
  <c r="AA183" i="8" s="1"/>
  <c r="V183" i="8"/>
  <c r="AL183" i="8"/>
  <c r="B199" i="8"/>
  <c r="U199" i="8"/>
  <c r="AO199" i="8" s="1"/>
  <c r="AQ199" i="8" s="1"/>
  <c r="AR199" i="8" s="1"/>
  <c r="V199" i="8"/>
  <c r="AL199" i="8"/>
  <c r="B195" i="8"/>
  <c r="K195" i="8"/>
  <c r="U195" i="8"/>
  <c r="Y195" i="8" s="1"/>
  <c r="Z195" i="8" s="1"/>
  <c r="AA195" i="8" s="1"/>
  <c r="V195" i="8"/>
  <c r="AL195" i="8"/>
  <c r="B223" i="8"/>
  <c r="K223" i="8"/>
  <c r="U223" i="8"/>
  <c r="AO223" i="8" s="1"/>
  <c r="AQ223" i="8" s="1"/>
  <c r="AR223" i="8" s="1"/>
  <c r="V223" i="8"/>
  <c r="AL223" i="8"/>
  <c r="B163" i="8"/>
  <c r="K163" i="8"/>
  <c r="U163" i="8"/>
  <c r="AO163" i="8" s="1"/>
  <c r="AQ163" i="8" s="1"/>
  <c r="AR163" i="8" s="1"/>
  <c r="V163" i="8"/>
  <c r="AL163" i="8"/>
  <c r="B200" i="8"/>
  <c r="K200" i="8"/>
  <c r="U200" i="8"/>
  <c r="AO200" i="8" s="1"/>
  <c r="AQ200" i="8" s="1"/>
  <c r="AR200" i="8" s="1"/>
  <c r="V200" i="8"/>
  <c r="AL200" i="8"/>
  <c r="U233" i="8"/>
  <c r="Y233" i="8" s="1"/>
  <c r="Z233" i="8" s="1"/>
  <c r="AA233" i="8" s="1"/>
  <c r="AC233" i="8" s="1"/>
  <c r="V233" i="8"/>
  <c r="AL233" i="8"/>
  <c r="B231" i="8"/>
  <c r="K231" i="8"/>
  <c r="U231" i="8"/>
  <c r="AO231" i="8" s="1"/>
  <c r="AQ231" i="8" s="1"/>
  <c r="AR231" i="8" s="1"/>
  <c r="V231" i="8"/>
  <c r="AL231" i="8"/>
  <c r="B263" i="8"/>
  <c r="K263" i="8"/>
  <c r="U263" i="8"/>
  <c r="Y263" i="8" s="1"/>
  <c r="V263" i="8"/>
  <c r="AL263" i="8"/>
  <c r="B282" i="8"/>
  <c r="K282" i="8"/>
  <c r="U282" i="8"/>
  <c r="V282" i="8"/>
  <c r="AL282" i="8"/>
  <c r="B245" i="8"/>
  <c r="U245" i="8"/>
  <c r="AO245" i="8" s="1"/>
  <c r="AQ245" i="8" s="1"/>
  <c r="AR245" i="8" s="1"/>
  <c r="V245" i="8"/>
  <c r="AL245" i="8"/>
  <c r="B266" i="8"/>
  <c r="K266" i="8"/>
  <c r="U266" i="8"/>
  <c r="V266" i="8"/>
  <c r="B232" i="8"/>
  <c r="K232" i="8"/>
  <c r="U232" i="8"/>
  <c r="V232" i="8"/>
  <c r="AL232" i="8"/>
  <c r="B164" i="8"/>
  <c r="K164" i="8"/>
  <c r="U164" i="8"/>
  <c r="Y164" i="8" s="1"/>
  <c r="Z164" i="8" s="1"/>
  <c r="AA164" i="8" s="1"/>
  <c r="V164" i="8"/>
  <c r="AL164" i="8"/>
  <c r="B235" i="8"/>
  <c r="U235" i="8"/>
  <c r="V235" i="8"/>
  <c r="AL235" i="8"/>
  <c r="B124" i="8"/>
  <c r="K124" i="8"/>
  <c r="U124" i="8"/>
  <c r="AO124" i="8" s="1"/>
  <c r="AQ124" i="8" s="1"/>
  <c r="AR124" i="8" s="1"/>
  <c r="V124" i="8"/>
  <c r="AL124" i="8"/>
  <c r="AU124" i="8"/>
  <c r="B120" i="8"/>
  <c r="K120" i="8"/>
  <c r="U120" i="8"/>
  <c r="AO120" i="8" s="1"/>
  <c r="AQ120" i="8" s="1"/>
  <c r="AR120" i="8" s="1"/>
  <c r="V120" i="8"/>
  <c r="AL120" i="8"/>
  <c r="B196" i="8"/>
  <c r="K196" i="8"/>
  <c r="U196" i="8"/>
  <c r="V196" i="8"/>
  <c r="AL196" i="8"/>
  <c r="B271" i="8"/>
  <c r="U271" i="8"/>
  <c r="Y271" i="8" s="1"/>
  <c r="Z271" i="8" s="1"/>
  <c r="AA271" i="8" s="1"/>
  <c r="B248" i="8"/>
  <c r="K248" i="8"/>
  <c r="U248" i="8"/>
  <c r="V248" i="8"/>
  <c r="AL248" i="8"/>
  <c r="B247" i="8"/>
  <c r="K247" i="8"/>
  <c r="U247" i="8"/>
  <c r="AO247" i="8" s="1"/>
  <c r="AQ247" i="8" s="1"/>
  <c r="AR247" i="8" s="1"/>
  <c r="V247" i="8"/>
  <c r="AL247" i="8"/>
  <c r="B267" i="8"/>
  <c r="K267" i="8"/>
  <c r="U267" i="8"/>
  <c r="V267" i="8"/>
  <c r="B234" i="8"/>
  <c r="U234" i="8"/>
  <c r="Y234" i="8" s="1"/>
  <c r="V234" i="8"/>
  <c r="AL234" i="8"/>
  <c r="B285" i="8"/>
  <c r="K285" i="8"/>
  <c r="U285" i="8"/>
  <c r="AO285" i="8" s="1"/>
  <c r="AQ285" i="8" s="1"/>
  <c r="AR285" i="8" s="1"/>
  <c r="V285" i="8"/>
  <c r="AL285" i="8"/>
  <c r="B268" i="8"/>
  <c r="K268" i="8"/>
  <c r="U268" i="8"/>
  <c r="V268" i="8"/>
  <c r="B217" i="8"/>
  <c r="U217" i="8"/>
  <c r="Y217" i="8" s="1"/>
  <c r="Z217" i="8" s="1"/>
  <c r="AA217" i="8" s="1"/>
  <c r="AF217" i="8" s="1"/>
  <c r="K175" i="8"/>
  <c r="U175" i="8"/>
  <c r="V175" i="8"/>
  <c r="AL175" i="8"/>
  <c r="B165" i="8"/>
  <c r="K165" i="8"/>
  <c r="U165" i="8"/>
  <c r="V165" i="8"/>
  <c r="AL165" i="8"/>
  <c r="B269" i="8"/>
  <c r="K269" i="8"/>
  <c r="U269" i="8"/>
  <c r="Y269" i="8" s="1"/>
  <c r="Z269" i="8" s="1"/>
  <c r="AA269" i="8" s="1"/>
  <c r="V269" i="8"/>
  <c r="B219" i="8"/>
  <c r="K219" i="8"/>
  <c r="U219" i="8"/>
  <c r="V219" i="8"/>
  <c r="AL219" i="8"/>
  <c r="B236" i="8"/>
  <c r="K236" i="8"/>
  <c r="U236" i="8"/>
  <c r="Y236" i="8" s="1"/>
  <c r="S236" i="8" s="1"/>
  <c r="V236" i="8"/>
  <c r="AL236" i="8"/>
  <c r="B270" i="8"/>
  <c r="K270" i="8"/>
  <c r="U270" i="8"/>
  <c r="V270" i="8"/>
  <c r="B169" i="8"/>
  <c r="K169" i="8"/>
  <c r="U169" i="8"/>
  <c r="Y169" i="8" s="1"/>
  <c r="V169" i="8"/>
  <c r="AL169" i="8"/>
  <c r="B148" i="8"/>
  <c r="K148" i="8"/>
  <c r="U148" i="8"/>
  <c r="V148" i="8"/>
  <c r="AL148" i="8"/>
  <c r="B202" i="8"/>
  <c r="U202" i="8"/>
  <c r="AO202" i="8" s="1"/>
  <c r="AQ202" i="8" s="1"/>
  <c r="AR202" i="8" s="1"/>
  <c r="V202" i="8"/>
  <c r="AL202" i="8"/>
  <c r="B237" i="8"/>
  <c r="U237" i="8"/>
  <c r="AO237" i="8" s="1"/>
  <c r="AQ237" i="8" s="1"/>
  <c r="AR237" i="8" s="1"/>
  <c r="V237" i="8"/>
  <c r="AL237" i="8"/>
  <c r="B203" i="8"/>
  <c r="K203" i="8"/>
  <c r="U203" i="8"/>
  <c r="Y203" i="8" s="1"/>
  <c r="V203" i="8"/>
  <c r="AL203" i="8"/>
  <c r="B260" i="8"/>
  <c r="K260" i="8"/>
  <c r="U260" i="8"/>
  <c r="AO260" i="8" s="1"/>
  <c r="AQ260" i="8" s="1"/>
  <c r="AR260" i="8" s="1"/>
  <c r="AL260" i="8"/>
  <c r="AW260" i="8"/>
  <c r="B176" i="8"/>
  <c r="U176" i="8"/>
  <c r="V176" i="8"/>
  <c r="AL176" i="8"/>
  <c r="B184" i="8"/>
  <c r="K184" i="8"/>
  <c r="U184" i="8"/>
  <c r="V184" i="8"/>
  <c r="AL184" i="8"/>
  <c r="B185" i="8"/>
  <c r="K185" i="8"/>
  <c r="U185" i="8"/>
  <c r="AO185" i="8" s="1"/>
  <c r="AQ185" i="8" s="1"/>
  <c r="AR185" i="8" s="1"/>
  <c r="AL185" i="8"/>
  <c r="AW185" i="8"/>
  <c r="B186" i="8"/>
  <c r="K186" i="8"/>
  <c r="U186" i="8"/>
  <c r="Y186" i="8" s="1"/>
  <c r="AL186" i="8"/>
  <c r="AW186" i="8"/>
  <c r="AW204" i="8" s="1"/>
  <c r="B204" i="8"/>
  <c r="K204" i="8"/>
  <c r="U204" i="8"/>
  <c r="AO204" i="8" s="1"/>
  <c r="AQ204" i="8" s="1"/>
  <c r="AR204" i="8" s="1"/>
  <c r="AL204" i="8"/>
  <c r="B167" i="8"/>
  <c r="K167" i="8"/>
  <c r="U167" i="8"/>
  <c r="AO167" i="8" s="1"/>
  <c r="AQ167" i="8" s="1"/>
  <c r="AR167" i="8" s="1"/>
  <c r="AL167" i="8"/>
  <c r="B151" i="8"/>
  <c r="K151" i="8"/>
  <c r="U151" i="8"/>
  <c r="AO151" i="8" s="1"/>
  <c r="AQ151" i="8" s="1"/>
  <c r="AR151" i="8" s="1"/>
  <c r="B152" i="8"/>
  <c r="K152" i="8"/>
  <c r="U152" i="8"/>
  <c r="AO152" i="8" s="1"/>
  <c r="AQ152" i="8" s="1"/>
  <c r="AR152" i="8" s="1"/>
  <c r="B251" i="8"/>
  <c r="K251" i="8"/>
  <c r="U251" i="8"/>
  <c r="AO251" i="8" s="1"/>
  <c r="AQ251" i="8" s="1"/>
  <c r="AR251" i="8" s="1"/>
  <c r="B238" i="8"/>
  <c r="K238" i="8"/>
  <c r="U238" i="8"/>
  <c r="AL238" i="8"/>
  <c r="B161" i="8"/>
  <c r="K161" i="8"/>
  <c r="U161" i="8"/>
  <c r="Y161" i="8" s="1"/>
  <c r="V161" i="8"/>
  <c r="AL161" i="8"/>
  <c r="B187" i="8"/>
  <c r="K187" i="8"/>
  <c r="U187" i="8"/>
  <c r="V187" i="8"/>
  <c r="AL187" i="8"/>
  <c r="B188" i="8"/>
  <c r="K188" i="8"/>
  <c r="U188" i="8"/>
  <c r="AO188" i="8" s="1"/>
  <c r="AQ188" i="8" s="1"/>
  <c r="AR188" i="8" s="1"/>
  <c r="V188" i="8"/>
  <c r="AL188" i="8"/>
  <c r="B239" i="8"/>
  <c r="K239" i="8"/>
  <c r="U239" i="8"/>
  <c r="AO239" i="8" s="1"/>
  <c r="AQ239" i="8" s="1"/>
  <c r="AR239" i="8" s="1"/>
  <c r="B153" i="8"/>
  <c r="K153" i="8"/>
  <c r="U153" i="8"/>
  <c r="AO153" i="8" s="1"/>
  <c r="AQ153" i="8" s="1"/>
  <c r="AR153" i="8" s="1"/>
  <c r="B168" i="8"/>
  <c r="K168" i="8"/>
  <c r="U168" i="8"/>
  <c r="B274" i="8"/>
  <c r="K274" i="8"/>
  <c r="U274" i="8"/>
  <c r="U135" i="8"/>
  <c r="AO135" i="8" s="1"/>
  <c r="AQ135" i="8" s="1"/>
  <c r="AR135" i="8" s="1"/>
  <c r="AU135" i="8"/>
  <c r="B150" i="8"/>
  <c r="U150" i="8"/>
  <c r="B253" i="8"/>
  <c r="K253" i="8"/>
  <c r="U253" i="8"/>
  <c r="AO253" i="8" s="1"/>
  <c r="AQ253" i="8" s="1"/>
  <c r="AR253" i="8" s="1"/>
  <c r="B273" i="8"/>
  <c r="K273" i="8"/>
  <c r="U273" i="8"/>
  <c r="AO273" i="8" s="1"/>
  <c r="AQ273" i="8" s="1"/>
  <c r="AR273" i="8" s="1"/>
  <c r="B265" i="8"/>
  <c r="K265" i="8"/>
  <c r="U265" i="8"/>
  <c r="AO265" i="8" s="1"/>
  <c r="AQ265" i="8" s="1"/>
  <c r="AR265" i="8" s="1"/>
  <c r="B252" i="8"/>
  <c r="U252" i="8"/>
  <c r="AO252" i="8" s="1"/>
  <c r="AQ252" i="8" s="1"/>
  <c r="AR252" i="8" s="1"/>
  <c r="B240" i="8"/>
  <c r="U240" i="8"/>
  <c r="AO240" i="8" s="1"/>
  <c r="AQ240" i="8" s="1"/>
  <c r="AR240" i="8" s="1"/>
  <c r="U241" i="8"/>
  <c r="AO241" i="8" s="1"/>
  <c r="AQ241" i="8" s="1"/>
  <c r="AR241" i="8" s="1"/>
  <c r="U250" i="8"/>
  <c r="B133" i="8"/>
  <c r="K133" i="8"/>
  <c r="U133" i="8"/>
  <c r="V133" i="8"/>
  <c r="AL133" i="8"/>
  <c r="B108" i="8"/>
  <c r="K108" i="8"/>
  <c r="U108" i="8"/>
  <c r="V108" i="8"/>
  <c r="AL108" i="8"/>
  <c r="AU108" i="8"/>
  <c r="B139" i="8"/>
  <c r="K139" i="8"/>
  <c r="U139" i="8"/>
  <c r="AL139" i="8"/>
  <c r="T286" i="8"/>
  <c r="G287" i="8"/>
  <c r="I289" i="8"/>
  <c r="I290" i="8"/>
  <c r="X290" i="8"/>
  <c r="AM290" i="8"/>
  <c r="AN290" i="8"/>
  <c r="I291" i="8"/>
  <c r="S291" i="8"/>
  <c r="V291" i="8"/>
  <c r="AI291" i="8"/>
  <c r="I293" i="8"/>
  <c r="O293" i="8"/>
  <c r="P293" i="8"/>
  <c r="Q293" i="8"/>
  <c r="X293" i="8"/>
  <c r="AD293" i="8"/>
  <c r="D4" i="12"/>
  <c r="D5" i="12"/>
  <c r="D6" i="12"/>
  <c r="C7" i="12"/>
  <c r="D7" i="12"/>
  <c r="D8" i="12"/>
  <c r="D9" i="12"/>
  <c r="D14" i="12"/>
  <c r="D5" i="13"/>
  <c r="G5" i="13"/>
  <c r="H5" i="13" s="1"/>
  <c r="K5" i="13" s="1"/>
  <c r="X90" i="11"/>
  <c r="Y90" i="11" s="1"/>
  <c r="Z90" i="11" s="1"/>
  <c r="X74" i="11"/>
  <c r="X109" i="11"/>
  <c r="Y109" i="11" s="1"/>
  <c r="Z109" i="11" s="1"/>
  <c r="X24" i="11"/>
  <c r="R24" i="11" s="1"/>
  <c r="X110" i="11"/>
  <c r="R110" i="11" s="1"/>
  <c r="X147" i="11"/>
  <c r="R147" i="11" s="1"/>
  <c r="X116" i="8"/>
  <c r="X120" i="11"/>
  <c r="R120" i="11" s="1"/>
  <c r="X93" i="11"/>
  <c r="Y93" i="11" s="1"/>
  <c r="Z93" i="11" s="1"/>
  <c r="X190" i="8"/>
  <c r="Y190" i="8" s="1"/>
  <c r="Z190" i="8" s="1"/>
  <c r="AA190" i="8" s="1"/>
  <c r="AC190" i="8" s="1"/>
  <c r="X107" i="8"/>
  <c r="X137" i="11"/>
  <c r="X123" i="8"/>
  <c r="X160" i="11"/>
  <c r="Y160" i="11" s="1"/>
  <c r="Z160" i="11" s="1"/>
  <c r="X119" i="8"/>
  <c r="X270" i="11"/>
  <c r="Y270" i="11" s="1"/>
  <c r="Z270" i="11" s="1"/>
  <c r="AF270" i="11" s="1"/>
  <c r="X108" i="11"/>
  <c r="X113" i="8"/>
  <c r="X90" i="8"/>
  <c r="R28" i="11"/>
  <c r="R186" i="11"/>
  <c r="Z186" i="11"/>
  <c r="AG186" i="11" s="1"/>
  <c r="X168" i="11"/>
  <c r="Y168" i="11" s="1"/>
  <c r="Z168" i="11" s="1"/>
  <c r="AC168" i="11" s="1"/>
  <c r="X96" i="8"/>
  <c r="X91" i="8"/>
  <c r="X157" i="11"/>
  <c r="X99" i="11"/>
  <c r="Y99" i="11" s="1"/>
  <c r="Z99" i="11" s="1"/>
  <c r="AB99" i="11" s="1"/>
  <c r="X278" i="8"/>
  <c r="AF239" i="11"/>
  <c r="X130" i="8"/>
  <c r="X148" i="11"/>
  <c r="Y148" i="11" s="1"/>
  <c r="Z148" i="11" s="1"/>
  <c r="AF148" i="11" s="1"/>
  <c r="AO70" i="8"/>
  <c r="AQ70" i="8" s="1"/>
  <c r="AR70" i="8" s="1"/>
  <c r="Y160" i="8"/>
  <c r="Z160" i="8" s="1"/>
  <c r="AA160" i="8" s="1"/>
  <c r="AH160" i="8" s="1"/>
  <c r="Y166" i="8"/>
  <c r="Z146" i="8"/>
  <c r="AA146" i="8" s="1"/>
  <c r="AD146" i="8" s="1"/>
  <c r="AO146" i="8"/>
  <c r="AQ146" i="8" s="1"/>
  <c r="AR146" i="8" s="1"/>
  <c r="Z62" i="11"/>
  <c r="R62" i="11"/>
  <c r="X103" i="8"/>
  <c r="X53" i="11"/>
  <c r="R53" i="11" s="1"/>
  <c r="X171" i="11"/>
  <c r="X125" i="8"/>
  <c r="X187" i="11"/>
  <c r="Y187" i="11" s="1"/>
  <c r="Z187" i="11" s="1"/>
  <c r="AG187" i="11" s="1"/>
  <c r="X23" i="8"/>
  <c r="X100" i="8"/>
  <c r="X89" i="8"/>
  <c r="X279" i="11"/>
  <c r="R279" i="11" s="1"/>
  <c r="X153" i="8"/>
  <c r="Z264" i="11"/>
  <c r="AC264" i="11" s="1"/>
  <c r="X95" i="11"/>
  <c r="Y95" i="11" s="1"/>
  <c r="Z95" i="11" s="1"/>
  <c r="AC95" i="11" s="1"/>
  <c r="X277" i="8"/>
  <c r="X128" i="8"/>
  <c r="X142" i="11"/>
  <c r="Y142" i="11" s="1"/>
  <c r="Z142" i="11" s="1"/>
  <c r="AG142" i="11" s="1"/>
  <c r="X30" i="8"/>
  <c r="X84" i="11"/>
  <c r="X93" i="8"/>
  <c r="X154" i="11"/>
  <c r="Y154" i="11" s="1"/>
  <c r="Z154" i="11" s="1"/>
  <c r="AB154" i="11" s="1"/>
  <c r="X121" i="8"/>
  <c r="X89" i="11"/>
  <c r="Y89" i="11" s="1"/>
  <c r="Z89" i="11" s="1"/>
  <c r="W100" i="11"/>
  <c r="W287" i="11" s="1"/>
  <c r="X268" i="11"/>
  <c r="Y268" i="11" s="1"/>
  <c r="Z268" i="11" s="1"/>
  <c r="AC268" i="11" s="1"/>
  <c r="X164" i="11"/>
  <c r="Y164" i="11" s="1"/>
  <c r="Z164" i="11" s="1"/>
  <c r="AB23" i="11"/>
  <c r="AF28" i="11"/>
  <c r="R266" i="11"/>
  <c r="X261" i="11"/>
  <c r="Y261" i="11" s="1"/>
  <c r="Z261" i="11" s="1"/>
  <c r="AG261" i="11" s="1"/>
  <c r="Y247" i="11"/>
  <c r="Z247" i="11" s="1"/>
  <c r="AB247" i="11" s="1"/>
  <c r="X167" i="11"/>
  <c r="X109" i="8"/>
  <c r="X159" i="11"/>
  <c r="X145" i="11"/>
  <c r="X141" i="11"/>
  <c r="X98" i="8"/>
  <c r="X92" i="8"/>
  <c r="X161" i="11"/>
  <c r="Z81" i="11"/>
  <c r="AC81" i="11" s="1"/>
  <c r="R81" i="11"/>
  <c r="R23" i="11"/>
  <c r="X162" i="11"/>
  <c r="Y162" i="11" s="1"/>
  <c r="Z162" i="11" s="1"/>
  <c r="X170" i="11"/>
  <c r="X97" i="8"/>
  <c r="X16" i="11"/>
  <c r="R16" i="11" s="1"/>
  <c r="X252" i="8"/>
  <c r="X27" i="8"/>
  <c r="X75" i="11"/>
  <c r="R75" i="11" s="1"/>
  <c r="D15" i="12"/>
  <c r="X14" i="10"/>
  <c r="X19" i="10" s="1"/>
  <c r="AO14" i="10"/>
  <c r="T19" i="10"/>
  <c r="Y14" i="10"/>
  <c r="AN226" i="11"/>
  <c r="AP226" i="11" s="1"/>
  <c r="AQ226" i="11" s="1"/>
  <c r="X226" i="11"/>
  <c r="Y226" i="11" s="1"/>
  <c r="Z226" i="11" s="1"/>
  <c r="R226" i="11"/>
  <c r="AL19" i="10"/>
  <c r="J289" i="11"/>
  <c r="AO28" i="8"/>
  <c r="AQ28" i="8" s="1"/>
  <c r="AR28" i="8" s="1"/>
  <c r="AZ16" i="10"/>
  <c r="AZ17" i="10"/>
  <c r="AZ18" i="10"/>
  <c r="R240" i="11"/>
  <c r="Y240" i="11"/>
  <c r="Z240" i="11" s="1"/>
  <c r="AE190" i="11"/>
  <c r="AB190" i="11"/>
  <c r="AF190" i="11"/>
  <c r="AC190" i="11"/>
  <c r="AG190" i="11"/>
  <c r="AD190" i="11"/>
  <c r="R17" i="10"/>
  <c r="Y15" i="10"/>
  <c r="Z15" i="10"/>
  <c r="U19" i="10"/>
  <c r="AM288" i="11"/>
  <c r="T282" i="11"/>
  <c r="Y236" i="11"/>
  <c r="Z236" i="11"/>
  <c r="R236" i="11"/>
  <c r="X233" i="11"/>
  <c r="Y233" i="11" s="1"/>
  <c r="Z233" i="11" s="1"/>
  <c r="AN233" i="11"/>
  <c r="AP233" i="11"/>
  <c r="AQ233" i="11" s="1"/>
  <c r="AK282" i="11"/>
  <c r="AK288" i="11" s="1"/>
  <c r="X263" i="11"/>
  <c r="Y263" i="11" s="1"/>
  <c r="Z263" i="11" s="1"/>
  <c r="R245" i="11"/>
  <c r="Y245" i="11"/>
  <c r="Z245" i="11" s="1"/>
  <c r="X234" i="11"/>
  <c r="R234" i="11" s="1"/>
  <c r="AN234" i="11"/>
  <c r="AP234" i="11"/>
  <c r="AQ234" i="11" s="1"/>
  <c r="Y234" i="11"/>
  <c r="Z234" i="11" s="1"/>
  <c r="R221" i="11"/>
  <c r="Y221" i="11"/>
  <c r="Z221" i="11" s="1"/>
  <c r="R219" i="11"/>
  <c r="Y219" i="11"/>
  <c r="Z219" i="11"/>
  <c r="X209" i="11"/>
  <c r="R209" i="11"/>
  <c r="Y209" i="11"/>
  <c r="Z209" i="11"/>
  <c r="AN209" i="11"/>
  <c r="AP209" i="11"/>
  <c r="AQ209" i="11" s="1"/>
  <c r="AN253" i="11"/>
  <c r="AP253" i="11"/>
  <c r="AQ253" i="11" s="1"/>
  <c r="X253" i="11"/>
  <c r="R253" i="11" s="1"/>
  <c r="R248" i="11"/>
  <c r="Y248" i="11"/>
  <c r="Z248" i="11" s="1"/>
  <c r="AN237" i="11"/>
  <c r="AP237" i="11" s="1"/>
  <c r="AQ237" i="11" s="1"/>
  <c r="R231" i="11"/>
  <c r="Y231" i="11"/>
  <c r="Z231" i="11" s="1"/>
  <c r="AN188" i="11"/>
  <c r="AP188" i="11" s="1"/>
  <c r="AQ188" i="11" s="1"/>
  <c r="Y18" i="10"/>
  <c r="Z18" i="10" s="1"/>
  <c r="Y17" i="10"/>
  <c r="Z17" i="10" s="1"/>
  <c r="Y16" i="10"/>
  <c r="Z16" i="10" s="1"/>
  <c r="AN263" i="11"/>
  <c r="AP263" i="11"/>
  <c r="AQ263" i="11" s="1"/>
  <c r="AN243" i="11"/>
  <c r="AP243" i="11" s="1"/>
  <c r="AQ243" i="11" s="1"/>
  <c r="X243" i="11"/>
  <c r="R243" i="11"/>
  <c r="Y243" i="11"/>
  <c r="Z243" i="11"/>
  <c r="AN220" i="11"/>
  <c r="AP220" i="11"/>
  <c r="AQ220" i="11" s="1"/>
  <c r="X220" i="11"/>
  <c r="Y220" i="11" s="1"/>
  <c r="Z220" i="11" s="1"/>
  <c r="AN218" i="11"/>
  <c r="AP218" i="11" s="1"/>
  <c r="AQ218" i="11" s="1"/>
  <c r="X218" i="11"/>
  <c r="Y218" i="11"/>
  <c r="Z218" i="11" s="1"/>
  <c r="R218" i="11"/>
  <c r="AN183" i="11"/>
  <c r="AP183" i="11"/>
  <c r="AQ183" i="11" s="1"/>
  <c r="X183" i="11"/>
  <c r="R183" i="11" s="1"/>
  <c r="AN259" i="11"/>
  <c r="AP259" i="11" s="1"/>
  <c r="AQ259" i="11" s="1"/>
  <c r="Y252" i="11"/>
  <c r="Z252" i="11"/>
  <c r="X244" i="11"/>
  <c r="X228" i="11"/>
  <c r="X215" i="11"/>
  <c r="R215" i="11"/>
  <c r="AN202" i="11"/>
  <c r="AP202" i="11"/>
  <c r="AQ202" i="11" s="1"/>
  <c r="X202" i="11"/>
  <c r="R202" i="11" s="1"/>
  <c r="X196" i="11"/>
  <c r="AN189" i="11"/>
  <c r="AP189" i="11"/>
  <c r="AQ189" i="11" s="1"/>
  <c r="X189" i="11"/>
  <c r="R189" i="11" s="1"/>
  <c r="R185" i="11"/>
  <c r="R177" i="11"/>
  <c r="Y246" i="11"/>
  <c r="Z246" i="11" s="1"/>
  <c r="Y242" i="11"/>
  <c r="Z242" i="11" s="1"/>
  <c r="AN232" i="11"/>
  <c r="AP232" i="11"/>
  <c r="AQ232" i="11" s="1"/>
  <c r="X223" i="11"/>
  <c r="R223" i="11" s="1"/>
  <c r="X216" i="11"/>
  <c r="R216" i="11" s="1"/>
  <c r="Y216" i="11"/>
  <c r="Z216" i="11" s="1"/>
  <c r="R214" i="11"/>
  <c r="R213" i="11"/>
  <c r="AN199" i="11"/>
  <c r="AP199" i="11" s="1"/>
  <c r="AQ199" i="11" s="1"/>
  <c r="AN195" i="11"/>
  <c r="AP195" i="11" s="1"/>
  <c r="AQ195" i="11" s="1"/>
  <c r="X195" i="11"/>
  <c r="Y195" i="11" s="1"/>
  <c r="Z195" i="11" s="1"/>
  <c r="R195" i="11"/>
  <c r="R193" i="11"/>
  <c r="R191" i="11"/>
  <c r="AN127" i="11"/>
  <c r="AP127" i="11"/>
  <c r="AQ127" i="11" s="1"/>
  <c r="X127" i="11"/>
  <c r="R127" i="11" s="1"/>
  <c r="Y127" i="11"/>
  <c r="Z127" i="11" s="1"/>
  <c r="AB96" i="11"/>
  <c r="AD96" i="11" s="1"/>
  <c r="AS96" i="11" s="1"/>
  <c r="AF96" i="11"/>
  <c r="AC96" i="11"/>
  <c r="AE96" i="11"/>
  <c r="AI96" i="11"/>
  <c r="AG96" i="11"/>
  <c r="AN223" i="11"/>
  <c r="AP223" i="11" s="1"/>
  <c r="AQ223" i="11" s="1"/>
  <c r="AN216" i="11"/>
  <c r="AP216" i="11"/>
  <c r="AQ216" i="11" s="1"/>
  <c r="AN210" i="11"/>
  <c r="AP210" i="11" s="1"/>
  <c r="AQ210" i="11" s="1"/>
  <c r="X210" i="11"/>
  <c r="Y210" i="11" s="1"/>
  <c r="Z210" i="11" s="1"/>
  <c r="R210" i="11"/>
  <c r="AN198" i="11"/>
  <c r="AP198" i="11" s="1"/>
  <c r="AQ198" i="11" s="1"/>
  <c r="X198" i="11"/>
  <c r="Y198" i="11" s="1"/>
  <c r="Z198" i="11" s="1"/>
  <c r="R198" i="11"/>
  <c r="AE179" i="11"/>
  <c r="AB179" i="11"/>
  <c r="AG179" i="11"/>
  <c r="AC179" i="11"/>
  <c r="AD179" i="11" s="1"/>
  <c r="AB176" i="11"/>
  <c r="AD176" i="11"/>
  <c r="AG176" i="11"/>
  <c r="AE176" i="11"/>
  <c r="AF176" i="11"/>
  <c r="X175" i="11"/>
  <c r="Y175" i="11" s="1"/>
  <c r="Z175" i="11" s="1"/>
  <c r="AN175" i="11"/>
  <c r="AP175" i="11"/>
  <c r="AQ175" i="11" s="1"/>
  <c r="AN134" i="11"/>
  <c r="AP134" i="11" s="1"/>
  <c r="AQ134" i="11" s="1"/>
  <c r="X134" i="11"/>
  <c r="Y134" i="11" s="1"/>
  <c r="Z134" i="11" s="1"/>
  <c r="R134" i="11"/>
  <c r="AN126" i="11"/>
  <c r="AP126" i="11"/>
  <c r="AQ126" i="11" s="1"/>
  <c r="X126" i="11"/>
  <c r="R126" i="11" s="1"/>
  <c r="Y126" i="11"/>
  <c r="Z126" i="11" s="1"/>
  <c r="AN117" i="11"/>
  <c r="AP117" i="11"/>
  <c r="AQ117" i="11" s="1"/>
  <c r="AN107" i="11"/>
  <c r="AP107" i="11" s="1"/>
  <c r="AQ107" i="11" s="1"/>
  <c r="X107" i="11"/>
  <c r="X174" i="11"/>
  <c r="R174" i="11" s="1"/>
  <c r="Y174" i="11"/>
  <c r="Z174" i="11" s="1"/>
  <c r="AN130" i="11"/>
  <c r="AP130" i="11"/>
  <c r="AQ130" i="11" s="1"/>
  <c r="X130" i="11"/>
  <c r="R130" i="11" s="1"/>
  <c r="X125" i="11"/>
  <c r="R125" i="11" s="1"/>
  <c r="Y125" i="11"/>
  <c r="Z125" i="11" s="1"/>
  <c r="AN115" i="11"/>
  <c r="AP115" i="11"/>
  <c r="AQ115" i="11" s="1"/>
  <c r="AN106" i="11"/>
  <c r="AP106" i="11" s="1"/>
  <c r="X106" i="11"/>
  <c r="R106" i="11" s="1"/>
  <c r="R59" i="11"/>
  <c r="Y59" i="11"/>
  <c r="Z59" i="11"/>
  <c r="AN56" i="11"/>
  <c r="AP56" i="11"/>
  <c r="AQ56" i="11" s="1"/>
  <c r="X56" i="11"/>
  <c r="R56" i="11" s="1"/>
  <c r="Y208" i="11"/>
  <c r="Z208" i="11" s="1"/>
  <c r="R208" i="11"/>
  <c r="Y201" i="11"/>
  <c r="Z201" i="11"/>
  <c r="R201" i="11"/>
  <c r="Y197" i="11"/>
  <c r="Z197" i="11" s="1"/>
  <c r="R197" i="11"/>
  <c r="Y194" i="11"/>
  <c r="Z194" i="11"/>
  <c r="R194" i="11"/>
  <c r="Y182" i="11"/>
  <c r="Z182" i="11" s="1"/>
  <c r="R182" i="11"/>
  <c r="R180" i="11"/>
  <c r="Y180" i="11"/>
  <c r="Z180" i="11" s="1"/>
  <c r="AN174" i="11"/>
  <c r="AP174" i="11" s="1"/>
  <c r="AQ174" i="11" s="1"/>
  <c r="R173" i="11"/>
  <c r="X105" i="11"/>
  <c r="R105" i="11" s="1"/>
  <c r="AN95" i="11"/>
  <c r="T100" i="11"/>
  <c r="T287" i="11"/>
  <c r="AQ94" i="11"/>
  <c r="X76" i="11"/>
  <c r="R76" i="11" s="1"/>
  <c r="Y76" i="11"/>
  <c r="Z76" i="11" s="1"/>
  <c r="AN76" i="11"/>
  <c r="AP76" i="11" s="1"/>
  <c r="AQ76" i="11" s="1"/>
  <c r="AK87" i="11"/>
  <c r="U87" i="11"/>
  <c r="Y222" i="11"/>
  <c r="Z222" i="11"/>
  <c r="Y214" i="11"/>
  <c r="Z214" i="11"/>
  <c r="Y213" i="11"/>
  <c r="Z213" i="11"/>
  <c r="Y207" i="11"/>
  <c r="Z207" i="11"/>
  <c r="AN200" i="11"/>
  <c r="AP200" i="11"/>
  <c r="AQ200" i="11" s="1"/>
  <c r="Y193" i="11"/>
  <c r="Z193" i="11" s="1"/>
  <c r="Y191" i="11"/>
  <c r="Z191" i="11" s="1"/>
  <c r="Y185" i="11"/>
  <c r="Z185" i="11" s="1"/>
  <c r="X178" i="11"/>
  <c r="Y178" i="11" s="1"/>
  <c r="Z178" i="11" s="1"/>
  <c r="Y177" i="11"/>
  <c r="Z177" i="11"/>
  <c r="AN151" i="11"/>
  <c r="AP151" i="11"/>
  <c r="AQ151" i="11" s="1"/>
  <c r="X149" i="11"/>
  <c r="R149" i="11" s="1"/>
  <c r="AN135" i="11"/>
  <c r="AP135" i="11" s="1"/>
  <c r="AQ135" i="11" s="1"/>
  <c r="X135" i="11"/>
  <c r="R135" i="11" s="1"/>
  <c r="R128" i="11"/>
  <c r="Y128" i="11"/>
  <c r="Z128" i="11" s="1"/>
  <c r="R123" i="11"/>
  <c r="Y123" i="11"/>
  <c r="Z123" i="11"/>
  <c r="AN114" i="11"/>
  <c r="AP114" i="11"/>
  <c r="AQ114" i="11" s="1"/>
  <c r="X114" i="11"/>
  <c r="R114" i="11" s="1"/>
  <c r="R111" i="11"/>
  <c r="X98" i="11"/>
  <c r="Y98" i="11"/>
  <c r="Z98" i="11" s="1"/>
  <c r="AN98" i="11"/>
  <c r="AP98" i="11" s="1"/>
  <c r="AQ98" i="11" s="1"/>
  <c r="X82" i="11"/>
  <c r="Y82" i="11" s="1"/>
  <c r="Z82" i="11" s="1"/>
  <c r="X80" i="11"/>
  <c r="R80" i="11" s="1"/>
  <c r="Y80" i="11"/>
  <c r="Z80" i="11" s="1"/>
  <c r="X71" i="11"/>
  <c r="R71" i="11" s="1"/>
  <c r="AN71" i="11"/>
  <c r="AP71" i="11" s="1"/>
  <c r="AQ71" i="11" s="1"/>
  <c r="AN69" i="11"/>
  <c r="AP69" i="11"/>
  <c r="AQ69" i="11" s="1"/>
  <c r="X69" i="11"/>
  <c r="Y69" i="11" s="1"/>
  <c r="Z69" i="11" s="1"/>
  <c r="Y68" i="11"/>
  <c r="Z68" i="11"/>
  <c r="R68" i="11"/>
  <c r="R50" i="11"/>
  <c r="Y50" i="11"/>
  <c r="Z50" i="11"/>
  <c r="Y129" i="11"/>
  <c r="Z129" i="11"/>
  <c r="R129" i="11"/>
  <c r="Y124" i="11"/>
  <c r="Z124" i="11" s="1"/>
  <c r="R124" i="11"/>
  <c r="Y119" i="11"/>
  <c r="Z119" i="11"/>
  <c r="R119" i="11"/>
  <c r="R118" i="11"/>
  <c r="Y113" i="11"/>
  <c r="Z113" i="11"/>
  <c r="R113" i="11"/>
  <c r="Y112" i="11"/>
  <c r="Z112" i="11" s="1"/>
  <c r="R112" i="11"/>
  <c r="Y104" i="11"/>
  <c r="Z104" i="11"/>
  <c r="R104" i="11"/>
  <c r="Y103" i="11"/>
  <c r="R103" i="11"/>
  <c r="Y97" i="11"/>
  <c r="Z97" i="11" s="1"/>
  <c r="AN80" i="11"/>
  <c r="AP80" i="11" s="1"/>
  <c r="AQ80" i="11" s="1"/>
  <c r="R79" i="11"/>
  <c r="Y78" i="11"/>
  <c r="Z78" i="11" s="1"/>
  <c r="AN72" i="11"/>
  <c r="AP72" i="11" s="1"/>
  <c r="AQ72" i="11" s="1"/>
  <c r="X72" i="11"/>
  <c r="X49" i="11"/>
  <c r="Y49" i="11" s="1"/>
  <c r="Z49" i="11"/>
  <c r="AN49" i="11"/>
  <c r="AP49" i="11"/>
  <c r="AQ49" i="11" s="1"/>
  <c r="AN33" i="11"/>
  <c r="AP33" i="11"/>
  <c r="AQ33" i="11" s="1"/>
  <c r="X33" i="11"/>
  <c r="Y33" i="11" s="1"/>
  <c r="Z33" i="11" s="1"/>
  <c r="Y173" i="11"/>
  <c r="Z173" i="11"/>
  <c r="Y111" i="11"/>
  <c r="Z111" i="11"/>
  <c r="AN77" i="11"/>
  <c r="AP77" i="11"/>
  <c r="AQ77" i="11" s="1"/>
  <c r="X77" i="11"/>
  <c r="R70" i="11"/>
  <c r="Y70" i="11"/>
  <c r="Z70" i="11" s="1"/>
  <c r="R55" i="11"/>
  <c r="Y55" i="11"/>
  <c r="Z55" i="11" s="1"/>
  <c r="Y83" i="11"/>
  <c r="Z83" i="11" s="1"/>
  <c r="Y79" i="11"/>
  <c r="Z79" i="11" s="1"/>
  <c r="R67" i="11"/>
  <c r="Y67" i="11"/>
  <c r="Z67" i="11"/>
  <c r="AN67" i="11"/>
  <c r="AP67" i="11"/>
  <c r="AQ67" i="11" s="1"/>
  <c r="AN65" i="11"/>
  <c r="AP65" i="11" s="1"/>
  <c r="AQ65" i="11"/>
  <c r="R65" i="11"/>
  <c r="Y65" i="11"/>
  <c r="Z65" i="11" s="1"/>
  <c r="R58" i="11"/>
  <c r="AN60" i="11"/>
  <c r="AP60" i="11"/>
  <c r="AQ60" i="11" s="1"/>
  <c r="R60" i="11"/>
  <c r="Y60" i="11"/>
  <c r="Z60" i="11"/>
  <c r="AN58" i="11"/>
  <c r="AP58" i="11" s="1"/>
  <c r="AQ58" i="11"/>
  <c r="AG52" i="11"/>
  <c r="AB52" i="11"/>
  <c r="AN46" i="11"/>
  <c r="AP46" i="11"/>
  <c r="AQ46" i="11" s="1"/>
  <c r="X46" i="11"/>
  <c r="R46" i="11"/>
  <c r="R43" i="11"/>
  <c r="Y43" i="11"/>
  <c r="Z43" i="11" s="1"/>
  <c r="AX13" i="11"/>
  <c r="AX14" i="11" s="1"/>
  <c r="AX15" i="11" s="1"/>
  <c r="X45" i="11"/>
  <c r="R45" i="11"/>
  <c r="Y45" i="11"/>
  <c r="Z45" i="11"/>
  <c r="X44" i="11"/>
  <c r="R44" i="11"/>
  <c r="AC34" i="11"/>
  <c r="AG34" i="11"/>
  <c r="AE34" i="11"/>
  <c r="AI34" i="11" s="1"/>
  <c r="AB34" i="11"/>
  <c r="AD34" i="11" s="1"/>
  <c r="AF34" i="11"/>
  <c r="AN18" i="11"/>
  <c r="AP18" i="11" s="1"/>
  <c r="AQ18" i="11" s="1"/>
  <c r="X18" i="11"/>
  <c r="Y58" i="11"/>
  <c r="Z58" i="11"/>
  <c r="R54" i="11"/>
  <c r="Y54" i="11"/>
  <c r="Z54" i="11" s="1"/>
  <c r="AN48" i="11"/>
  <c r="AP48" i="11" s="1"/>
  <c r="AQ48" i="11" s="1"/>
  <c r="X48" i="11"/>
  <c r="R48" i="11"/>
  <c r="AN45" i="11"/>
  <c r="AP45" i="11"/>
  <c r="AQ45" i="11" s="1"/>
  <c r="AN44" i="11"/>
  <c r="AP44" i="11" s="1"/>
  <c r="AQ44" i="11" s="1"/>
  <c r="X39" i="11"/>
  <c r="AN39" i="11"/>
  <c r="AP39" i="11" s="1"/>
  <c r="AQ39" i="11" s="1"/>
  <c r="R39" i="11"/>
  <c r="Y39" i="11"/>
  <c r="Z39" i="11" s="1"/>
  <c r="Y42" i="11"/>
  <c r="Z42" i="11"/>
  <c r="AN35" i="11"/>
  <c r="AP35" i="11" s="1"/>
  <c r="AQ35" i="11" s="1"/>
  <c r="AN31" i="11"/>
  <c r="AP31" i="11"/>
  <c r="AQ31" i="11" s="1"/>
  <c r="AN17" i="11"/>
  <c r="AP17" i="11" s="1"/>
  <c r="AQ17" i="11" s="1"/>
  <c r="AN15" i="11"/>
  <c r="R37" i="11"/>
  <c r="Y37" i="11"/>
  <c r="Z37" i="11" s="1"/>
  <c r="AN22" i="11"/>
  <c r="AP22" i="11" s="1"/>
  <c r="AQ22" i="11" s="1"/>
  <c r="R22" i="11"/>
  <c r="Y22" i="11"/>
  <c r="Z22" i="11" s="1"/>
  <c r="AN21" i="11"/>
  <c r="AP21" i="11" s="1"/>
  <c r="AQ21" i="11" s="1"/>
  <c r="R21" i="11"/>
  <c r="Y21" i="11"/>
  <c r="Z21" i="11" s="1"/>
  <c r="AN20" i="11"/>
  <c r="AP20" i="11" s="1"/>
  <c r="AQ20" i="11" s="1"/>
  <c r="R20" i="11"/>
  <c r="Y20" i="11"/>
  <c r="Z20" i="11" s="1"/>
  <c r="AN14" i="11"/>
  <c r="AP14" i="11" s="1"/>
  <c r="AN38" i="11"/>
  <c r="AP38" i="11"/>
  <c r="AQ38" i="11" s="1"/>
  <c r="Y38" i="11"/>
  <c r="Z38" i="11" s="1"/>
  <c r="X35" i="11"/>
  <c r="R35" i="11" s="1"/>
  <c r="X32" i="11"/>
  <c r="R32" i="11" s="1"/>
  <c r="AN29" i="11"/>
  <c r="AP29" i="11"/>
  <c r="AQ29" i="11" s="1"/>
  <c r="X29" i="11"/>
  <c r="Y29" i="11" s="1"/>
  <c r="Z29" i="11" s="1"/>
  <c r="X17" i="11"/>
  <c r="R17" i="11" s="1"/>
  <c r="Y17" i="11"/>
  <c r="Z17" i="11" s="1"/>
  <c r="X15" i="11"/>
  <c r="R15" i="11" s="1"/>
  <c r="AC49" i="11"/>
  <c r="AG49" i="11"/>
  <c r="AE49" i="11"/>
  <c r="AI49" i="11" s="1"/>
  <c r="AF49" i="11"/>
  <c r="AB49" i="11"/>
  <c r="AD49" i="11"/>
  <c r="AB175" i="11"/>
  <c r="AG175" i="11"/>
  <c r="AD175" i="11"/>
  <c r="AF175" i="11"/>
  <c r="AE175" i="11"/>
  <c r="AB178" i="11"/>
  <c r="AD178" i="11" s="1"/>
  <c r="AS178" i="11" s="1"/>
  <c r="AF178" i="11"/>
  <c r="AE178" i="11"/>
  <c r="AG178" i="11"/>
  <c r="AC178" i="11"/>
  <c r="AC263" i="11"/>
  <c r="AG263" i="11"/>
  <c r="AB263" i="11"/>
  <c r="AD263" i="11" s="1"/>
  <c r="AE263" i="11"/>
  <c r="AI263" i="11" s="1"/>
  <c r="AF263" i="11"/>
  <c r="AE233" i="11"/>
  <c r="AF233" i="11"/>
  <c r="AG233" i="11"/>
  <c r="AB233" i="11"/>
  <c r="AD233" i="11" s="1"/>
  <c r="AS233" i="11" s="1"/>
  <c r="AC45" i="11"/>
  <c r="AG45" i="11"/>
  <c r="AB45" i="11"/>
  <c r="AD45" i="11" s="1"/>
  <c r="AS45" i="11" s="1"/>
  <c r="AE45" i="11"/>
  <c r="AI45" i="11"/>
  <c r="AF45" i="11"/>
  <c r="AB60" i="11"/>
  <c r="AD60" i="11" s="1"/>
  <c r="AS60" i="11" s="1"/>
  <c r="AF60" i="11"/>
  <c r="AC60" i="11"/>
  <c r="AE60" i="11"/>
  <c r="AI60" i="11"/>
  <c r="AG60" i="11"/>
  <c r="AC55" i="11"/>
  <c r="AG55" i="11"/>
  <c r="AE55" i="11"/>
  <c r="AB55" i="11"/>
  <c r="AD55" i="11"/>
  <c r="AF55" i="11"/>
  <c r="Y77" i="11"/>
  <c r="Z77" i="11" s="1"/>
  <c r="R77" i="11"/>
  <c r="R49" i="11"/>
  <c r="AE78" i="11"/>
  <c r="AB78" i="11"/>
  <c r="AF78" i="11"/>
  <c r="AG78" i="11"/>
  <c r="AC78" i="11"/>
  <c r="AD78" i="11" s="1"/>
  <c r="AC97" i="11"/>
  <c r="AG97" i="11"/>
  <c r="AE97" i="11"/>
  <c r="AF97" i="11"/>
  <c r="AB97" i="11"/>
  <c r="AD97" i="11" s="1"/>
  <c r="AS97" i="11" s="1"/>
  <c r="AC104" i="11"/>
  <c r="AG104" i="11"/>
  <c r="AE104" i="11"/>
  <c r="AI104" i="11" s="1"/>
  <c r="AB104" i="11"/>
  <c r="AD104" i="11" s="1"/>
  <c r="AS104" i="11" s="1"/>
  <c r="AF104" i="11"/>
  <c r="AC113" i="11"/>
  <c r="AG113" i="11"/>
  <c r="AD113" i="11"/>
  <c r="AE113" i="11"/>
  <c r="AB113" i="11"/>
  <c r="AF113" i="11"/>
  <c r="AE50" i="11"/>
  <c r="AF50" i="11"/>
  <c r="AB50" i="11"/>
  <c r="AD50" i="11" s="1"/>
  <c r="AS50" i="11" s="1"/>
  <c r="AG50" i="11"/>
  <c r="AC50" i="11"/>
  <c r="AB69" i="11"/>
  <c r="AD69" i="11" s="1"/>
  <c r="AS69" i="11" s="1"/>
  <c r="AF69" i="11"/>
  <c r="AC69" i="11"/>
  <c r="AE69" i="11"/>
  <c r="AG69" i="11"/>
  <c r="Y71" i="11"/>
  <c r="Z71" i="11" s="1"/>
  <c r="AC98" i="11"/>
  <c r="AG98" i="11"/>
  <c r="AE98" i="11"/>
  <c r="AI98" i="11" s="1"/>
  <c r="AB98" i="11"/>
  <c r="AD98" i="11" s="1"/>
  <c r="AS98" i="11" s="1"/>
  <c r="AF98" i="11"/>
  <c r="AE185" i="11"/>
  <c r="AB185" i="11"/>
  <c r="AF185" i="11"/>
  <c r="AC185" i="11"/>
  <c r="AD185" i="11"/>
  <c r="AG185" i="11"/>
  <c r="AE207" i="11"/>
  <c r="AB207" i="11"/>
  <c r="AF207" i="11"/>
  <c r="AC207" i="11"/>
  <c r="AD207" i="11" s="1"/>
  <c r="AS207" i="11" s="1"/>
  <c r="AG207" i="11"/>
  <c r="U283" i="11"/>
  <c r="U286" i="11"/>
  <c r="U289" i="11"/>
  <c r="AC194" i="11"/>
  <c r="AG194" i="11"/>
  <c r="AE194" i="11"/>
  <c r="AB194" i="11"/>
  <c r="AD194" i="11" s="1"/>
  <c r="AS194" i="11" s="1"/>
  <c r="AF194" i="11"/>
  <c r="AC201" i="11"/>
  <c r="AG201" i="11"/>
  <c r="AE201" i="11"/>
  <c r="AF201" i="11"/>
  <c r="AB201" i="11"/>
  <c r="AD201" i="11" s="1"/>
  <c r="AS201" i="11" s="1"/>
  <c r="AQ106" i="11"/>
  <c r="AB126" i="11"/>
  <c r="AD126" i="11" s="1"/>
  <c r="AS126" i="11" s="1"/>
  <c r="AF126" i="11"/>
  <c r="AC126" i="11"/>
  <c r="AG126" i="11"/>
  <c r="AE126" i="11"/>
  <c r="AB134" i="11"/>
  <c r="AF134" i="11"/>
  <c r="AC134" i="11"/>
  <c r="AG134" i="11"/>
  <c r="AD134" i="11"/>
  <c r="AE134" i="11"/>
  <c r="AI134" i="11" s="1"/>
  <c r="AB210" i="11"/>
  <c r="AD210" i="11" s="1"/>
  <c r="AS210" i="11" s="1"/>
  <c r="AF210" i="11"/>
  <c r="AC210" i="11"/>
  <c r="AG210" i="11"/>
  <c r="AE210" i="11"/>
  <c r="AC216" i="11"/>
  <c r="AG216" i="11"/>
  <c r="AD216" i="11"/>
  <c r="AB216" i="11"/>
  <c r="AE216" i="11"/>
  <c r="AI216" i="11" s="1"/>
  <c r="AS216" i="11" s="1"/>
  <c r="AF216" i="11"/>
  <c r="AC246" i="11"/>
  <c r="AG246" i="11"/>
  <c r="AE246" i="11"/>
  <c r="AB246" i="11"/>
  <c r="AD246" i="11" s="1"/>
  <c r="AS246" i="11" s="1"/>
  <c r="AF246" i="11"/>
  <c r="R228" i="11"/>
  <c r="Y228" i="11"/>
  <c r="Z228" i="11" s="1"/>
  <c r="AB218" i="11"/>
  <c r="AD218" i="11" s="1"/>
  <c r="AS218" i="11" s="1"/>
  <c r="AF218" i="11"/>
  <c r="AC218" i="11"/>
  <c r="AG218" i="11"/>
  <c r="AE218" i="11"/>
  <c r="AB220" i="11"/>
  <c r="AD220" i="11" s="1"/>
  <c r="AS220" i="11" s="1"/>
  <c r="AF220" i="11"/>
  <c r="AC220" i="11"/>
  <c r="AG220" i="11"/>
  <c r="AE220" i="11"/>
  <c r="AH18" i="10"/>
  <c r="AG18" i="10"/>
  <c r="AB18" i="10"/>
  <c r="AD18" i="10" s="1"/>
  <c r="AC18" i="10"/>
  <c r="AF18" i="10"/>
  <c r="AJ18" i="10" s="1"/>
  <c r="AE221" i="11"/>
  <c r="AB221" i="11"/>
  <c r="AD221" i="11"/>
  <c r="AF221" i="11"/>
  <c r="AC221" i="11"/>
  <c r="AG221" i="11"/>
  <c r="AB226" i="11"/>
  <c r="AD226" i="11" s="1"/>
  <c r="AS226" i="11" s="1"/>
  <c r="AF226" i="11"/>
  <c r="AC226" i="11"/>
  <c r="AE226" i="11"/>
  <c r="AG226" i="11"/>
  <c r="AO19" i="10"/>
  <c r="AQ14" i="10"/>
  <c r="Y35" i="11"/>
  <c r="Z35" i="11" s="1"/>
  <c r="Y46" i="11"/>
  <c r="Z46" i="11" s="1"/>
  <c r="Y44" i="11"/>
  <c r="Z44" i="11" s="1"/>
  <c r="AE43" i="11"/>
  <c r="AC43" i="11"/>
  <c r="AD43" i="11"/>
  <c r="AF43" i="11"/>
  <c r="AG43" i="11"/>
  <c r="AB43" i="11"/>
  <c r="Y48" i="11"/>
  <c r="Z48" i="11" s="1"/>
  <c r="AE79" i="11"/>
  <c r="AB79" i="11"/>
  <c r="AD79" i="11"/>
  <c r="AC79" i="11"/>
  <c r="AF79" i="11"/>
  <c r="AG79" i="11"/>
  <c r="R69" i="11"/>
  <c r="AC124" i="11"/>
  <c r="AG124" i="11"/>
  <c r="AE124" i="11"/>
  <c r="AF124" i="11"/>
  <c r="AB124" i="11"/>
  <c r="AD124" i="11" s="1"/>
  <c r="AS124" i="11" s="1"/>
  <c r="AE123" i="11"/>
  <c r="AB123" i="11"/>
  <c r="AD123" i="11" s="1"/>
  <c r="AS123" i="11" s="1"/>
  <c r="AF123" i="11"/>
  <c r="AC123" i="11"/>
  <c r="AG123" i="11"/>
  <c r="AB177" i="11"/>
  <c r="AD177" i="11"/>
  <c r="AG177" i="11"/>
  <c r="AF177" i="11"/>
  <c r="AE177" i="11"/>
  <c r="AI177" i="11" s="1"/>
  <c r="AE191" i="11"/>
  <c r="AB191" i="11"/>
  <c r="AF191" i="11"/>
  <c r="AC191" i="11"/>
  <c r="AD191" i="11"/>
  <c r="AG191" i="11"/>
  <c r="AE213" i="11"/>
  <c r="AF213" i="11"/>
  <c r="AB213" i="11"/>
  <c r="AD213" i="11" s="1"/>
  <c r="AS213" i="11" s="1"/>
  <c r="AG213" i="11"/>
  <c r="AK286" i="11"/>
  <c r="AK283" i="11"/>
  <c r="AK289" i="11" s="1"/>
  <c r="AP95" i="11"/>
  <c r="R178" i="11"/>
  <c r="Y106" i="11"/>
  <c r="Z106" i="11"/>
  <c r="R175" i="11"/>
  <c r="AI176" i="11"/>
  <c r="AS176" i="11" s="1"/>
  <c r="AI179" i="11"/>
  <c r="AS179" i="11" s="1"/>
  <c r="Y202" i="11"/>
  <c r="Z202" i="11" s="1"/>
  <c r="Y215" i="11"/>
  <c r="Z215" i="11" s="1"/>
  <c r="Y244" i="11"/>
  <c r="Z244" i="11" s="1"/>
  <c r="R244" i="11"/>
  <c r="R233" i="11"/>
  <c r="AI190" i="11"/>
  <c r="AS190" i="11"/>
  <c r="Y19" i="10"/>
  <c r="Z14" i="10"/>
  <c r="AE42" i="11"/>
  <c r="AC42" i="11"/>
  <c r="AF42" i="11"/>
  <c r="AB42" i="11"/>
  <c r="AD42" i="11" s="1"/>
  <c r="AG42" i="11"/>
  <c r="AE83" i="11"/>
  <c r="AI83" i="11" s="1"/>
  <c r="AF83" i="11"/>
  <c r="AG83" i="11"/>
  <c r="AB83" i="11"/>
  <c r="AD83" i="11" s="1"/>
  <c r="AC83" i="11"/>
  <c r="AE70" i="11"/>
  <c r="AF70" i="11"/>
  <c r="AB70" i="11"/>
  <c r="AD70" i="11" s="1"/>
  <c r="AS70" i="11" s="1"/>
  <c r="AG70" i="11"/>
  <c r="AC70" i="11"/>
  <c r="AE111" i="11"/>
  <c r="AI111" i="11" s="1"/>
  <c r="AB111" i="11"/>
  <c r="AD111" i="11" s="1"/>
  <c r="AS111" i="11" s="1"/>
  <c r="AF111" i="11"/>
  <c r="AG111" i="11"/>
  <c r="AC111" i="11"/>
  <c r="R72" i="11"/>
  <c r="Y72" i="11"/>
  <c r="Z72" i="11"/>
  <c r="Z103" i="11"/>
  <c r="AC112" i="11"/>
  <c r="AG112" i="11"/>
  <c r="AE112" i="11"/>
  <c r="AI112" i="11" s="1"/>
  <c r="AB112" i="11"/>
  <c r="AD112" i="11" s="1"/>
  <c r="AS112" i="11" s="1"/>
  <c r="AF112" i="11"/>
  <c r="AE193" i="11"/>
  <c r="AB193" i="11"/>
  <c r="AD193" i="11" s="1"/>
  <c r="AS193" i="11" s="1"/>
  <c r="AF193" i="11"/>
  <c r="AC193" i="11"/>
  <c r="AG193" i="11"/>
  <c r="AE214" i="11"/>
  <c r="AB214" i="11"/>
  <c r="AD214" i="11" s="1"/>
  <c r="AS214" i="11" s="1"/>
  <c r="AC214" i="11"/>
  <c r="AF214" i="11"/>
  <c r="AG214" i="11"/>
  <c r="Y105" i="11"/>
  <c r="Z105" i="11"/>
  <c r="AC182" i="11"/>
  <c r="AG182" i="11"/>
  <c r="AE182" i="11"/>
  <c r="AI182" i="11"/>
  <c r="AB182" i="11"/>
  <c r="AD182" i="11" s="1"/>
  <c r="AS182" i="11" s="1"/>
  <c r="AF182" i="11"/>
  <c r="AC197" i="11"/>
  <c r="AG197" i="11"/>
  <c r="AE197" i="11"/>
  <c r="AB197" i="11"/>
  <c r="AD197" i="11" s="1"/>
  <c r="AS197" i="11" s="1"/>
  <c r="AF197" i="11"/>
  <c r="AC208" i="11"/>
  <c r="AG208" i="11"/>
  <c r="AE208" i="11"/>
  <c r="AB208" i="11"/>
  <c r="AD208" i="11" s="1"/>
  <c r="AF208" i="11"/>
  <c r="AI208" i="11" s="1"/>
  <c r="AB252" i="11"/>
  <c r="AD252" i="11" s="1"/>
  <c r="AF252" i="11"/>
  <c r="AC252" i="11"/>
  <c r="AG252" i="11"/>
  <c r="AE252" i="11"/>
  <c r="AI252" i="11" s="1"/>
  <c r="AH16" i="10"/>
  <c r="AG16" i="10"/>
  <c r="AB16" i="10"/>
  <c r="AD16" i="10"/>
  <c r="AC16" i="10"/>
  <c r="AF16" i="10"/>
  <c r="AF231" i="11"/>
  <c r="AG231" i="11"/>
  <c r="AB231" i="11"/>
  <c r="AD231" i="11"/>
  <c r="AE231" i="11"/>
  <c r="AI231" i="11" s="1"/>
  <c r="AE248" i="11"/>
  <c r="AF248" i="11"/>
  <c r="AB248" i="11"/>
  <c r="AD248" i="11" s="1"/>
  <c r="AS248" i="11" s="1"/>
  <c r="AG248" i="11"/>
  <c r="AE219" i="11"/>
  <c r="AB219" i="11"/>
  <c r="AF219" i="11"/>
  <c r="AC219" i="11"/>
  <c r="AD219" i="11"/>
  <c r="AG219" i="11"/>
  <c r="AE245" i="11"/>
  <c r="AB245" i="11"/>
  <c r="AD245" i="11" s="1"/>
  <c r="AS245" i="11" s="1"/>
  <c r="AF245" i="11"/>
  <c r="AG245" i="11"/>
  <c r="AC245" i="11"/>
  <c r="AF236" i="11"/>
  <c r="AB236" i="11"/>
  <c r="AD236" i="11" s="1"/>
  <c r="AS236" i="11" s="1"/>
  <c r="AG236" i="11"/>
  <c r="AE236" i="11"/>
  <c r="AB15" i="10"/>
  <c r="AF15" i="10"/>
  <c r="AH15" i="10"/>
  <c r="AC15" i="10"/>
  <c r="AD15" i="10" s="1"/>
  <c r="AU15" i="10" s="1"/>
  <c r="AG15" i="10"/>
  <c r="R14" i="10"/>
  <c r="AP15" i="11"/>
  <c r="AQ15" i="11" s="1"/>
  <c r="AE58" i="11"/>
  <c r="AB58" i="11"/>
  <c r="AF58" i="11"/>
  <c r="AC58" i="11"/>
  <c r="AD58" i="11"/>
  <c r="AG58" i="11"/>
  <c r="AB65" i="11"/>
  <c r="AD65" i="11" s="1"/>
  <c r="AS65" i="11" s="1"/>
  <c r="AF65" i="11"/>
  <c r="AC65" i="11"/>
  <c r="AE65" i="11"/>
  <c r="AI65" i="11" s="1"/>
  <c r="AG65" i="11"/>
  <c r="AB67" i="11"/>
  <c r="AD67" i="11" s="1"/>
  <c r="AS67" i="11" s="1"/>
  <c r="AF67" i="11"/>
  <c r="AC67" i="11"/>
  <c r="AE67" i="11"/>
  <c r="AI67" i="11"/>
  <c r="AG67" i="11"/>
  <c r="AE173" i="11"/>
  <c r="AI173" i="11" s="1"/>
  <c r="AB173" i="11"/>
  <c r="AD173" i="11" s="1"/>
  <c r="AS173" i="11" s="1"/>
  <c r="AC173" i="11"/>
  <c r="AF173" i="11"/>
  <c r="AG173" i="11"/>
  <c r="AC119" i="11"/>
  <c r="AG119" i="11"/>
  <c r="AD119" i="11"/>
  <c r="AE119" i="11"/>
  <c r="AB119" i="11"/>
  <c r="AF119" i="11"/>
  <c r="AC129" i="11"/>
  <c r="AD129" i="11" s="1"/>
  <c r="AG129" i="11"/>
  <c r="AE129" i="11"/>
  <c r="AI129" i="11" s="1"/>
  <c r="AF129" i="11"/>
  <c r="AB129" i="11"/>
  <c r="AC68" i="11"/>
  <c r="AG68" i="11"/>
  <c r="AE68" i="11"/>
  <c r="AF68" i="11"/>
  <c r="AB68" i="11"/>
  <c r="AD68" i="11" s="1"/>
  <c r="AS68" i="11" s="1"/>
  <c r="AC80" i="11"/>
  <c r="AG80" i="11"/>
  <c r="AB80" i="11"/>
  <c r="AD80" i="11" s="1"/>
  <c r="AS80" i="11" s="1"/>
  <c r="AE80" i="11"/>
  <c r="AI80" i="11"/>
  <c r="AF80" i="11"/>
  <c r="AE128" i="11"/>
  <c r="AB128" i="11"/>
  <c r="AD128" i="11"/>
  <c r="AF128" i="11"/>
  <c r="AC128" i="11"/>
  <c r="AG128" i="11"/>
  <c r="AD222" i="11"/>
  <c r="AE222" i="11"/>
  <c r="AC222" i="11"/>
  <c r="AF222" i="11"/>
  <c r="AG222" i="11"/>
  <c r="AI222" i="11" s="1"/>
  <c r="AS222" i="11" s="1"/>
  <c r="AB222" i="11"/>
  <c r="AC76" i="11"/>
  <c r="AG76" i="11"/>
  <c r="AD76" i="11"/>
  <c r="AF76" i="11"/>
  <c r="AB76" i="11"/>
  <c r="AE76" i="11"/>
  <c r="AI76" i="11"/>
  <c r="AE180" i="11"/>
  <c r="AB180" i="11"/>
  <c r="AD180" i="11" s="1"/>
  <c r="AS180" i="11" s="1"/>
  <c r="AF180" i="11"/>
  <c r="AC180" i="11"/>
  <c r="AG180" i="11"/>
  <c r="AC59" i="11"/>
  <c r="AG59" i="11"/>
  <c r="AE59" i="11"/>
  <c r="AB59" i="11"/>
  <c r="AD59" i="11" s="1"/>
  <c r="AS59" i="11" s="1"/>
  <c r="AF59" i="11"/>
  <c r="AI59" i="11" s="1"/>
  <c r="AC125" i="11"/>
  <c r="AD125" i="11"/>
  <c r="AG125" i="11"/>
  <c r="AE125" i="11"/>
  <c r="AI125" i="11" s="1"/>
  <c r="AS125" i="11" s="1"/>
  <c r="AF125" i="11"/>
  <c r="AC174" i="11"/>
  <c r="AG174" i="11"/>
  <c r="AB174" i="11"/>
  <c r="AD174" i="11" s="1"/>
  <c r="AS174" i="11" s="1"/>
  <c r="AE174" i="11"/>
  <c r="AI174" i="11"/>
  <c r="AF174" i="11"/>
  <c r="AB198" i="11"/>
  <c r="AF198" i="11"/>
  <c r="AC198" i="11"/>
  <c r="AD198" i="11" s="1"/>
  <c r="AS198" i="11" s="1"/>
  <c r="AG198" i="11"/>
  <c r="AE198" i="11"/>
  <c r="AE127" i="11"/>
  <c r="AB127" i="11"/>
  <c r="AF127" i="11"/>
  <c r="AC127" i="11"/>
  <c r="AD127" i="11" s="1"/>
  <c r="AS127" i="11" s="1"/>
  <c r="AG127" i="11"/>
  <c r="AB195" i="11"/>
  <c r="AD195" i="11" s="1"/>
  <c r="AF195" i="11"/>
  <c r="AC195" i="11"/>
  <c r="AG195" i="11"/>
  <c r="AE195" i="11"/>
  <c r="AI195" i="11" s="1"/>
  <c r="AC242" i="11"/>
  <c r="AG242" i="11"/>
  <c r="AE242" i="11"/>
  <c r="AI242" i="11" s="1"/>
  <c r="AB242" i="11"/>
  <c r="AD242" i="11" s="1"/>
  <c r="AS242" i="11" s="1"/>
  <c r="AF242" i="11"/>
  <c r="AB243" i="11"/>
  <c r="AD243" i="11" s="1"/>
  <c r="AF243" i="11"/>
  <c r="AC243" i="11"/>
  <c r="AG243" i="11"/>
  <c r="AE243" i="11"/>
  <c r="AI243" i="11" s="1"/>
  <c r="AH17" i="10"/>
  <c r="AC17" i="10"/>
  <c r="AF17" i="10"/>
  <c r="AJ17" i="10"/>
  <c r="AG17" i="10"/>
  <c r="AB17" i="10"/>
  <c r="AD17" i="10" s="1"/>
  <c r="AU17" i="10" s="1"/>
  <c r="AB209" i="11"/>
  <c r="AG209" i="11"/>
  <c r="AD209" i="11"/>
  <c r="AS209" i="11" s="1"/>
  <c r="AE209" i="11"/>
  <c r="AF209" i="11"/>
  <c r="AE234" i="11"/>
  <c r="AI234" i="11"/>
  <c r="AF234" i="11"/>
  <c r="AG234" i="11"/>
  <c r="AB234" i="11"/>
  <c r="AD234" i="11"/>
  <c r="AS234" i="11" s="1"/>
  <c r="T288" i="11"/>
  <c r="T283" i="11"/>
  <c r="T289" i="11"/>
  <c r="AE240" i="11"/>
  <c r="AB240" i="11"/>
  <c r="AD240" i="11" s="1"/>
  <c r="AS240" i="11" s="1"/>
  <c r="AF240" i="11"/>
  <c r="AC240" i="11"/>
  <c r="AG240" i="11"/>
  <c r="AJ16" i="10"/>
  <c r="AU16" i="10"/>
  <c r="AI197" i="11"/>
  <c r="AB105" i="11"/>
  <c r="AG105" i="11"/>
  <c r="AD105" i="11"/>
  <c r="AE105" i="11"/>
  <c r="AI105" i="11" s="1"/>
  <c r="AS105" i="11" s="1"/>
  <c r="AF105" i="11"/>
  <c r="AD103" i="11"/>
  <c r="AS103" i="11" s="1"/>
  <c r="AE103" i="11"/>
  <c r="AF103" i="11"/>
  <c r="AC103" i="11"/>
  <c r="AG103" i="11"/>
  <c r="AI42" i="11"/>
  <c r="AI213" i="11"/>
  <c r="AI79" i="11"/>
  <c r="AS79" i="11" s="1"/>
  <c r="AI43" i="11"/>
  <c r="AS43" i="11"/>
  <c r="AI218" i="11"/>
  <c r="AI246" i="11"/>
  <c r="AI210" i="11"/>
  <c r="AI126" i="11"/>
  <c r="AI194" i="11"/>
  <c r="AI207" i="11"/>
  <c r="AI69" i="11"/>
  <c r="AI55" i="11"/>
  <c r="AS55" i="11" s="1"/>
  <c r="AC14" i="10"/>
  <c r="AC19" i="10" s="1"/>
  <c r="AG14" i="10"/>
  <c r="AG19" i="10" s="1"/>
  <c r="AH14" i="10"/>
  <c r="AH19" i="10" s="1"/>
  <c r="Z19" i="10"/>
  <c r="AF14" i="10"/>
  <c r="AB14" i="10"/>
  <c r="AB19" i="10" s="1"/>
  <c r="AI240" i="11"/>
  <c r="AI209" i="11"/>
  <c r="AI198" i="11"/>
  <c r="AI180" i="11"/>
  <c r="AI119" i="11"/>
  <c r="AS119" i="11" s="1"/>
  <c r="AI236" i="11"/>
  <c r="AI219" i="11"/>
  <c r="AS219" i="11" s="1"/>
  <c r="AI248" i="11"/>
  <c r="AI214" i="11"/>
  <c r="AB72" i="11"/>
  <c r="AD72" i="11" s="1"/>
  <c r="AS72" i="11" s="1"/>
  <c r="AF72" i="11"/>
  <c r="AC72" i="11"/>
  <c r="AG72" i="11"/>
  <c r="AE72" i="11"/>
  <c r="AQ95" i="11"/>
  <c r="AI191" i="11"/>
  <c r="AS191" i="11" s="1"/>
  <c r="AI113" i="11"/>
  <c r="AS113" i="11" s="1"/>
  <c r="AI97" i="11"/>
  <c r="AI127" i="11"/>
  <c r="AI128" i="11"/>
  <c r="AS128" i="11" s="1"/>
  <c r="AJ15" i="10"/>
  <c r="AI193" i="11"/>
  <c r="AQ19" i="10"/>
  <c r="AR14" i="10"/>
  <c r="AR19" i="10"/>
  <c r="AS76" i="11"/>
  <c r="AI68" i="11"/>
  <c r="AI58" i="11"/>
  <c r="AS58" i="11"/>
  <c r="AI245" i="11"/>
  <c r="AI70" i="11"/>
  <c r="AB106" i="11"/>
  <c r="AD106" i="11" s="1"/>
  <c r="AF106" i="11"/>
  <c r="AC106" i="11"/>
  <c r="AG106" i="11"/>
  <c r="AE106" i="11"/>
  <c r="AI106" i="11" s="1"/>
  <c r="AI123" i="11"/>
  <c r="AI124" i="11"/>
  <c r="AI226" i="11"/>
  <c r="AI221" i="11"/>
  <c r="AS221" i="11"/>
  <c r="AI220" i="11"/>
  <c r="AI201" i="11"/>
  <c r="AI185" i="11"/>
  <c r="AI50" i="11"/>
  <c r="AI78" i="11"/>
  <c r="AI233" i="11"/>
  <c r="AI178" i="11"/>
  <c r="AI175" i="11"/>
  <c r="AS175" i="11"/>
  <c r="AI72" i="11"/>
  <c r="AF19" i="10"/>
  <c r="AD14" i="10"/>
  <c r="AI103" i="11"/>
  <c r="R235" i="11"/>
  <c r="R250" i="11"/>
  <c r="R138" i="11"/>
  <c r="Y138" i="11"/>
  <c r="Z138" i="11" s="1"/>
  <c r="AG138" i="11" s="1"/>
  <c r="Y146" i="11"/>
  <c r="Z146" i="11" s="1"/>
  <c r="AC146" i="11" s="1"/>
  <c r="Y121" i="11"/>
  <c r="Z121" i="11" s="1"/>
  <c r="AF121" i="11" s="1"/>
  <c r="R265" i="11"/>
  <c r="AF255" i="8"/>
  <c r="AH255" i="8"/>
  <c r="Y75" i="8"/>
  <c r="S75" i="8" s="1"/>
  <c r="AK291" i="8"/>
  <c r="AL291" i="8"/>
  <c r="AN291" i="8"/>
  <c r="AC250" i="11"/>
  <c r="X281" i="11"/>
  <c r="Y281" i="11" s="1"/>
  <c r="Z281" i="11" s="1"/>
  <c r="AC273" i="11"/>
  <c r="AF273" i="11"/>
  <c r="AE273" i="11"/>
  <c r="AG23" i="11"/>
  <c r="AC23" i="11"/>
  <c r="AE23" i="11"/>
  <c r="AE28" i="11"/>
  <c r="AG28" i="11"/>
  <c r="Y26" i="8"/>
  <c r="Z26" i="8" s="1"/>
  <c r="AA26" i="8" s="1"/>
  <c r="E23" i="10"/>
  <c r="AB239" i="11" l="1"/>
  <c r="Y249" i="11"/>
  <c r="Z249" i="11" s="1"/>
  <c r="AE250" i="11"/>
  <c r="AE239" i="11"/>
  <c r="AI239" i="11" s="1"/>
  <c r="X153" i="11"/>
  <c r="Y153" i="11" s="1"/>
  <c r="Z153" i="11" s="1"/>
  <c r="AE153" i="11" s="1"/>
  <c r="X262" i="11"/>
  <c r="Y262" i="11" s="1"/>
  <c r="Z262" i="11" s="1"/>
  <c r="AC262" i="11" s="1"/>
  <c r="X136" i="11"/>
  <c r="R136" i="11" s="1"/>
  <c r="X280" i="11"/>
  <c r="Y280" i="11" s="1"/>
  <c r="Z280" i="11" s="1"/>
  <c r="AB280" i="11" s="1"/>
  <c r="X273" i="8"/>
  <c r="Y273" i="8" s="1"/>
  <c r="Z273" i="8" s="1"/>
  <c r="AA273" i="8" s="1"/>
  <c r="AC273" i="8" s="1"/>
  <c r="X140" i="8"/>
  <c r="Y140" i="8" s="1"/>
  <c r="Z140" i="8" s="1"/>
  <c r="AA140" i="8" s="1"/>
  <c r="AF140" i="8" s="1"/>
  <c r="X94" i="8"/>
  <c r="Y94" i="8" s="1"/>
  <c r="Z94" i="8" s="1"/>
  <c r="AA94" i="8" s="1"/>
  <c r="AC94" i="8" s="1"/>
  <c r="R254" i="11"/>
  <c r="Y46" i="8"/>
  <c r="S46" i="8" s="1"/>
  <c r="AY47" i="8"/>
  <c r="AO37" i="8"/>
  <c r="AQ37" i="8" s="1"/>
  <c r="AR37" i="8" s="1"/>
  <c r="Y59" i="8"/>
  <c r="Z59" i="8" s="1"/>
  <c r="AA59" i="8" s="1"/>
  <c r="AO67" i="8"/>
  <c r="AQ67" i="8" s="1"/>
  <c r="AR67" i="8" s="1"/>
  <c r="Y227" i="11"/>
  <c r="Z227" i="11" s="1"/>
  <c r="AB227" i="11" s="1"/>
  <c r="AB250" i="11"/>
  <c r="AD250" i="11" s="1"/>
  <c r="AC239" i="11"/>
  <c r="AD239" i="11" s="1"/>
  <c r="Y253" i="8"/>
  <c r="Z253" i="8" s="1"/>
  <c r="AA253" i="8" s="1"/>
  <c r="AF253" i="8" s="1"/>
  <c r="X276" i="11"/>
  <c r="Y276" i="11" s="1"/>
  <c r="Z276" i="11" s="1"/>
  <c r="AC276" i="11" s="1"/>
  <c r="X271" i="11"/>
  <c r="Y271" i="11" s="1"/>
  <c r="Z271" i="11" s="1"/>
  <c r="AE271" i="11" s="1"/>
  <c r="AG250" i="11"/>
  <c r="X143" i="11"/>
  <c r="AF243" i="8"/>
  <c r="Y277" i="8"/>
  <c r="Z277" i="8" s="1"/>
  <c r="AA277" i="8" s="1"/>
  <c r="AH277" i="8" s="1"/>
  <c r="AO48" i="8"/>
  <c r="AQ48" i="8" s="1"/>
  <c r="AR48" i="8" s="1"/>
  <c r="AO58" i="8"/>
  <c r="AQ58" i="8" s="1"/>
  <c r="AR58" i="8" s="1"/>
  <c r="Z58" i="8"/>
  <c r="AA58" i="8" s="1"/>
  <c r="AD58" i="8" s="1"/>
  <c r="Z166" i="8"/>
  <c r="AA166" i="8" s="1"/>
  <c r="AD166" i="8" s="1"/>
  <c r="AO15" i="8"/>
  <c r="AQ15" i="8" s="1"/>
  <c r="AR15" i="8" s="1"/>
  <c r="AO21" i="8"/>
  <c r="AQ21" i="8" s="1"/>
  <c r="AR21" i="8" s="1"/>
  <c r="AO54" i="8"/>
  <c r="AQ54" i="8" s="1"/>
  <c r="AR54" i="8" s="1"/>
  <c r="S48" i="8"/>
  <c r="Y49" i="8"/>
  <c r="Z49" i="8" s="1"/>
  <c r="AA49" i="8" s="1"/>
  <c r="AG49" i="8" s="1"/>
  <c r="R286" i="8"/>
  <c r="R292" i="8" s="1"/>
  <c r="Y19" i="8"/>
  <c r="Z19" i="8" s="1"/>
  <c r="AA19" i="8" s="1"/>
  <c r="AD19" i="8" s="1"/>
  <c r="Y17" i="8"/>
  <c r="S17" i="8" s="1"/>
  <c r="Y38" i="8"/>
  <c r="S38" i="8" s="1"/>
  <c r="Y18" i="8"/>
  <c r="Z18" i="8" s="1"/>
  <c r="AA18" i="8" s="1"/>
  <c r="AF18" i="8" s="1"/>
  <c r="Y62" i="8"/>
  <c r="Z62" i="8" s="1"/>
  <c r="AA62" i="8" s="1"/>
  <c r="AH62" i="8" s="1"/>
  <c r="AO157" i="8"/>
  <c r="AQ157" i="8" s="1"/>
  <c r="AR157" i="8" s="1"/>
  <c r="Y55" i="8"/>
  <c r="S55" i="8" s="1"/>
  <c r="Y284" i="8"/>
  <c r="Z284" i="8" s="1"/>
  <c r="AA284" i="8" s="1"/>
  <c r="AD284" i="8" s="1"/>
  <c r="Z48" i="8"/>
  <c r="AA48" i="8" s="1"/>
  <c r="AD48" i="8" s="1"/>
  <c r="Z15" i="8"/>
  <c r="AA15" i="8" s="1"/>
  <c r="AC15" i="8" s="1"/>
  <c r="Y57" i="8"/>
  <c r="S57" i="8" s="1"/>
  <c r="AO276" i="8"/>
  <c r="AQ276" i="8" s="1"/>
  <c r="AR276" i="8" s="1"/>
  <c r="Y170" i="8"/>
  <c r="S170" i="8" s="1"/>
  <c r="Y28" i="8"/>
  <c r="S28" i="8" s="1"/>
  <c r="Y30" i="8"/>
  <c r="S30" i="8" s="1"/>
  <c r="Y61" i="8"/>
  <c r="Z61" i="8" s="1"/>
  <c r="AA61" i="8" s="1"/>
  <c r="Y44" i="8"/>
  <c r="Z44" i="8" s="1"/>
  <c r="AA44" i="8" s="1"/>
  <c r="AH44" i="8" s="1"/>
  <c r="S70" i="8"/>
  <c r="AO71" i="8"/>
  <c r="AQ71" i="8" s="1"/>
  <c r="AR71" i="8" s="1"/>
  <c r="Z34" i="8"/>
  <c r="AA34" i="8" s="1"/>
  <c r="AD34" i="8" s="1"/>
  <c r="Y52" i="8"/>
  <c r="Z52" i="8" s="1"/>
  <c r="AA52" i="8" s="1"/>
  <c r="Y66" i="8"/>
  <c r="S66" i="8" s="1"/>
  <c r="S71" i="8"/>
  <c r="AO34" i="8"/>
  <c r="AQ34" i="8" s="1"/>
  <c r="AR34" i="8" s="1"/>
  <c r="Y41" i="8"/>
  <c r="Z41" i="8" s="1"/>
  <c r="AA41" i="8" s="1"/>
  <c r="AC41" i="8" s="1"/>
  <c r="AO281" i="8"/>
  <c r="AQ281" i="8" s="1"/>
  <c r="AR281" i="8" s="1"/>
  <c r="AN287" i="8"/>
  <c r="AN293" i="8" s="1"/>
  <c r="Y39" i="8"/>
  <c r="Z39" i="8" s="1"/>
  <c r="AA39" i="8" s="1"/>
  <c r="AG39" i="8" s="1"/>
  <c r="AO56" i="8"/>
  <c r="AQ56" i="8" s="1"/>
  <c r="AR56" i="8" s="1"/>
  <c r="Y258" i="8"/>
  <c r="Z258" i="8" s="1"/>
  <c r="AA258" i="8" s="1"/>
  <c r="Y202" i="8"/>
  <c r="S202" i="8" s="1"/>
  <c r="AM287" i="8"/>
  <c r="AM293" i="8" s="1"/>
  <c r="Y36" i="8"/>
  <c r="Z36" i="8" s="1"/>
  <c r="AA36" i="8" s="1"/>
  <c r="AG36" i="8" s="1"/>
  <c r="Y87" i="8"/>
  <c r="Z87" i="8" s="1"/>
  <c r="AA87" i="8" s="1"/>
  <c r="AC87" i="8" s="1"/>
  <c r="Y144" i="8"/>
  <c r="Z144" i="8" s="1"/>
  <c r="AA144" i="8" s="1"/>
  <c r="AD144" i="8" s="1"/>
  <c r="Y158" i="8"/>
  <c r="Z158" i="8" s="1"/>
  <c r="AA158" i="8" s="1"/>
  <c r="AC158" i="8" s="1"/>
  <c r="Z75" i="8"/>
  <c r="AA75" i="8" s="1"/>
  <c r="AH75" i="8" s="1"/>
  <c r="Y24" i="8"/>
  <c r="Z24" i="8" s="1"/>
  <c r="AA24" i="8" s="1"/>
  <c r="AG24" i="8" s="1"/>
  <c r="Y45" i="8"/>
  <c r="Z45" i="8" s="1"/>
  <c r="AA45" i="8" s="1"/>
  <c r="AH45" i="8" s="1"/>
  <c r="AO261" i="8"/>
  <c r="AQ261" i="8" s="1"/>
  <c r="AR261" i="8" s="1"/>
  <c r="Y152" i="8"/>
  <c r="Z152" i="8" s="1"/>
  <c r="AA152" i="8" s="1"/>
  <c r="AD152" i="8" s="1"/>
  <c r="Y260" i="8"/>
  <c r="S260" i="8" s="1"/>
  <c r="Y14" i="8"/>
  <c r="Z14" i="8" s="1"/>
  <c r="AA14" i="8" s="1"/>
  <c r="AH14" i="8" s="1"/>
  <c r="Y132" i="8"/>
  <c r="S132" i="8" s="1"/>
  <c r="Y51" i="8"/>
  <c r="S51" i="8" s="1"/>
  <c r="AO256" i="8"/>
  <c r="AQ256" i="8" s="1"/>
  <c r="AR256" i="8" s="1"/>
  <c r="Y90" i="8"/>
  <c r="Z90" i="8" s="1"/>
  <c r="AA90" i="8" s="1"/>
  <c r="AH90" i="8" s="1"/>
  <c r="Y128" i="8"/>
  <c r="Z128" i="8" s="1"/>
  <c r="AA128" i="8" s="1"/>
  <c r="AH128" i="8" s="1"/>
  <c r="Y131" i="8"/>
  <c r="S131" i="8" s="1"/>
  <c r="Y245" i="8"/>
  <c r="Z245" i="8" s="1"/>
  <c r="AA245" i="8" s="1"/>
  <c r="AG245" i="8" s="1"/>
  <c r="Y278" i="8"/>
  <c r="Z278" i="8" s="1"/>
  <c r="AA278" i="8" s="1"/>
  <c r="AH278" i="8" s="1"/>
  <c r="Y25" i="8"/>
  <c r="Z25" i="8" s="1"/>
  <c r="AA25" i="8" s="1"/>
  <c r="AD25" i="8" s="1"/>
  <c r="AO47" i="8"/>
  <c r="AQ47" i="8" s="1"/>
  <c r="AR47" i="8" s="1"/>
  <c r="Y162" i="8"/>
  <c r="S162" i="8" s="1"/>
  <c r="Z169" i="8"/>
  <c r="AA169" i="8" s="1"/>
  <c r="AF169" i="8" s="1"/>
  <c r="Y279" i="8"/>
  <c r="Z279" i="8" s="1"/>
  <c r="AA279" i="8" s="1"/>
  <c r="AG279" i="8" s="1"/>
  <c r="Y237" i="8"/>
  <c r="S237" i="8" s="1"/>
  <c r="Y99" i="8"/>
  <c r="S99" i="8" s="1"/>
  <c r="AO169" i="8"/>
  <c r="AQ169" i="8" s="1"/>
  <c r="AR169" i="8" s="1"/>
  <c r="AO194" i="8"/>
  <c r="AQ194" i="8" s="1"/>
  <c r="AR194" i="8" s="1"/>
  <c r="AI287" i="8"/>
  <c r="AI293" i="8" s="1"/>
  <c r="S169" i="8"/>
  <c r="Y91" i="8"/>
  <c r="S91" i="8" s="1"/>
  <c r="Z67" i="8"/>
  <c r="AA67" i="8" s="1"/>
  <c r="AD67" i="8" s="1"/>
  <c r="Y279" i="11"/>
  <c r="Z279" i="11" s="1"/>
  <c r="AF279" i="11" s="1"/>
  <c r="AB186" i="11"/>
  <c r="R153" i="11"/>
  <c r="AH243" i="8"/>
  <c r="AJ243" i="8" s="1"/>
  <c r="AC254" i="8"/>
  <c r="AE254" i="8" s="1"/>
  <c r="AC243" i="8"/>
  <c r="AE243" i="8" s="1"/>
  <c r="AG254" i="8"/>
  <c r="AJ83" i="8"/>
  <c r="AT83" i="8" s="1"/>
  <c r="AH254" i="8"/>
  <c r="AG70" i="8"/>
  <c r="Y151" i="8"/>
  <c r="Z151" i="8" s="1"/>
  <c r="AA151" i="8" s="1"/>
  <c r="AG151" i="8" s="1"/>
  <c r="AD189" i="8"/>
  <c r="AE189" i="8" s="1"/>
  <c r="AO233" i="8"/>
  <c r="AQ233" i="8" s="1"/>
  <c r="AR233" i="8" s="1"/>
  <c r="AO259" i="8"/>
  <c r="AQ259" i="8" s="1"/>
  <c r="AR259" i="8" s="1"/>
  <c r="Y159" i="8"/>
  <c r="Z159" i="8" s="1"/>
  <c r="AA159" i="8" s="1"/>
  <c r="AF159" i="8" s="1"/>
  <c r="S181" i="8"/>
  <c r="AO263" i="8"/>
  <c r="AQ263" i="8" s="1"/>
  <c r="AR263" i="8" s="1"/>
  <c r="AO181" i="8"/>
  <c r="AQ181" i="8" s="1"/>
  <c r="AR181" i="8" s="1"/>
  <c r="Y155" i="8"/>
  <c r="Z155" i="8" s="1"/>
  <c r="AC70" i="8"/>
  <c r="AH157" i="8"/>
  <c r="AD70" i="8"/>
  <c r="AC195" i="8"/>
  <c r="AE195" i="8" s="1"/>
  <c r="AH195" i="8"/>
  <c r="AG195" i="8"/>
  <c r="AF195" i="8"/>
  <c r="AH144" i="8"/>
  <c r="AG157" i="8"/>
  <c r="AF70" i="8"/>
  <c r="AF81" i="11"/>
  <c r="AE232" i="11"/>
  <c r="AG81" i="11"/>
  <c r="R162" i="11"/>
  <c r="AB261" i="11"/>
  <c r="Y135" i="11"/>
  <c r="Z135" i="11" s="1"/>
  <c r="AF135" i="11" s="1"/>
  <c r="R163" i="11"/>
  <c r="Y163" i="11"/>
  <c r="Z163" i="11" s="1"/>
  <c r="AB163" i="11" s="1"/>
  <c r="W282" i="11"/>
  <c r="W288" i="11" s="1"/>
  <c r="X120" i="8"/>
  <c r="Y120" i="8" s="1"/>
  <c r="Z120" i="8" s="1"/>
  <c r="AA120" i="8" s="1"/>
  <c r="AC120" i="8" s="1"/>
  <c r="AE120" i="8" s="1"/>
  <c r="AB121" i="11"/>
  <c r="X124" i="8"/>
  <c r="Y124" i="8" s="1"/>
  <c r="Z124" i="8" s="1"/>
  <c r="AA124" i="8" s="1"/>
  <c r="AF124" i="8" s="1"/>
  <c r="X166" i="11"/>
  <c r="R166" i="11" s="1"/>
  <c r="X143" i="8"/>
  <c r="Y143" i="8" s="1"/>
  <c r="Z143" i="8" s="1"/>
  <c r="AA143" i="8" s="1"/>
  <c r="AH143" i="8" s="1"/>
  <c r="Y147" i="11"/>
  <c r="Z147" i="11" s="1"/>
  <c r="AF147" i="11" s="1"/>
  <c r="AF40" i="8"/>
  <c r="AG40" i="8"/>
  <c r="AG255" i="8"/>
  <c r="AJ255" i="8" s="1"/>
  <c r="AT255" i="8" s="1"/>
  <c r="AC154" i="8"/>
  <c r="AE154" i="8" s="1"/>
  <c r="Y149" i="11"/>
  <c r="Z149" i="11" s="1"/>
  <c r="AE149" i="11" s="1"/>
  <c r="Y16" i="11"/>
  <c r="Z16" i="11" s="1"/>
  <c r="AF16" i="11" s="1"/>
  <c r="X116" i="11"/>
  <c r="Y116" i="11" s="1"/>
  <c r="Z116" i="11" s="1"/>
  <c r="AE116" i="11" s="1"/>
  <c r="Y133" i="8"/>
  <c r="Z133" i="8" s="1"/>
  <c r="AA133" i="8" s="1"/>
  <c r="AH133" i="8" s="1"/>
  <c r="S142" i="8"/>
  <c r="AO53" i="8"/>
  <c r="AQ53" i="8" s="1"/>
  <c r="AR53" i="8" s="1"/>
  <c r="Y31" i="11"/>
  <c r="Z31" i="11" s="1"/>
  <c r="AF31" i="11" s="1"/>
  <c r="AB264" i="11"/>
  <c r="AD264" i="11" s="1"/>
  <c r="AC269" i="11"/>
  <c r="Y253" i="11"/>
  <c r="Z253" i="11" s="1"/>
  <c r="AB253" i="11" s="1"/>
  <c r="AD253" i="11" s="1"/>
  <c r="AD217" i="8"/>
  <c r="AC272" i="8"/>
  <c r="AE272" i="8" s="1"/>
  <c r="AH272" i="8"/>
  <c r="Y23" i="8"/>
  <c r="Z23" i="8" s="1"/>
  <c r="AA23" i="8" s="1"/>
  <c r="AC23" i="8" s="1"/>
  <c r="S65" i="8"/>
  <c r="AO29" i="8"/>
  <c r="AQ29" i="8" s="1"/>
  <c r="AR29" i="8" s="1"/>
  <c r="AO65" i="8"/>
  <c r="AQ65" i="8" s="1"/>
  <c r="AR65" i="8" s="1"/>
  <c r="S56" i="8"/>
  <c r="Y72" i="8"/>
  <c r="S72" i="8" s="1"/>
  <c r="AO63" i="8"/>
  <c r="AQ63" i="8" s="1"/>
  <c r="AR63" i="8" s="1"/>
  <c r="Y43" i="8"/>
  <c r="S43" i="8" s="1"/>
  <c r="AG29" i="8"/>
  <c r="AH29" i="8"/>
  <c r="AF58" i="8"/>
  <c r="S21" i="8"/>
  <c r="Z56" i="8"/>
  <c r="AA56" i="8" s="1"/>
  <c r="AD56" i="8" s="1"/>
  <c r="AG19" i="8"/>
  <c r="Z65" i="8"/>
  <c r="AA65" i="8" s="1"/>
  <c r="AC65" i="8" s="1"/>
  <c r="Y35" i="8"/>
  <c r="S35" i="8" s="1"/>
  <c r="AH58" i="8"/>
  <c r="Y16" i="8"/>
  <c r="S16" i="8" s="1"/>
  <c r="Y121" i="8"/>
  <c r="S121" i="8" s="1"/>
  <c r="AG265" i="11"/>
  <c r="AF265" i="11"/>
  <c r="AB260" i="11"/>
  <c r="AD260" i="11" s="1"/>
  <c r="AF247" i="11"/>
  <c r="AE264" i="11"/>
  <c r="AG271" i="11"/>
  <c r="R229" i="11"/>
  <c r="AF275" i="11"/>
  <c r="R27" i="11"/>
  <c r="Y257" i="11"/>
  <c r="Z257" i="11" s="1"/>
  <c r="AC257" i="11" s="1"/>
  <c r="Y102" i="8"/>
  <c r="Z102" i="8" s="1"/>
  <c r="AA102" i="8" s="1"/>
  <c r="AD102" i="8" s="1"/>
  <c r="R82" i="11"/>
  <c r="R264" i="11"/>
  <c r="AG278" i="11"/>
  <c r="AE278" i="11"/>
  <c r="AC278" i="11"/>
  <c r="AB277" i="11"/>
  <c r="AC277" i="11"/>
  <c r="AE277" i="11"/>
  <c r="Y238" i="11"/>
  <c r="Z238" i="11" s="1"/>
  <c r="AE238" i="11" s="1"/>
  <c r="R238" i="11"/>
  <c r="AB266" i="11"/>
  <c r="AD266" i="11" s="1"/>
  <c r="AG266" i="11"/>
  <c r="AG272" i="11"/>
  <c r="Y24" i="11"/>
  <c r="Z24" i="11" s="1"/>
  <c r="AE24" i="11" s="1"/>
  <c r="X240" i="8"/>
  <c r="Y240" i="8" s="1"/>
  <c r="Z240" i="8" s="1"/>
  <c r="AA240" i="8" s="1"/>
  <c r="AB168" i="11"/>
  <c r="AD168" i="11" s="1"/>
  <c r="AF235" i="11"/>
  <c r="R148" i="11"/>
  <c r="Y188" i="11"/>
  <c r="Z188" i="11" s="1"/>
  <c r="AC188" i="11" s="1"/>
  <c r="AB270" i="11"/>
  <c r="X255" i="11"/>
  <c r="AG160" i="11"/>
  <c r="AE160" i="11"/>
  <c r="AB160" i="11"/>
  <c r="AD160" i="11" s="1"/>
  <c r="AG230" i="11"/>
  <c r="AE230" i="11"/>
  <c r="AC93" i="11"/>
  <c r="AB93" i="11"/>
  <c r="AB82" i="11"/>
  <c r="AE82" i="11"/>
  <c r="AF254" i="11"/>
  <c r="AB254" i="11"/>
  <c r="AE254" i="11"/>
  <c r="R19" i="11"/>
  <c r="Y19" i="11"/>
  <c r="Z19" i="11" s="1"/>
  <c r="AG19" i="11" s="1"/>
  <c r="Y75" i="11"/>
  <c r="Z75" i="11" s="1"/>
  <c r="AG75" i="11" s="1"/>
  <c r="AG264" i="11"/>
  <c r="AB146" i="11"/>
  <c r="AD146" i="11" s="1"/>
  <c r="AC142" i="11"/>
  <c r="AE270" i="11"/>
  <c r="AG247" i="11"/>
  <c r="R154" i="11"/>
  <c r="AC186" i="11"/>
  <c r="Y53" i="11"/>
  <c r="Z53" i="11" s="1"/>
  <c r="AE53" i="11" s="1"/>
  <c r="X151" i="11"/>
  <c r="AE142" i="11"/>
  <c r="X205" i="11"/>
  <c r="Y112" i="8"/>
  <c r="S112" i="8" s="1"/>
  <c r="Y120" i="11"/>
  <c r="Z120" i="11" s="1"/>
  <c r="AE266" i="11"/>
  <c r="AC99" i="11"/>
  <c r="AD99" i="11" s="1"/>
  <c r="R155" i="11"/>
  <c r="R142" i="11"/>
  <c r="Y237" i="11"/>
  <c r="Z237" i="11" s="1"/>
  <c r="AE237" i="11" s="1"/>
  <c r="AF264" i="11"/>
  <c r="Y88" i="8"/>
  <c r="Z88" i="8" s="1"/>
  <c r="AA88" i="8" s="1"/>
  <c r="AF88" i="8" s="1"/>
  <c r="Y73" i="8"/>
  <c r="S73" i="8" s="1"/>
  <c r="Z181" i="8"/>
  <c r="AA181" i="8" s="1"/>
  <c r="AH181" i="8" s="1"/>
  <c r="Y105" i="8"/>
  <c r="Z105" i="8" s="1"/>
  <c r="AA105" i="8" s="1"/>
  <c r="Y228" i="8"/>
  <c r="Z228" i="8" s="1"/>
  <c r="AA228" i="8" s="1"/>
  <c r="AC228" i="8" s="1"/>
  <c r="Y96" i="8"/>
  <c r="S96" i="8" s="1"/>
  <c r="Y119" i="8"/>
  <c r="AF259" i="8"/>
  <c r="S259" i="8"/>
  <c r="Y241" i="8"/>
  <c r="Z241" i="8" s="1"/>
  <c r="AA241" i="8" s="1"/>
  <c r="AD241" i="8" s="1"/>
  <c r="Y125" i="8"/>
  <c r="S125" i="8" s="1"/>
  <c r="Y103" i="8"/>
  <c r="S103" i="8" s="1"/>
  <c r="Z138" i="8"/>
  <c r="AA138" i="8" s="1"/>
  <c r="AH138" i="8" s="1"/>
  <c r="S172" i="8"/>
  <c r="Y283" i="8"/>
  <c r="S283" i="8" s="1"/>
  <c r="Y265" i="8"/>
  <c r="Z265" i="8" s="1"/>
  <c r="AA265" i="8" s="1"/>
  <c r="AD265" i="8" s="1"/>
  <c r="AH71" i="8"/>
  <c r="AO242" i="8"/>
  <c r="AQ242" i="8" s="1"/>
  <c r="AR242" i="8" s="1"/>
  <c r="AO172" i="8"/>
  <c r="AQ172" i="8" s="1"/>
  <c r="AR172" i="8" s="1"/>
  <c r="Y126" i="8"/>
  <c r="Z126" i="8" s="1"/>
  <c r="AA126" i="8" s="1"/>
  <c r="AF126" i="8" s="1"/>
  <c r="Y89" i="8"/>
  <c r="Y101" i="8"/>
  <c r="S101" i="8" s="1"/>
  <c r="AE89" i="11"/>
  <c r="AG89" i="11"/>
  <c r="Y107" i="11"/>
  <c r="Z107" i="11" s="1"/>
  <c r="R107" i="11"/>
  <c r="Y74" i="11"/>
  <c r="Z74" i="11" s="1"/>
  <c r="AB74" i="11" s="1"/>
  <c r="R74" i="11"/>
  <c r="AB28" i="11"/>
  <c r="AC28" i="11"/>
  <c r="AG268" i="11"/>
  <c r="AF268" i="11"/>
  <c r="AE268" i="11"/>
  <c r="R137" i="11"/>
  <c r="Y137" i="11"/>
  <c r="Z137" i="11" s="1"/>
  <c r="AF137" i="11" s="1"/>
  <c r="AE99" i="11"/>
  <c r="AG269" i="11"/>
  <c r="AF82" i="11"/>
  <c r="AG82" i="11"/>
  <c r="AC82" i="11"/>
  <c r="AI28" i="11"/>
  <c r="AF99" i="11"/>
  <c r="R156" i="11"/>
  <c r="Y156" i="11"/>
  <c r="Z156" i="11" s="1"/>
  <c r="AB156" i="11" s="1"/>
  <c r="AB273" i="11"/>
  <c r="AD273" i="11" s="1"/>
  <c r="AG273" i="11"/>
  <c r="AI273" i="11" s="1"/>
  <c r="Y30" i="11"/>
  <c r="Z30" i="11" s="1"/>
  <c r="R30" i="11"/>
  <c r="R117" i="11"/>
  <c r="Y117" i="11"/>
  <c r="Z117" i="11" s="1"/>
  <c r="AC117" i="11" s="1"/>
  <c r="AB272" i="11"/>
  <c r="AD272" i="11" s="1"/>
  <c r="AF272" i="11"/>
  <c r="Y171" i="11"/>
  <c r="Z171" i="11" s="1"/>
  <c r="R171" i="11"/>
  <c r="AG274" i="11"/>
  <c r="Y14" i="11"/>
  <c r="Z14" i="11" s="1"/>
  <c r="AE14" i="11" s="1"/>
  <c r="AG121" i="11"/>
  <c r="AG99" i="11"/>
  <c r="AE272" i="11"/>
  <c r="AF274" i="11"/>
  <c r="Y199" i="11"/>
  <c r="Z199" i="11" s="1"/>
  <c r="AF199" i="11" s="1"/>
  <c r="AC232" i="11"/>
  <c r="R161" i="11"/>
  <c r="Y161" i="11"/>
  <c r="Z161" i="11" s="1"/>
  <c r="AE161" i="11" s="1"/>
  <c r="AG229" i="11"/>
  <c r="AF229" i="11"/>
  <c r="AC270" i="11"/>
  <c r="AG270" i="11"/>
  <c r="AF93" i="11"/>
  <c r="AG93" i="11"/>
  <c r="Y136" i="8"/>
  <c r="S136" i="8" s="1"/>
  <c r="X172" i="11"/>
  <c r="X152" i="11"/>
  <c r="X150" i="11"/>
  <c r="X86" i="11"/>
  <c r="X85" i="11"/>
  <c r="AD23" i="11"/>
  <c r="AF160" i="11"/>
  <c r="AE265" i="11"/>
  <c r="R109" i="11"/>
  <c r="Y31" i="8"/>
  <c r="X169" i="11"/>
  <c r="X139" i="11"/>
  <c r="X63" i="11"/>
  <c r="Y251" i="8"/>
  <c r="Z251" i="8" s="1"/>
  <c r="AA251" i="8" s="1"/>
  <c r="AF251" i="8" s="1"/>
  <c r="Z194" i="8"/>
  <c r="AA194" i="8" s="1"/>
  <c r="AG194" i="8" s="1"/>
  <c r="S194" i="8"/>
  <c r="Y104" i="8"/>
  <c r="Z104" i="8" s="1"/>
  <c r="AA104" i="8" s="1"/>
  <c r="AG104" i="8" s="1"/>
  <c r="AO186" i="8"/>
  <c r="AQ186" i="8" s="1"/>
  <c r="AR186" i="8" s="1"/>
  <c r="Y106" i="8"/>
  <c r="S106" i="8" s="1"/>
  <c r="AG190" i="8"/>
  <c r="S36" i="8"/>
  <c r="Z46" i="8"/>
  <c r="AA46" i="8" s="1"/>
  <c r="AH46" i="8" s="1"/>
  <c r="AO161" i="8"/>
  <c r="AQ161" i="8" s="1"/>
  <c r="AR161" i="8" s="1"/>
  <c r="AD29" i="8"/>
  <c r="Z55" i="8"/>
  <c r="AA55" i="8" s="1"/>
  <c r="AG55" i="8" s="1"/>
  <c r="AF157" i="8"/>
  <c r="AC157" i="8"/>
  <c r="AE157" i="8" s="1"/>
  <c r="Z242" i="8"/>
  <c r="AA242" i="8" s="1"/>
  <c r="AG242" i="8" s="1"/>
  <c r="Y93" i="8"/>
  <c r="Z93" i="8" s="1"/>
  <c r="AA93" i="8" s="1"/>
  <c r="Y188" i="8"/>
  <c r="S188" i="8" s="1"/>
  <c r="AO195" i="8"/>
  <c r="AQ195" i="8" s="1"/>
  <c r="AR195" i="8" s="1"/>
  <c r="Y210" i="8"/>
  <c r="S210" i="8" s="1"/>
  <c r="AO138" i="8"/>
  <c r="AQ138" i="8" s="1"/>
  <c r="AR138" i="8" s="1"/>
  <c r="AL76" i="8"/>
  <c r="AL290" i="8" s="1"/>
  <c r="AG58" i="8"/>
  <c r="AC58" i="8"/>
  <c r="AE58" i="8" s="1"/>
  <c r="AO156" i="8"/>
  <c r="AQ156" i="8" s="1"/>
  <c r="AR156" i="8" s="1"/>
  <c r="Y220" i="8"/>
  <c r="Z220" i="8" s="1"/>
  <c r="AA220" i="8" s="1"/>
  <c r="S138" i="8"/>
  <c r="Z156" i="8"/>
  <c r="AA156" i="8" s="1"/>
  <c r="AG156" i="8" s="1"/>
  <c r="Y33" i="8"/>
  <c r="AO229" i="8"/>
  <c r="AQ229" i="8" s="1"/>
  <c r="AR229" i="8" s="1"/>
  <c r="Y163" i="8"/>
  <c r="Z163" i="8" s="1"/>
  <c r="AA163" i="8" s="1"/>
  <c r="Y257" i="8"/>
  <c r="S229" i="8"/>
  <c r="Y218" i="8"/>
  <c r="Z218" i="8" s="1"/>
  <c r="AA218" i="8" s="1"/>
  <c r="AH218" i="8" s="1"/>
  <c r="S164" i="8"/>
  <c r="AD74" i="8"/>
  <c r="AH74" i="8"/>
  <c r="AH64" i="8"/>
  <c r="AF64" i="8"/>
  <c r="AG64" i="8"/>
  <c r="AD71" i="8"/>
  <c r="AE71" i="8" s="1"/>
  <c r="AF144" i="8"/>
  <c r="AH142" i="8"/>
  <c r="Y68" i="8"/>
  <c r="Z68" i="8" s="1"/>
  <c r="AA68" i="8" s="1"/>
  <c r="AD68" i="8" s="1"/>
  <c r="AC40" i="8"/>
  <c r="AE40" i="8" s="1"/>
  <c r="AC29" i="8"/>
  <c r="AH40" i="8"/>
  <c r="AF160" i="8"/>
  <c r="S29" i="8"/>
  <c r="Y69" i="8"/>
  <c r="S69" i="8" s="1"/>
  <c r="Y42" i="8"/>
  <c r="Z42" i="8" s="1"/>
  <c r="AA42" i="8" s="1"/>
  <c r="S186" i="8"/>
  <c r="AO40" i="8"/>
  <c r="AQ40" i="8" s="1"/>
  <c r="AR40" i="8" s="1"/>
  <c r="Y246" i="8"/>
  <c r="S246" i="8" s="1"/>
  <c r="AO164" i="8"/>
  <c r="AQ164" i="8" s="1"/>
  <c r="AR164" i="8" s="1"/>
  <c r="Z186" i="8"/>
  <c r="AA186" i="8" s="1"/>
  <c r="AD186" i="8" s="1"/>
  <c r="AO236" i="8"/>
  <c r="AQ236" i="8" s="1"/>
  <c r="AR236" i="8" s="1"/>
  <c r="Y50" i="8"/>
  <c r="S50" i="8" s="1"/>
  <c r="Y275" i="8"/>
  <c r="Z275" i="8" s="1"/>
  <c r="AA275" i="8" s="1"/>
  <c r="AF275" i="8" s="1"/>
  <c r="AO74" i="8"/>
  <c r="AQ74" i="8" s="1"/>
  <c r="AR74" i="8" s="1"/>
  <c r="S40" i="8"/>
  <c r="Y185" i="8"/>
  <c r="S185" i="8" s="1"/>
  <c r="Y100" i="8"/>
  <c r="Z100" i="8" s="1"/>
  <c r="Y108" i="8"/>
  <c r="S108" i="8" s="1"/>
  <c r="AC142" i="8"/>
  <c r="AE142" i="8" s="1"/>
  <c r="Y204" i="8"/>
  <c r="Z204" i="8" s="1"/>
  <c r="AA204" i="8" s="1"/>
  <c r="AH204" i="8" s="1"/>
  <c r="AO133" i="8"/>
  <c r="AQ133" i="8" s="1"/>
  <c r="AR133" i="8" s="1"/>
  <c r="S233" i="8"/>
  <c r="Y27" i="8"/>
  <c r="Z27" i="8" s="1"/>
  <c r="AA27" i="8" s="1"/>
  <c r="AG27" i="8" s="1"/>
  <c r="Y285" i="8"/>
  <c r="Z285" i="8" s="1"/>
  <c r="AA285" i="8" s="1"/>
  <c r="AO64" i="8"/>
  <c r="AQ64" i="8" s="1"/>
  <c r="AR64" i="8" s="1"/>
  <c r="Y123" i="8"/>
  <c r="S123" i="8" s="1"/>
  <c r="Y116" i="8"/>
  <c r="Z116" i="8" s="1"/>
  <c r="AA116" i="8" s="1"/>
  <c r="AG116" i="8" s="1"/>
  <c r="AK287" i="8"/>
  <c r="AK293" i="8" s="1"/>
  <c r="Z54" i="8"/>
  <c r="AA54" i="8" s="1"/>
  <c r="S74" i="8"/>
  <c r="Z236" i="8"/>
  <c r="AA236" i="8" s="1"/>
  <c r="AG236" i="8" s="1"/>
  <c r="S166" i="8"/>
  <c r="AF29" i="8"/>
  <c r="Y60" i="8"/>
  <c r="S60" i="8" s="1"/>
  <c r="Y239" i="8"/>
  <c r="Z239" i="8" s="1"/>
  <c r="AA239" i="8" s="1"/>
  <c r="AF239" i="8" s="1"/>
  <c r="Y199" i="8"/>
  <c r="Z199" i="8" s="1"/>
  <c r="AA199" i="8" s="1"/>
  <c r="Y227" i="8"/>
  <c r="S227" i="8" s="1"/>
  <c r="Z229" i="8"/>
  <c r="AA229" i="8" s="1"/>
  <c r="AH229" i="8" s="1"/>
  <c r="Y200" i="8"/>
  <c r="Z200" i="8" s="1"/>
  <c r="AA200" i="8" s="1"/>
  <c r="AH200" i="8" s="1"/>
  <c r="AF272" i="8"/>
  <c r="AG272" i="8"/>
  <c r="AG164" i="8"/>
  <c r="AD164" i="8"/>
  <c r="AH164" i="8"/>
  <c r="AF21" i="8"/>
  <c r="AH21" i="8"/>
  <c r="V286" i="8"/>
  <c r="Z53" i="8"/>
  <c r="AA53" i="8" s="1"/>
  <c r="AH53" i="8" s="1"/>
  <c r="S195" i="8"/>
  <c r="AC21" i="8"/>
  <c r="AE21" i="8" s="1"/>
  <c r="AG142" i="8"/>
  <c r="Z37" i="8"/>
  <c r="AA37" i="8" s="1"/>
  <c r="AC37" i="8" s="1"/>
  <c r="AC64" i="8"/>
  <c r="S157" i="8"/>
  <c r="Y167" i="8"/>
  <c r="Z167" i="8" s="1"/>
  <c r="AA167" i="8" s="1"/>
  <c r="AH167" i="8" s="1"/>
  <c r="Y224" i="8"/>
  <c r="AS287" i="8"/>
  <c r="AF142" i="8"/>
  <c r="AO108" i="8"/>
  <c r="AQ108" i="8" s="1"/>
  <c r="AR108" i="8" s="1"/>
  <c r="AD64" i="8"/>
  <c r="AC160" i="8"/>
  <c r="AE160" i="8" s="1"/>
  <c r="Y191" i="8"/>
  <c r="Z191" i="8" s="1"/>
  <c r="AA191" i="8" s="1"/>
  <c r="AH191" i="8" s="1"/>
  <c r="AG269" i="8"/>
  <c r="AC269" i="8"/>
  <c r="AD269" i="8"/>
  <c r="AH269" i="8"/>
  <c r="AF269" i="8"/>
  <c r="AF183" i="8"/>
  <c r="AG183" i="8"/>
  <c r="AD183" i="8"/>
  <c r="AH183" i="8"/>
  <c r="AC183" i="8"/>
  <c r="AO270" i="8"/>
  <c r="AQ270" i="8" s="1"/>
  <c r="AR270" i="8" s="1"/>
  <c r="AO248" i="8"/>
  <c r="AQ248" i="8" s="1"/>
  <c r="AR248" i="8" s="1"/>
  <c r="Y248" i="8"/>
  <c r="Z248" i="8" s="1"/>
  <c r="AA248" i="8" s="1"/>
  <c r="Y196" i="8"/>
  <c r="S196" i="8" s="1"/>
  <c r="AO196" i="8"/>
  <c r="AQ196" i="8" s="1"/>
  <c r="AR196" i="8" s="1"/>
  <c r="AO282" i="8"/>
  <c r="AQ282" i="8" s="1"/>
  <c r="AR282" i="8" s="1"/>
  <c r="Y282" i="8"/>
  <c r="Z282" i="8" s="1"/>
  <c r="AA282" i="8" s="1"/>
  <c r="AO207" i="8"/>
  <c r="AQ207" i="8" s="1"/>
  <c r="AR207" i="8" s="1"/>
  <c r="Y207" i="8"/>
  <c r="S207" i="8" s="1"/>
  <c r="Y149" i="8"/>
  <c r="Z149" i="8" s="1"/>
  <c r="AA149" i="8" s="1"/>
  <c r="AO149" i="8"/>
  <c r="AQ149" i="8" s="1"/>
  <c r="AR149" i="8" s="1"/>
  <c r="AO177" i="8"/>
  <c r="AQ177" i="8" s="1"/>
  <c r="AR177" i="8" s="1"/>
  <c r="Y177" i="8"/>
  <c r="Z177" i="8" s="1"/>
  <c r="AA177" i="8" s="1"/>
  <c r="AF177" i="8" s="1"/>
  <c r="Y264" i="8"/>
  <c r="Z264" i="8" s="1"/>
  <c r="AA264" i="8" s="1"/>
  <c r="AD264" i="8" s="1"/>
  <c r="AO264" i="8"/>
  <c r="AQ264" i="8" s="1"/>
  <c r="AR264" i="8" s="1"/>
  <c r="AO208" i="8"/>
  <c r="AQ208" i="8" s="1"/>
  <c r="AR208" i="8" s="1"/>
  <c r="S208" i="8"/>
  <c r="Y198" i="8"/>
  <c r="S198" i="8" s="1"/>
  <c r="Y249" i="8"/>
  <c r="Z249" i="8" s="1"/>
  <c r="AA249" i="8" s="1"/>
  <c r="AO249" i="8"/>
  <c r="AQ249" i="8" s="1"/>
  <c r="AR249" i="8" s="1"/>
  <c r="AO206" i="8"/>
  <c r="AQ206" i="8" s="1"/>
  <c r="AR206" i="8" s="1"/>
  <c r="Y206" i="8"/>
  <c r="S206" i="8" s="1"/>
  <c r="Y219" i="8"/>
  <c r="Z219" i="8" s="1"/>
  <c r="AA219" i="8" s="1"/>
  <c r="AO219" i="8"/>
  <c r="AQ219" i="8" s="1"/>
  <c r="AR219" i="8" s="1"/>
  <c r="Y270" i="8"/>
  <c r="Z270" i="8" s="1"/>
  <c r="AA270" i="8" s="1"/>
  <c r="AG276" i="8"/>
  <c r="AF276" i="8"/>
  <c r="Y150" i="8"/>
  <c r="Z150" i="8" s="1"/>
  <c r="AA150" i="8" s="1"/>
  <c r="AO150" i="8"/>
  <c r="AQ150" i="8" s="1"/>
  <c r="AR150" i="8" s="1"/>
  <c r="AO238" i="8"/>
  <c r="AQ238" i="8" s="1"/>
  <c r="AR238" i="8" s="1"/>
  <c r="Y238" i="8"/>
  <c r="Z238" i="8" s="1"/>
  <c r="AA238" i="8" s="1"/>
  <c r="Y148" i="8"/>
  <c r="S148" i="8" s="1"/>
  <c r="AO209" i="8"/>
  <c r="AQ209" i="8" s="1"/>
  <c r="AR209" i="8" s="1"/>
  <c r="Y209" i="8"/>
  <c r="Z209" i="8" s="1"/>
  <c r="AA209" i="8" s="1"/>
  <c r="AC209" i="8" s="1"/>
  <c r="AO262" i="8"/>
  <c r="AQ262" i="8" s="1"/>
  <c r="AR262" i="8" s="1"/>
  <c r="Y262" i="8"/>
  <c r="Z262" i="8" s="1"/>
  <c r="AA262" i="8" s="1"/>
  <c r="Y122" i="8"/>
  <c r="Z122" i="8" s="1"/>
  <c r="AA122" i="8" s="1"/>
  <c r="AH122" i="8" s="1"/>
  <c r="AO122" i="8"/>
  <c r="AQ122" i="8" s="1"/>
  <c r="AR122" i="8" s="1"/>
  <c r="AG189" i="8"/>
  <c r="AH189" i="8"/>
  <c r="AO268" i="8"/>
  <c r="AQ268" i="8" s="1"/>
  <c r="AR268" i="8" s="1"/>
  <c r="Y268" i="8"/>
  <c r="Z268" i="8" s="1"/>
  <c r="AA268" i="8" s="1"/>
  <c r="AO267" i="8"/>
  <c r="AQ267" i="8" s="1"/>
  <c r="AR267" i="8" s="1"/>
  <c r="Y267" i="8"/>
  <c r="S267" i="8" s="1"/>
  <c r="Y235" i="8"/>
  <c r="Z235" i="8" s="1"/>
  <c r="AA235" i="8" s="1"/>
  <c r="AG235" i="8" s="1"/>
  <c r="AO235" i="8"/>
  <c r="AQ235" i="8" s="1"/>
  <c r="AR235" i="8" s="1"/>
  <c r="AO266" i="8"/>
  <c r="AQ266" i="8" s="1"/>
  <c r="AR266" i="8" s="1"/>
  <c r="Y266" i="8"/>
  <c r="Z266" i="8" s="1"/>
  <c r="AA266" i="8" s="1"/>
  <c r="Y231" i="8"/>
  <c r="S231" i="8" s="1"/>
  <c r="AO213" i="8"/>
  <c r="AQ213" i="8" s="1"/>
  <c r="AR213" i="8" s="1"/>
  <c r="Y213" i="8"/>
  <c r="AO180" i="8"/>
  <c r="AQ180" i="8" s="1"/>
  <c r="AR180" i="8" s="1"/>
  <c r="Y180" i="8"/>
  <c r="Z180" i="8" s="1"/>
  <c r="AA180" i="8" s="1"/>
  <c r="AF172" i="8"/>
  <c r="AF189" i="8"/>
  <c r="Z208" i="8"/>
  <c r="AA208" i="8" s="1"/>
  <c r="Y135" i="8"/>
  <c r="Z135" i="8" s="1"/>
  <c r="AA135" i="8" s="1"/>
  <c r="Z261" i="8"/>
  <c r="AA261" i="8" s="1"/>
  <c r="AF261" i="8" s="1"/>
  <c r="AG71" i="8"/>
  <c r="AF71" i="8"/>
  <c r="AC172" i="8"/>
  <c r="AO217" i="8"/>
  <c r="AQ217" i="8" s="1"/>
  <c r="AR217" i="8" s="1"/>
  <c r="S269" i="8"/>
  <c r="AO269" i="8"/>
  <c r="AQ269" i="8" s="1"/>
  <c r="AR269" i="8" s="1"/>
  <c r="Y175" i="8"/>
  <c r="S175" i="8" s="1"/>
  <c r="AO175" i="8"/>
  <c r="AQ175" i="8" s="1"/>
  <c r="AR175" i="8" s="1"/>
  <c r="AO183" i="8"/>
  <c r="AQ183" i="8" s="1"/>
  <c r="AR183" i="8" s="1"/>
  <c r="S183" i="8"/>
  <c r="Y182" i="8"/>
  <c r="Z182" i="8" s="1"/>
  <c r="AA182" i="8" s="1"/>
  <c r="AO182" i="8"/>
  <c r="AQ182" i="8" s="1"/>
  <c r="AR182" i="8" s="1"/>
  <c r="AO173" i="8"/>
  <c r="AQ173" i="8" s="1"/>
  <c r="AR173" i="8" s="1"/>
  <c r="Y173" i="8"/>
  <c r="S173" i="8" s="1"/>
  <c r="Y171" i="8"/>
  <c r="S171" i="8" s="1"/>
  <c r="AO171" i="8"/>
  <c r="AQ171" i="8" s="1"/>
  <c r="AR171" i="8" s="1"/>
  <c r="AG34" i="8"/>
  <c r="Z161" i="8"/>
  <c r="AA161" i="8" s="1"/>
  <c r="AG161" i="8" s="1"/>
  <c r="S161" i="8"/>
  <c r="AO234" i="8"/>
  <c r="AQ234" i="8" s="1"/>
  <c r="AR234" i="8" s="1"/>
  <c r="AH146" i="8"/>
  <c r="AF146" i="8"/>
  <c r="AG146" i="8"/>
  <c r="AC146" i="8"/>
  <c r="AE146" i="8" s="1"/>
  <c r="Y174" i="8"/>
  <c r="Z174" i="8" s="1"/>
  <c r="AA174" i="8" s="1"/>
  <c r="AC164" i="8"/>
  <c r="AF164" i="8"/>
  <c r="AD233" i="8"/>
  <c r="AE233" i="8" s="1"/>
  <c r="AF233" i="8"/>
  <c r="Y84" i="8"/>
  <c r="Y291" i="8" s="1"/>
  <c r="AO174" i="8"/>
  <c r="AQ174" i="8" s="1"/>
  <c r="AR174" i="8" s="1"/>
  <c r="AO139" i="8"/>
  <c r="AQ139" i="8" s="1"/>
  <c r="AR139" i="8" s="1"/>
  <c r="Y139" i="8"/>
  <c r="AO129" i="8"/>
  <c r="AQ129" i="8" s="1"/>
  <c r="AR129" i="8" s="1"/>
  <c r="Y129" i="8"/>
  <c r="Y244" i="8"/>
  <c r="Z244" i="8" s="1"/>
  <c r="AA244" i="8" s="1"/>
  <c r="AF244" i="8" s="1"/>
  <c r="AF280" i="8"/>
  <c r="AH280" i="8"/>
  <c r="Y212" i="8"/>
  <c r="Z212" i="8" s="1"/>
  <c r="AA212" i="8" s="1"/>
  <c r="AO114" i="8"/>
  <c r="AQ114" i="8" s="1"/>
  <c r="AR114" i="8" s="1"/>
  <c r="Y114" i="8"/>
  <c r="Y130" i="8"/>
  <c r="Y176" i="8"/>
  <c r="AO176" i="8"/>
  <c r="AQ176" i="8" s="1"/>
  <c r="AR176" i="8" s="1"/>
  <c r="AF154" i="8"/>
  <c r="AG154" i="8"/>
  <c r="S64" i="8"/>
  <c r="Y252" i="8"/>
  <c r="Z252" i="8" s="1"/>
  <c r="AA252" i="8" s="1"/>
  <c r="AD252" i="8" s="1"/>
  <c r="Y92" i="8"/>
  <c r="S92" i="8" s="1"/>
  <c r="Y115" i="8"/>
  <c r="Z115" i="8" s="1"/>
  <c r="AA115" i="8" s="1"/>
  <c r="Y141" i="8"/>
  <c r="S141" i="8" s="1"/>
  <c r="Y110" i="8"/>
  <c r="S110" i="8" s="1"/>
  <c r="Z256" i="8"/>
  <c r="AA256" i="8" s="1"/>
  <c r="S256" i="8"/>
  <c r="S280" i="8"/>
  <c r="Y97" i="8"/>
  <c r="S97" i="8" s="1"/>
  <c r="Y153" i="8"/>
  <c r="Z153" i="8" s="1"/>
  <c r="AA153" i="8" s="1"/>
  <c r="AF153" i="8" s="1"/>
  <c r="Y145" i="8"/>
  <c r="AO280" i="8"/>
  <c r="AQ280" i="8" s="1"/>
  <c r="AR280" i="8" s="1"/>
  <c r="AO142" i="8"/>
  <c r="AQ142" i="8" s="1"/>
  <c r="AR142" i="8" s="1"/>
  <c r="Y127" i="8"/>
  <c r="S127" i="8" s="1"/>
  <c r="V76" i="8"/>
  <c r="V287" i="8" s="1"/>
  <c r="Y98" i="8"/>
  <c r="S98" i="8" s="1"/>
  <c r="Y109" i="8"/>
  <c r="Z109" i="8" s="1"/>
  <c r="AA109" i="8" s="1"/>
  <c r="AF109" i="8" s="1"/>
  <c r="Y225" i="8"/>
  <c r="Y205" i="8"/>
  <c r="Y111" i="8"/>
  <c r="J293" i="8"/>
  <c r="S26" i="8"/>
  <c r="S15" i="8"/>
  <c r="AC14" i="8"/>
  <c r="AG74" i="8"/>
  <c r="AF74" i="8"/>
  <c r="S263" i="8"/>
  <c r="Z263" i="8"/>
  <c r="AA263" i="8" s="1"/>
  <c r="S59" i="8"/>
  <c r="AH259" i="8"/>
  <c r="AG259" i="8"/>
  <c r="AG172" i="8"/>
  <c r="AD172" i="8"/>
  <c r="AH233" i="8"/>
  <c r="AG233" i="8"/>
  <c r="AC280" i="8"/>
  <c r="AD280" i="8"/>
  <c r="S234" i="8"/>
  <c r="Z234" i="8"/>
  <c r="AA234" i="8" s="1"/>
  <c r="AC234" i="8" s="1"/>
  <c r="AE234" i="8" s="1"/>
  <c r="AG217" i="8"/>
  <c r="AC217" i="8"/>
  <c r="AH217" i="8"/>
  <c r="AC74" i="8"/>
  <c r="S49" i="8"/>
  <c r="AF34" i="8"/>
  <c r="AO274" i="8"/>
  <c r="AQ274" i="8" s="1"/>
  <c r="AR274" i="8" s="1"/>
  <c r="Y274" i="8"/>
  <c r="Z274" i="8" s="1"/>
  <c r="AA274" i="8" s="1"/>
  <c r="AH274" i="8" s="1"/>
  <c r="Y168" i="8"/>
  <c r="Z168" i="8" s="1"/>
  <c r="AA168" i="8" s="1"/>
  <c r="Z214" i="8"/>
  <c r="AA214" i="8" s="1"/>
  <c r="AO214" i="8"/>
  <c r="AQ214" i="8" s="1"/>
  <c r="AR214" i="8" s="1"/>
  <c r="Y230" i="8"/>
  <c r="S230" i="8" s="1"/>
  <c r="AO230" i="8"/>
  <c r="AQ230" i="8" s="1"/>
  <c r="AR230" i="8" s="1"/>
  <c r="AO211" i="8"/>
  <c r="AQ211" i="8" s="1"/>
  <c r="AR211" i="8" s="1"/>
  <c r="Y211" i="8"/>
  <c r="AD276" i="8"/>
  <c r="AC276" i="8"/>
  <c r="AG160" i="8"/>
  <c r="AH276" i="8"/>
  <c r="S214" i="8"/>
  <c r="AC19" i="8"/>
  <c r="AE19" i="8" s="1"/>
  <c r="AO148" i="8"/>
  <c r="AQ148" i="8" s="1"/>
  <c r="AR148" i="8" s="1"/>
  <c r="AO201" i="8"/>
  <c r="AQ201" i="8" s="1"/>
  <c r="AR201" i="8" s="1"/>
  <c r="Y201" i="8"/>
  <c r="S201" i="8" s="1"/>
  <c r="Y134" i="8"/>
  <c r="Z134" i="8" s="1"/>
  <c r="AA134" i="8" s="1"/>
  <c r="AO134" i="8"/>
  <c r="AQ134" i="8" s="1"/>
  <c r="AR134" i="8" s="1"/>
  <c r="Y178" i="8"/>
  <c r="S178" i="8" s="1"/>
  <c r="AO178" i="8"/>
  <c r="AQ178" i="8" s="1"/>
  <c r="AR178" i="8" s="1"/>
  <c r="Y197" i="8"/>
  <c r="AO197" i="8"/>
  <c r="AQ197" i="8" s="1"/>
  <c r="AR197" i="8" s="1"/>
  <c r="AO226" i="8"/>
  <c r="AQ226" i="8" s="1"/>
  <c r="AR226" i="8" s="1"/>
  <c r="Y226" i="8"/>
  <c r="S203" i="8"/>
  <c r="AO203" i="8"/>
  <c r="AQ203" i="8" s="1"/>
  <c r="AR203" i="8" s="1"/>
  <c r="Z203" i="8"/>
  <c r="AA203" i="8" s="1"/>
  <c r="AO232" i="8"/>
  <c r="AQ232" i="8" s="1"/>
  <c r="AR232" i="8" s="1"/>
  <c r="Y232" i="8"/>
  <c r="S232" i="8" s="1"/>
  <c r="Y223" i="8"/>
  <c r="S223" i="8" s="1"/>
  <c r="AO189" i="8"/>
  <c r="AQ189" i="8" s="1"/>
  <c r="AR189" i="8" s="1"/>
  <c r="S189" i="8"/>
  <c r="AS291" i="8"/>
  <c r="AS293" i="8" s="1"/>
  <c r="Y113" i="8"/>
  <c r="Z113" i="8" s="1"/>
  <c r="AA113" i="8" s="1"/>
  <c r="AG113" i="8" s="1"/>
  <c r="AO193" i="8"/>
  <c r="AQ193" i="8" s="1"/>
  <c r="AR193" i="8" s="1"/>
  <c r="Y193" i="8"/>
  <c r="Z193" i="8" s="1"/>
  <c r="AA193" i="8" s="1"/>
  <c r="Y247" i="8"/>
  <c r="S247" i="8" s="1"/>
  <c r="Y216" i="8"/>
  <c r="Z216" i="8" s="1"/>
  <c r="AA216" i="8" s="1"/>
  <c r="AO216" i="8"/>
  <c r="AQ216" i="8" s="1"/>
  <c r="AR216" i="8" s="1"/>
  <c r="Y184" i="8"/>
  <c r="Z184" i="8" s="1"/>
  <c r="AA184" i="8" s="1"/>
  <c r="AC184" i="8" s="1"/>
  <c r="AO184" i="8"/>
  <c r="AQ184" i="8" s="1"/>
  <c r="AR184" i="8" s="1"/>
  <c r="Y165" i="8"/>
  <c r="Z165" i="8" s="1"/>
  <c r="AA165" i="8" s="1"/>
  <c r="AO165" i="8"/>
  <c r="AQ165" i="8" s="1"/>
  <c r="AR165" i="8" s="1"/>
  <c r="AO215" i="8"/>
  <c r="AQ215" i="8" s="1"/>
  <c r="AR215" i="8" s="1"/>
  <c r="Y215" i="8"/>
  <c r="Z215" i="8" s="1"/>
  <c r="AA215" i="8" s="1"/>
  <c r="AO179" i="8"/>
  <c r="AQ179" i="8" s="1"/>
  <c r="AR179" i="8" s="1"/>
  <c r="Y179" i="8"/>
  <c r="Y221" i="8"/>
  <c r="S221" i="8" s="1"/>
  <c r="AO222" i="8"/>
  <c r="AQ222" i="8" s="1"/>
  <c r="AR222" i="8" s="1"/>
  <c r="Y222" i="8"/>
  <c r="W286" i="8"/>
  <c r="AO170" i="8"/>
  <c r="AQ170" i="8" s="1"/>
  <c r="AR170" i="8" s="1"/>
  <c r="AO192" i="8"/>
  <c r="AQ192" i="8" s="1"/>
  <c r="AR192" i="8" s="1"/>
  <c r="Y192" i="8"/>
  <c r="Y107" i="8"/>
  <c r="S107" i="8" s="1"/>
  <c r="Y137" i="8"/>
  <c r="S137" i="8" s="1"/>
  <c r="S34" i="8"/>
  <c r="Y118" i="8"/>
  <c r="S118" i="8" s="1"/>
  <c r="AO155" i="8"/>
  <c r="AQ155" i="8" s="1"/>
  <c r="AG227" i="11"/>
  <c r="AF164" i="11"/>
  <c r="AE164" i="11"/>
  <c r="AB164" i="11"/>
  <c r="AC164" i="11"/>
  <c r="AG164" i="11"/>
  <c r="AC281" i="11"/>
  <c r="AF281" i="11"/>
  <c r="AB281" i="11"/>
  <c r="AE281" i="11"/>
  <c r="AF109" i="11"/>
  <c r="AC109" i="11"/>
  <c r="AG109" i="11"/>
  <c r="AE109" i="11"/>
  <c r="AB109" i="11"/>
  <c r="AF90" i="11"/>
  <c r="AB90" i="11"/>
  <c r="AE90" i="11"/>
  <c r="AG90" i="11"/>
  <c r="AC90" i="11"/>
  <c r="AG168" i="11"/>
  <c r="AE146" i="11"/>
  <c r="AB19" i="11"/>
  <c r="AB269" i="11"/>
  <c r="AB148" i="11"/>
  <c r="AE229" i="11"/>
  <c r="AF89" i="11"/>
  <c r="AF168" i="11"/>
  <c r="AF269" i="11"/>
  <c r="AF144" i="11"/>
  <c r="AE62" i="11"/>
  <c r="AC154" i="11"/>
  <c r="AD154" i="11" s="1"/>
  <c r="R187" i="11"/>
  <c r="AB27" i="11"/>
  <c r="AD27" i="11" s="1"/>
  <c r="R164" i="11"/>
  <c r="Y145" i="11"/>
  <c r="Z145" i="11" s="1"/>
  <c r="R145" i="11"/>
  <c r="R159" i="11"/>
  <c r="Y159" i="11"/>
  <c r="Z159" i="11" s="1"/>
  <c r="Y167" i="11"/>
  <c r="Z167" i="11" s="1"/>
  <c r="AE167" i="11" s="1"/>
  <c r="R167" i="11"/>
  <c r="AC261" i="11"/>
  <c r="AF261" i="11"/>
  <c r="AF142" i="11"/>
  <c r="AB142" i="11"/>
  <c r="AB95" i="11"/>
  <c r="AD95" i="11" s="1"/>
  <c r="AE95" i="11"/>
  <c r="AG95" i="11"/>
  <c r="Y157" i="11"/>
  <c r="Z157" i="11" s="1"/>
  <c r="R157" i="11"/>
  <c r="Y108" i="11"/>
  <c r="Z108" i="11" s="1"/>
  <c r="R108" i="11"/>
  <c r="AG235" i="11"/>
  <c r="AD235" i="11"/>
  <c r="AG154" i="11"/>
  <c r="AE154" i="11"/>
  <c r="AF154" i="11"/>
  <c r="Y170" i="11"/>
  <c r="Z170" i="11" s="1"/>
  <c r="R170" i="11"/>
  <c r="AC187" i="11"/>
  <c r="AB187" i="11"/>
  <c r="AG53" i="11"/>
  <c r="AB155" i="11"/>
  <c r="AI23" i="11"/>
  <c r="AB265" i="11"/>
  <c r="AD265" i="11" s="1"/>
  <c r="AE235" i="11"/>
  <c r="AE187" i="11"/>
  <c r="AF95" i="11"/>
  <c r="AG277" i="11"/>
  <c r="AE93" i="11"/>
  <c r="AB268" i="11"/>
  <c r="AD268" i="11" s="1"/>
  <c r="AF277" i="11"/>
  <c r="AB229" i="11"/>
  <c r="AD229" i="11" s="1"/>
  <c r="AE168" i="11"/>
  <c r="Y110" i="11"/>
  <c r="Z110" i="11" s="1"/>
  <c r="AG110" i="11" s="1"/>
  <c r="R29" i="11"/>
  <c r="AB138" i="11"/>
  <c r="AE261" i="11"/>
  <c r="AE27" i="11"/>
  <c r="AF232" i="11"/>
  <c r="AB232" i="11"/>
  <c r="Y196" i="11"/>
  <c r="Z196" i="11" s="1"/>
  <c r="R196" i="11"/>
  <c r="AC254" i="11"/>
  <c r="AG254" i="11"/>
  <c r="AB278" i="11"/>
  <c r="AF278" i="11"/>
  <c r="R158" i="11"/>
  <c r="R168" i="11"/>
  <c r="AF155" i="11"/>
  <c r="R281" i="11"/>
  <c r="AF187" i="11"/>
  <c r="R141" i="11"/>
  <c r="Y141" i="11"/>
  <c r="Z141" i="11" s="1"/>
  <c r="AB141" i="11" s="1"/>
  <c r="Y84" i="11"/>
  <c r="Z84" i="11" s="1"/>
  <c r="AF84" i="11" s="1"/>
  <c r="R84" i="11"/>
  <c r="AB153" i="11"/>
  <c r="AD153" i="11" s="1"/>
  <c r="AC148" i="11"/>
  <c r="AG148" i="11"/>
  <c r="AE148" i="11"/>
  <c r="AF62" i="11"/>
  <c r="AG62" i="11"/>
  <c r="AB62" i="11"/>
  <c r="AC62" i="11"/>
  <c r="AG249" i="11"/>
  <c r="AE249" i="11"/>
  <c r="AC249" i="11"/>
  <c r="AG27" i="11"/>
  <c r="AE144" i="11"/>
  <c r="AG144" i="11"/>
  <c r="Y18" i="11"/>
  <c r="Z18" i="11" s="1"/>
  <c r="R18" i="11"/>
  <c r="AB81" i="11"/>
  <c r="AD81" i="11" s="1"/>
  <c r="AE81" i="11"/>
  <c r="AE247" i="11"/>
  <c r="AC247" i="11"/>
  <c r="AD247" i="11" s="1"/>
  <c r="AF186" i="11"/>
  <c r="AE186" i="11"/>
  <c r="AE275" i="11"/>
  <c r="AC275" i="11"/>
  <c r="AB275" i="11"/>
  <c r="X200" i="11"/>
  <c r="X115" i="11"/>
  <c r="X47" i="11"/>
  <c r="X267" i="11"/>
  <c r="X192" i="11"/>
  <c r="X140" i="11"/>
  <c r="S281" i="8"/>
  <c r="AH190" i="8"/>
  <c r="AE190" i="8"/>
  <c r="AF190" i="8"/>
  <c r="Y117" i="8"/>
  <c r="AF271" i="8"/>
  <c r="AG271" i="8"/>
  <c r="AD271" i="8"/>
  <c r="AH271" i="8"/>
  <c r="AC271" i="8"/>
  <c r="AO271" i="8"/>
  <c r="AQ271" i="8" s="1"/>
  <c r="AR271" i="8" s="1"/>
  <c r="S32" i="8"/>
  <c r="Z32" i="8"/>
  <c r="AA32" i="8" s="1"/>
  <c r="AO32" i="8"/>
  <c r="AQ32" i="8" s="1"/>
  <c r="AR32" i="8" s="1"/>
  <c r="U76" i="8"/>
  <c r="T76" i="8" s="1"/>
  <c r="T290" i="8" s="1"/>
  <c r="T293" i="8" s="1"/>
  <c r="Z20" i="8"/>
  <c r="AA20" i="8" s="1"/>
  <c r="AF20" i="8" s="1"/>
  <c r="AO20" i="8"/>
  <c r="Y250" i="8"/>
  <c r="Z250" i="8" s="1"/>
  <c r="AA250" i="8" s="1"/>
  <c r="AO250" i="8"/>
  <c r="AQ250" i="8" s="1"/>
  <c r="AR250" i="8" s="1"/>
  <c r="U286" i="8"/>
  <c r="AG45" i="8"/>
  <c r="AC45" i="8"/>
  <c r="AC26" i="8"/>
  <c r="AF26" i="8"/>
  <c r="AH26" i="8"/>
  <c r="AD26" i="8"/>
  <c r="AG26" i="8"/>
  <c r="AF281" i="8"/>
  <c r="AD281" i="8"/>
  <c r="AC281" i="8"/>
  <c r="AG281" i="8"/>
  <c r="AH281" i="8"/>
  <c r="AG260" i="11"/>
  <c r="AF260" i="11"/>
  <c r="AE260" i="11"/>
  <c r="AG276" i="11"/>
  <c r="AG29" i="11"/>
  <c r="AF29" i="11"/>
  <c r="AE29" i="11"/>
  <c r="AC29" i="11"/>
  <c r="AB29" i="11"/>
  <c r="AG147" i="11"/>
  <c r="AF158" i="11"/>
  <c r="AC158" i="11"/>
  <c r="AE158" i="11"/>
  <c r="AB158" i="11"/>
  <c r="AG158" i="11"/>
  <c r="AB162" i="11"/>
  <c r="AD162" i="11" s="1"/>
  <c r="AS162" i="11" s="1"/>
  <c r="AG155" i="11"/>
  <c r="AC155" i="11"/>
  <c r="AG281" i="11"/>
  <c r="AB89" i="11"/>
  <c r="AG202" i="11"/>
  <c r="AB202" i="11"/>
  <c r="AD202" i="11" s="1"/>
  <c r="AS202" i="11" s="1"/>
  <c r="AF202" i="11"/>
  <c r="AE202" i="11"/>
  <c r="AI202" i="11" s="1"/>
  <c r="AC202" i="11"/>
  <c r="AU18" i="10"/>
  <c r="AS134" i="11"/>
  <c r="AB71" i="11"/>
  <c r="AD71" i="11"/>
  <c r="AE71" i="11"/>
  <c r="AC71" i="11"/>
  <c r="AF71" i="11"/>
  <c r="AG71" i="11"/>
  <c r="AS49" i="11"/>
  <c r="AG37" i="11"/>
  <c r="AF37" i="11"/>
  <c r="AC37" i="11"/>
  <c r="AB37" i="11"/>
  <c r="AD37" i="11" s="1"/>
  <c r="AE37" i="11"/>
  <c r="AC54" i="11"/>
  <c r="AB54" i="11"/>
  <c r="AD54" i="11" s="1"/>
  <c r="AE54" i="11"/>
  <c r="AF54" i="11"/>
  <c r="AG54" i="11"/>
  <c r="AC89" i="11"/>
  <c r="AG146" i="11"/>
  <c r="AF146" i="11"/>
  <c r="AS243" i="11"/>
  <c r="AS129" i="11"/>
  <c r="AS252" i="11"/>
  <c r="AV255" i="11" s="1"/>
  <c r="AV256" i="11" s="1"/>
  <c r="AB44" i="11"/>
  <c r="AG44" i="11"/>
  <c r="AD44" i="11"/>
  <c r="AS44" i="11" s="1"/>
  <c r="AE44" i="11"/>
  <c r="AI44" i="11" s="1"/>
  <c r="AF44" i="11"/>
  <c r="AB228" i="11"/>
  <c r="AF228" i="11"/>
  <c r="AG228" i="11"/>
  <c r="AE228" i="11"/>
  <c r="AC228" i="11"/>
  <c r="AD228" i="11" s="1"/>
  <c r="AD22" i="11"/>
  <c r="AC22" i="11"/>
  <c r="AB22" i="11"/>
  <c r="AE22" i="11"/>
  <c r="AI22" i="11" s="1"/>
  <c r="AF22" i="11"/>
  <c r="AG22" i="11"/>
  <c r="AB33" i="11"/>
  <c r="AC33" i="11"/>
  <c r="AD33" i="11" s="1"/>
  <c r="AF33" i="11"/>
  <c r="AE33" i="11"/>
  <c r="AG33" i="11"/>
  <c r="AE121" i="11"/>
  <c r="AC121" i="11"/>
  <c r="AD19" i="10"/>
  <c r="AC244" i="11"/>
  <c r="AE244" i="11"/>
  <c r="AD244" i="11"/>
  <c r="AB244" i="11"/>
  <c r="AG244" i="11"/>
  <c r="AF244" i="11"/>
  <c r="AE48" i="11"/>
  <c r="AG48" i="11"/>
  <c r="AF48" i="11"/>
  <c r="AC48" i="11"/>
  <c r="AD48" i="11" s="1"/>
  <c r="AB48" i="11"/>
  <c r="AG46" i="11"/>
  <c r="AB46" i="11"/>
  <c r="AD46" i="11" s="1"/>
  <c r="AS46" i="11" s="1"/>
  <c r="AF46" i="11"/>
  <c r="AE46" i="11"/>
  <c r="AI46" i="11" s="1"/>
  <c r="AC46" i="11"/>
  <c r="AF77" i="11"/>
  <c r="AE77" i="11"/>
  <c r="AC77" i="11"/>
  <c r="AG77" i="11"/>
  <c r="AB77" i="11"/>
  <c r="AD77" i="11" s="1"/>
  <c r="AC38" i="11"/>
  <c r="AB38" i="11"/>
  <c r="AD38" i="11" s="1"/>
  <c r="AG38" i="11"/>
  <c r="AE38" i="11"/>
  <c r="AF38" i="11"/>
  <c r="AQ14" i="11"/>
  <c r="AF21" i="11"/>
  <c r="AG21" i="11"/>
  <c r="AB21" i="11"/>
  <c r="AC21" i="11"/>
  <c r="AD21" i="11"/>
  <c r="AE21" i="11"/>
  <c r="AB39" i="11"/>
  <c r="AF39" i="11"/>
  <c r="AG39" i="11"/>
  <c r="AD39" i="11"/>
  <c r="AE39" i="11"/>
  <c r="AS106" i="11"/>
  <c r="AS195" i="11"/>
  <c r="AS231" i="11"/>
  <c r="AS208" i="11"/>
  <c r="AG215" i="11"/>
  <c r="AE215" i="11"/>
  <c r="AB215" i="11"/>
  <c r="AF215" i="11"/>
  <c r="AC215" i="11"/>
  <c r="AD215" i="11" s="1"/>
  <c r="AS177" i="11"/>
  <c r="AB35" i="11"/>
  <c r="AG35" i="11"/>
  <c r="AF35" i="11"/>
  <c r="AC35" i="11"/>
  <c r="AD35" i="11" s="1"/>
  <c r="AS35" i="11" s="1"/>
  <c r="AE35" i="11"/>
  <c r="AI35" i="11" s="1"/>
  <c r="AS263" i="11"/>
  <c r="AF17" i="11"/>
  <c r="AB17" i="11"/>
  <c r="AD17" i="11" s="1"/>
  <c r="AS17" i="11" s="1"/>
  <c r="AG17" i="11"/>
  <c r="AC17" i="11"/>
  <c r="AE17" i="11"/>
  <c r="AI17" i="11" s="1"/>
  <c r="AF20" i="11"/>
  <c r="AC20" i="11"/>
  <c r="AB20" i="11"/>
  <c r="AE20" i="11"/>
  <c r="AI20" i="11" s="1"/>
  <c r="AD20" i="11"/>
  <c r="AG20" i="11"/>
  <c r="Z47" i="8"/>
  <c r="AA47" i="8" s="1"/>
  <c r="Z63" i="8"/>
  <c r="AA63" i="8" s="1"/>
  <c r="AJ14" i="10"/>
  <c r="Y15" i="11"/>
  <c r="AF138" i="11"/>
  <c r="AC138" i="11"/>
  <c r="R33" i="11"/>
  <c r="Y32" i="11"/>
  <c r="Z32" i="11" s="1"/>
  <c r="AF230" i="11"/>
  <c r="AB230" i="11"/>
  <c r="AD230" i="11" s="1"/>
  <c r="AE274" i="11"/>
  <c r="AC274" i="11"/>
  <c r="AD274" i="11" s="1"/>
  <c r="AE138" i="11"/>
  <c r="Y114" i="11"/>
  <c r="Y130" i="11"/>
  <c r="Z130" i="11" s="1"/>
  <c r="Y223" i="11"/>
  <c r="Z223" i="11" s="1"/>
  <c r="R220" i="11"/>
  <c r="Y56" i="11"/>
  <c r="Z56" i="11" s="1"/>
  <c r="Y189" i="11"/>
  <c r="Z189" i="11" s="1"/>
  <c r="Y183" i="11"/>
  <c r="Z183" i="11" s="1"/>
  <c r="Y165" i="11"/>
  <c r="Z165" i="11" s="1"/>
  <c r="AO168" i="8"/>
  <c r="AQ168" i="8" s="1"/>
  <c r="AO187" i="8"/>
  <c r="AQ187" i="8" s="1"/>
  <c r="AR187" i="8" s="1"/>
  <c r="AB249" i="11"/>
  <c r="AL286" i="8"/>
  <c r="R160" i="11"/>
  <c r="AF249" i="11"/>
  <c r="Y187" i="8"/>
  <c r="Z187" i="8" s="1"/>
  <c r="AA187" i="8" s="1"/>
  <c r="R224" i="11"/>
  <c r="Y224" i="11"/>
  <c r="Z224" i="11" s="1"/>
  <c r="R258" i="11"/>
  <c r="Y258" i="11"/>
  <c r="Z258" i="11" s="1"/>
  <c r="R16" i="10"/>
  <c r="R19" i="10" s="1"/>
  <c r="AH288" i="11"/>
  <c r="X259" i="11"/>
  <c r="Y259" i="11" s="1"/>
  <c r="Z259" i="11" s="1"/>
  <c r="Y256" i="11"/>
  <c r="Z256" i="11" s="1"/>
  <c r="X241" i="11"/>
  <c r="Y241" i="11" s="1"/>
  <c r="Z241" i="11" s="1"/>
  <c r="AN185" i="11"/>
  <c r="AP185" i="11" s="1"/>
  <c r="AQ185" i="11" s="1"/>
  <c r="AS185" i="11" s="1"/>
  <c r="X181" i="11"/>
  <c r="Y181" i="11" s="1"/>
  <c r="Z181" i="11" s="1"/>
  <c r="AN181" i="11"/>
  <c r="AP181" i="11" s="1"/>
  <c r="AQ181" i="11" s="1"/>
  <c r="X251" i="11"/>
  <c r="Y251" i="11" s="1"/>
  <c r="Z251" i="11" s="1"/>
  <c r="AN241" i="11"/>
  <c r="AP241" i="11" s="1"/>
  <c r="AQ241" i="11" s="1"/>
  <c r="Y211" i="11"/>
  <c r="Z211" i="11" s="1"/>
  <c r="R203" i="11"/>
  <c r="Y203" i="11"/>
  <c r="Z203" i="11" s="1"/>
  <c r="X203" i="11"/>
  <c r="AN203" i="11"/>
  <c r="AP203" i="11" s="1"/>
  <c r="AQ203" i="11" s="1"/>
  <c r="R133" i="11"/>
  <c r="BA17" i="10"/>
  <c r="BA18" i="10" s="1"/>
  <c r="AN225" i="11"/>
  <c r="AP225" i="11" s="1"/>
  <c r="AQ225" i="11" s="1"/>
  <c r="Y225" i="11"/>
  <c r="Z225" i="11" s="1"/>
  <c r="R212" i="11"/>
  <c r="Y212" i="11"/>
  <c r="Z212" i="11" s="1"/>
  <c r="X212" i="11"/>
  <c r="AN212" i="11"/>
  <c r="AP212" i="11" s="1"/>
  <c r="AQ212" i="11" s="1"/>
  <c r="R206" i="11"/>
  <c r="Y206" i="11"/>
  <c r="Z206" i="11" s="1"/>
  <c r="X206" i="11"/>
  <c r="AN206" i="11"/>
  <c r="AP206" i="11" s="1"/>
  <c r="AQ206" i="11" s="1"/>
  <c r="R204" i="11"/>
  <c r="Y204" i="11"/>
  <c r="Z204" i="11" s="1"/>
  <c r="X204" i="11"/>
  <c r="AN204" i="11"/>
  <c r="AP204" i="11" s="1"/>
  <c r="AQ204" i="11" s="1"/>
  <c r="X184" i="11"/>
  <c r="R184" i="11" s="1"/>
  <c r="AN184" i="11"/>
  <c r="AP184" i="11" s="1"/>
  <c r="AQ184" i="11" s="1"/>
  <c r="Y122" i="11"/>
  <c r="Z122" i="11" s="1"/>
  <c r="Y217" i="11"/>
  <c r="Z217" i="11" s="1"/>
  <c r="X133" i="11"/>
  <c r="Y133" i="11" s="1"/>
  <c r="Z133" i="11" s="1"/>
  <c r="X132" i="11"/>
  <c r="Y132" i="11" s="1"/>
  <c r="Z132" i="11" s="1"/>
  <c r="AN132" i="11"/>
  <c r="AP132" i="11" s="1"/>
  <c r="AQ132" i="11" s="1"/>
  <c r="Y131" i="11"/>
  <c r="Z131" i="11" s="1"/>
  <c r="AN131" i="11"/>
  <c r="AP131" i="11" s="1"/>
  <c r="AQ131" i="11" s="1"/>
  <c r="X122" i="11"/>
  <c r="AN122" i="11"/>
  <c r="AP122" i="11" s="1"/>
  <c r="AQ122" i="11" s="1"/>
  <c r="AN118" i="11"/>
  <c r="AP118" i="11" s="1"/>
  <c r="AQ118" i="11" s="1"/>
  <c r="Y118" i="11"/>
  <c r="Z118" i="11" s="1"/>
  <c r="R66" i="11"/>
  <c r="Y66" i="11"/>
  <c r="Z66" i="11" s="1"/>
  <c r="R61" i="11"/>
  <c r="Y61" i="11"/>
  <c r="Z61" i="11" s="1"/>
  <c r="X92" i="11"/>
  <c r="Y92" i="11" s="1"/>
  <c r="Z92" i="11" s="1"/>
  <c r="AN92" i="11"/>
  <c r="AN169" i="11"/>
  <c r="AP169" i="11" s="1"/>
  <c r="AQ169" i="11" s="1"/>
  <c r="R132" i="11"/>
  <c r="X91" i="11"/>
  <c r="Y91" i="11" s="1"/>
  <c r="Z91" i="11" s="1"/>
  <c r="AC52" i="11"/>
  <c r="AD52" i="11" s="1"/>
  <c r="AF52" i="11"/>
  <c r="AE52" i="11"/>
  <c r="AI52" i="11" s="1"/>
  <c r="AN116" i="11"/>
  <c r="AP116" i="11" s="1"/>
  <c r="AN83" i="11"/>
  <c r="AP83" i="11" s="1"/>
  <c r="AQ83" i="11" s="1"/>
  <c r="AS83" i="11" s="1"/>
  <c r="R83" i="11"/>
  <c r="AN78" i="11"/>
  <c r="AP78" i="11" s="1"/>
  <c r="AQ78" i="11" s="1"/>
  <c r="AS78" i="11" s="1"/>
  <c r="AN64" i="11"/>
  <c r="AP64" i="11" s="1"/>
  <c r="AQ64" i="11" s="1"/>
  <c r="R64" i="11"/>
  <c r="Y57" i="11"/>
  <c r="Z57" i="11" s="1"/>
  <c r="R57" i="11"/>
  <c r="AN51" i="11"/>
  <c r="AP51" i="11" s="1"/>
  <c r="AQ51" i="11" s="1"/>
  <c r="Y51" i="11"/>
  <c r="Z51" i="11" s="1"/>
  <c r="R51" i="11"/>
  <c r="AN42" i="11"/>
  <c r="AP42" i="11" s="1"/>
  <c r="AQ42" i="11" s="1"/>
  <c r="AS42" i="11" s="1"/>
  <c r="Y41" i="11"/>
  <c r="Z41" i="11" s="1"/>
  <c r="AN40" i="11"/>
  <c r="AP40" i="11" s="1"/>
  <c r="AQ40" i="11" s="1"/>
  <c r="R38" i="11"/>
  <c r="AN36" i="11"/>
  <c r="AP36" i="11" s="1"/>
  <c r="AQ36" i="11" s="1"/>
  <c r="Y36" i="11"/>
  <c r="Z36" i="11" s="1"/>
  <c r="R36" i="11"/>
  <c r="AN34" i="11"/>
  <c r="AP34" i="11" s="1"/>
  <c r="AQ34" i="11" s="1"/>
  <c r="AS34" i="11" s="1"/>
  <c r="X26" i="11"/>
  <c r="Y25" i="11"/>
  <c r="Z25" i="11" s="1"/>
  <c r="R25" i="11"/>
  <c r="X73" i="11"/>
  <c r="Y73" i="11" s="1"/>
  <c r="Z73" i="11" s="1"/>
  <c r="Y64" i="11"/>
  <c r="Z64" i="11" s="1"/>
  <c r="AN57" i="11"/>
  <c r="AP57" i="11" s="1"/>
  <c r="AQ57" i="11" s="1"/>
  <c r="X41" i="11"/>
  <c r="R41" i="11" s="1"/>
  <c r="R34" i="11"/>
  <c r="AN25" i="11"/>
  <c r="Y94" i="11"/>
  <c r="Z94" i="11" s="1"/>
  <c r="AN86" i="11"/>
  <c r="AP86" i="11" s="1"/>
  <c r="AQ86" i="11" s="1"/>
  <c r="AN63" i="11"/>
  <c r="AP63" i="11" s="1"/>
  <c r="AQ63" i="11" s="1"/>
  <c r="AN47" i="11"/>
  <c r="AP47" i="11" s="1"/>
  <c r="AQ47" i="11" s="1"/>
  <c r="X40" i="11"/>
  <c r="Y40" i="11" s="1"/>
  <c r="Z40" i="11" s="1"/>
  <c r="Z72" i="8" l="1"/>
  <c r="AA72" i="8" s="1"/>
  <c r="AC72" i="8" s="1"/>
  <c r="AF276" i="11"/>
  <c r="AC227" i="11"/>
  <c r="AE227" i="11"/>
  <c r="AF262" i="11"/>
  <c r="AF227" i="11"/>
  <c r="AB262" i="11"/>
  <c r="AD262" i="11" s="1"/>
  <c r="AG262" i="11"/>
  <c r="AB276" i="11"/>
  <c r="AD276" i="11" s="1"/>
  <c r="AE276" i="11"/>
  <c r="AE262" i="11"/>
  <c r="AC31" i="11"/>
  <c r="Y136" i="11"/>
  <c r="Z136" i="11" s="1"/>
  <c r="AB136" i="11" s="1"/>
  <c r="AI250" i="11"/>
  <c r="AG181" i="8"/>
  <c r="S39" i="8"/>
  <c r="AH34" i="8"/>
  <c r="AF153" i="11"/>
  <c r="AF161" i="11"/>
  <c r="AG153" i="11"/>
  <c r="AI153" i="11" s="1"/>
  <c r="AS153" i="11" s="1"/>
  <c r="AF167" i="11"/>
  <c r="R280" i="11"/>
  <c r="AE280" i="11"/>
  <c r="AF280" i="11"/>
  <c r="AB271" i="11"/>
  <c r="AC271" i="11"/>
  <c r="AG280" i="11"/>
  <c r="AF271" i="11"/>
  <c r="AI271" i="11" s="1"/>
  <c r="AC280" i="11"/>
  <c r="AD280" i="11" s="1"/>
  <c r="AH245" i="8"/>
  <c r="Z17" i="8"/>
  <c r="AA17" i="8" s="1"/>
  <c r="AD17" i="8" s="1"/>
  <c r="AC34" i="8"/>
  <c r="AF39" i="8"/>
  <c r="AC18" i="8"/>
  <c r="AH18" i="8"/>
  <c r="AC39" i="8"/>
  <c r="AE39" i="8" s="1"/>
  <c r="Z43" i="8"/>
  <c r="AA43" i="8" s="1"/>
  <c r="AH43" i="8" s="1"/>
  <c r="AF24" i="8"/>
  <c r="AJ24" i="8" s="1"/>
  <c r="AH166" i="8"/>
  <c r="AH24" i="8"/>
  <c r="AG166" i="8"/>
  <c r="AC24" i="8"/>
  <c r="S45" i="8"/>
  <c r="S14" i="8"/>
  <c r="Z57" i="8"/>
  <c r="AA57" i="8" s="1"/>
  <c r="AC57" i="8" s="1"/>
  <c r="AC144" i="8"/>
  <c r="AE144" i="8" s="1"/>
  <c r="AD45" i="8"/>
  <c r="AE45" i="8" s="1"/>
  <c r="AD209" i="8"/>
  <c r="AE209" i="8" s="1"/>
  <c r="Z38" i="8"/>
  <c r="AA38" i="8" s="1"/>
  <c r="AH38" i="8" s="1"/>
  <c r="Z202" i="8"/>
  <c r="AA202" i="8" s="1"/>
  <c r="AG202" i="8" s="1"/>
  <c r="AG144" i="8"/>
  <c r="AJ144" i="8" s="1"/>
  <c r="AG65" i="8"/>
  <c r="AC169" i="8"/>
  <c r="AF45" i="8"/>
  <c r="AG15" i="8"/>
  <c r="AD14" i="8"/>
  <c r="AE14" i="8" s="1"/>
  <c r="AF14" i="8"/>
  <c r="AB135" i="11"/>
  <c r="AC74" i="11"/>
  <c r="AD74" i="11" s="1"/>
  <c r="AE279" i="11"/>
  <c r="AD138" i="11"/>
  <c r="AF53" i="11"/>
  <c r="AI53" i="11" s="1"/>
  <c r="AB279" i="11"/>
  <c r="AC279" i="11"/>
  <c r="AD261" i="11"/>
  <c r="AC16" i="11"/>
  <c r="AD186" i="11"/>
  <c r="AD269" i="11"/>
  <c r="AG16" i="11"/>
  <c r="Y166" i="11"/>
  <c r="Z166" i="11" s="1"/>
  <c r="AE166" i="11" s="1"/>
  <c r="AH87" i="8"/>
  <c r="AF277" i="8"/>
  <c r="AH15" i="8"/>
  <c r="AF15" i="8"/>
  <c r="AD15" i="8"/>
  <c r="AE15" i="8" s="1"/>
  <c r="AC277" i="8"/>
  <c r="AG277" i="8"/>
  <c r="AF87" i="8"/>
  <c r="AD277" i="8"/>
  <c r="Z28" i="8"/>
  <c r="AA28" i="8" s="1"/>
  <c r="AF28" i="8" s="1"/>
  <c r="Y143" i="11"/>
  <c r="Z143" i="11" s="1"/>
  <c r="R143" i="11"/>
  <c r="AF278" i="8"/>
  <c r="Z30" i="8"/>
  <c r="AA30" i="8" s="1"/>
  <c r="AH30" i="8" s="1"/>
  <c r="AH158" i="8"/>
  <c r="AH284" i="8"/>
  <c r="AD87" i="8"/>
  <c r="AE87" i="8" s="1"/>
  <c r="S87" i="8"/>
  <c r="AC245" i="8"/>
  <c r="AE245" i="8" s="1"/>
  <c r="AF166" i="8"/>
  <c r="S245" i="8"/>
  <c r="AC166" i="8"/>
  <c r="AE166" i="8" s="1"/>
  <c r="Z260" i="8"/>
  <c r="AA260" i="8" s="1"/>
  <c r="AC260" i="8" s="1"/>
  <c r="S258" i="8"/>
  <c r="AG87" i="8"/>
  <c r="Z162" i="8"/>
  <c r="AA162" i="8" s="1"/>
  <c r="AG162" i="8" s="1"/>
  <c r="AF245" i="8"/>
  <c r="AJ245" i="8" s="1"/>
  <c r="AD24" i="8"/>
  <c r="S24" i="8"/>
  <c r="R287" i="8"/>
  <c r="R293" i="8" s="1"/>
  <c r="AF19" i="8"/>
  <c r="AD41" i="8"/>
  <c r="AE41" i="8" s="1"/>
  <c r="S62" i="8"/>
  <c r="AH19" i="8"/>
  <c r="AG48" i="8"/>
  <c r="AC44" i="8"/>
  <c r="S19" i="8"/>
  <c r="S41" i="8"/>
  <c r="AF48" i="8"/>
  <c r="AF44" i="8"/>
  <c r="S128" i="8"/>
  <c r="S285" i="8"/>
  <c r="AH41" i="8"/>
  <c r="S61" i="8"/>
  <c r="AF158" i="8"/>
  <c r="AF41" i="8"/>
  <c r="Z170" i="8"/>
  <c r="AA170" i="8" s="1"/>
  <c r="AH170" i="8" s="1"/>
  <c r="S52" i="8"/>
  <c r="AG284" i="8"/>
  <c r="AG44" i="8"/>
  <c r="AG18" i="8"/>
  <c r="AJ18" i="8" s="1"/>
  <c r="S44" i="8"/>
  <c r="AG41" i="8"/>
  <c r="Z132" i="8"/>
  <c r="AA132" i="8" s="1"/>
  <c r="AD132" i="8" s="1"/>
  <c r="AF25" i="8"/>
  <c r="AD18" i="8"/>
  <c r="AH48" i="8"/>
  <c r="AF284" i="8"/>
  <c r="AC48" i="8"/>
  <c r="AE48" i="8" s="1"/>
  <c r="AD44" i="8"/>
  <c r="AH39" i="8"/>
  <c r="AC284" i="8"/>
  <c r="AE284" i="8" s="1"/>
  <c r="S18" i="8"/>
  <c r="Z66" i="8"/>
  <c r="AA66" i="8" s="1"/>
  <c r="AD66" i="8" s="1"/>
  <c r="AE70" i="8"/>
  <c r="AG75" i="8"/>
  <c r="AD36" i="8"/>
  <c r="AH152" i="8"/>
  <c r="AC138" i="8"/>
  <c r="Z131" i="8"/>
  <c r="AA131" i="8" s="1"/>
  <c r="AD131" i="8" s="1"/>
  <c r="AC75" i="8"/>
  <c r="AC159" i="8"/>
  <c r="AE159" i="8" s="1"/>
  <c r="AC152" i="8"/>
  <c r="AE152" i="8" s="1"/>
  <c r="AC241" i="8"/>
  <c r="AE241" i="8" s="1"/>
  <c r="AH67" i="8"/>
  <c r="AG152" i="8"/>
  <c r="AH36" i="8"/>
  <c r="AG138" i="8"/>
  <c r="AC36" i="8"/>
  <c r="AE36" i="8" s="1"/>
  <c r="AJ254" i="8"/>
  <c r="AJ84" i="8" s="1"/>
  <c r="AD75" i="8"/>
  <c r="AF152" i="8"/>
  <c r="AG241" i="8"/>
  <c r="AF36" i="8"/>
  <c r="AF75" i="8"/>
  <c r="Z51" i="8"/>
  <c r="AA51" i="8" s="1"/>
  <c r="AF51" i="8" s="1"/>
  <c r="AC25" i="8"/>
  <c r="AE25" i="8" s="1"/>
  <c r="AD279" i="8"/>
  <c r="AH25" i="8"/>
  <c r="AG25" i="8"/>
  <c r="AF156" i="8"/>
  <c r="AF279" i="8"/>
  <c r="AD156" i="8"/>
  <c r="S25" i="8"/>
  <c r="AG14" i="8"/>
  <c r="S177" i="8"/>
  <c r="AC278" i="8"/>
  <c r="AG169" i="8"/>
  <c r="AG278" i="8"/>
  <c r="Z91" i="8"/>
  <c r="AA91" i="8" s="1"/>
  <c r="AH91" i="8" s="1"/>
  <c r="AF90" i="8"/>
  <c r="AG90" i="8"/>
  <c r="AT243" i="8"/>
  <c r="AD278" i="8"/>
  <c r="AC90" i="8"/>
  <c r="AE90" i="8" s="1"/>
  <c r="Z171" i="8"/>
  <c r="AA171" i="8" s="1"/>
  <c r="AF171" i="8" s="1"/>
  <c r="Z35" i="8"/>
  <c r="AA35" i="8" s="1"/>
  <c r="AC35" i="8" s="1"/>
  <c r="AH169" i="8"/>
  <c r="AG163" i="11"/>
  <c r="AB137" i="11"/>
  <c r="AD137" i="11" s="1"/>
  <c r="AG279" i="11"/>
  <c r="Z99" i="8"/>
  <c r="AA99" i="8" s="1"/>
  <c r="AC99" i="8" s="1"/>
  <c r="AC67" i="8"/>
  <c r="AE67" i="8" s="1"/>
  <c r="Z237" i="8"/>
  <c r="AA237" i="8" s="1"/>
  <c r="AC237" i="8" s="1"/>
  <c r="AD46" i="8"/>
  <c r="AJ276" i="8"/>
  <c r="AH279" i="8"/>
  <c r="Z196" i="8"/>
  <c r="AA196" i="8" s="1"/>
  <c r="AH196" i="8" s="1"/>
  <c r="AG67" i="8"/>
  <c r="AF67" i="8"/>
  <c r="AC49" i="8"/>
  <c r="AD88" i="8"/>
  <c r="AC279" i="8"/>
  <c r="AF56" i="8"/>
  <c r="AD169" i="8"/>
  <c r="AE172" i="8"/>
  <c r="S282" i="8"/>
  <c r="Z73" i="8"/>
  <c r="AA73" i="8" s="1"/>
  <c r="AD73" i="8" s="1"/>
  <c r="AG200" i="8"/>
  <c r="AC200" i="8"/>
  <c r="S199" i="8"/>
  <c r="AH264" i="8"/>
  <c r="AF62" i="8"/>
  <c r="AG62" i="8"/>
  <c r="AH68" i="8"/>
  <c r="AH151" i="8"/>
  <c r="AF151" i="8"/>
  <c r="AI232" i="11"/>
  <c r="AD121" i="11"/>
  <c r="AI81" i="11"/>
  <c r="AS81" i="11" s="1"/>
  <c r="AE147" i="11"/>
  <c r="AI147" i="11" s="1"/>
  <c r="AH177" i="8"/>
  <c r="AD151" i="8"/>
  <c r="AH159" i="8"/>
  <c r="AG261" i="8"/>
  <c r="AD194" i="8"/>
  <c r="AG88" i="8"/>
  <c r="AJ70" i="8"/>
  <c r="AH17" i="8"/>
  <c r="AC151" i="8"/>
  <c r="AG159" i="8"/>
  <c r="AC199" i="8"/>
  <c r="AC218" i="8"/>
  <c r="AC235" i="8"/>
  <c r="AD177" i="8"/>
  <c r="AH88" i="8"/>
  <c r="AH194" i="8"/>
  <c r="AJ280" i="8"/>
  <c r="AE164" i="8"/>
  <c r="AF228" i="8"/>
  <c r="S220" i="8"/>
  <c r="AJ195" i="8"/>
  <c r="AT195" i="8" s="1"/>
  <c r="AC88" i="8"/>
  <c r="AD138" i="8"/>
  <c r="AF104" i="8"/>
  <c r="AC275" i="8"/>
  <c r="AF241" i="8"/>
  <c r="AJ157" i="8"/>
  <c r="AT157" i="8" s="1"/>
  <c r="AG46" i="8"/>
  <c r="AC177" i="8"/>
  <c r="AG186" i="8"/>
  <c r="AF234" i="8"/>
  <c r="AF161" i="8"/>
  <c r="AC156" i="8"/>
  <c r="AG204" i="8"/>
  <c r="AF55" i="8"/>
  <c r="AJ40" i="8"/>
  <c r="AT40" i="8" s="1"/>
  <c r="AG68" i="8"/>
  <c r="AG177" i="8"/>
  <c r="AH156" i="8"/>
  <c r="AC56" i="8"/>
  <c r="AE56" i="8" s="1"/>
  <c r="AH241" i="8"/>
  <c r="AJ172" i="8"/>
  <c r="AF138" i="8"/>
  <c r="AJ189" i="8"/>
  <c r="AT189" i="8" s="1"/>
  <c r="AF204" i="8"/>
  <c r="AH55" i="8"/>
  <c r="AC55" i="8"/>
  <c r="AF163" i="11"/>
  <c r="AG124" i="8"/>
  <c r="AB149" i="11"/>
  <c r="AD149" i="11" s="1"/>
  <c r="AG149" i="11"/>
  <c r="AC163" i="11"/>
  <c r="AD163" i="11" s="1"/>
  <c r="AC124" i="8"/>
  <c r="AE124" i="8" s="1"/>
  <c r="S124" i="8"/>
  <c r="AE163" i="11"/>
  <c r="AF75" i="11"/>
  <c r="AS250" i="11"/>
  <c r="AE74" i="11"/>
  <c r="AB237" i="11"/>
  <c r="AG31" i="11"/>
  <c r="AC135" i="11"/>
  <c r="AD135" i="11" s="1"/>
  <c r="AE135" i="11"/>
  <c r="AD278" i="11"/>
  <c r="AD249" i="11"/>
  <c r="AE188" i="11"/>
  <c r="AG238" i="11"/>
  <c r="AB147" i="11"/>
  <c r="AG156" i="11"/>
  <c r="AD133" i="8"/>
  <c r="AF257" i="11"/>
  <c r="AE257" i="11"/>
  <c r="AB161" i="11"/>
  <c r="AF188" i="11"/>
  <c r="AB188" i="11"/>
  <c r="AD188" i="11" s="1"/>
  <c r="AG117" i="11"/>
  <c r="AF238" i="11"/>
  <c r="AC147" i="11"/>
  <c r="Z121" i="8"/>
  <c r="AA121" i="8" s="1"/>
  <c r="AH121" i="8" s="1"/>
  <c r="AG257" i="11"/>
  <c r="AG188" i="11"/>
  <c r="AG116" i="11"/>
  <c r="AC238" i="11"/>
  <c r="AC110" i="11"/>
  <c r="S133" i="8"/>
  <c r="AB257" i="11"/>
  <c r="AD257" i="11" s="1"/>
  <c r="AI160" i="11"/>
  <c r="AS160" i="11" s="1"/>
  <c r="AG135" i="11"/>
  <c r="AH124" i="8"/>
  <c r="AH93" i="8"/>
  <c r="AG93" i="8"/>
  <c r="AF93" i="8"/>
  <c r="AE31" i="11"/>
  <c r="AI31" i="11" s="1"/>
  <c r="AS23" i="11"/>
  <c r="AE16" i="11"/>
  <c r="AB16" i="11"/>
  <c r="AF116" i="11"/>
  <c r="AE253" i="11"/>
  <c r="R116" i="11"/>
  <c r="AB31" i="11"/>
  <c r="AD31" i="11" s="1"/>
  <c r="AI278" i="11"/>
  <c r="AG237" i="11"/>
  <c r="AI89" i="11"/>
  <c r="AB116" i="11"/>
  <c r="AD116" i="11" s="1"/>
  <c r="AF253" i="11"/>
  <c r="AE141" i="11"/>
  <c r="AI274" i="11"/>
  <c r="AS274" i="11" s="1"/>
  <c r="AI155" i="11"/>
  <c r="AF117" i="11"/>
  <c r="AF110" i="11"/>
  <c r="AD141" i="11"/>
  <c r="AH126" i="8"/>
  <c r="AI261" i="11"/>
  <c r="AI265" i="11"/>
  <c r="AS265" i="11" s="1"/>
  <c r="AD270" i="11"/>
  <c r="AF149" i="11"/>
  <c r="AC53" i="8"/>
  <c r="AG234" i="8"/>
  <c r="AH239" i="8"/>
  <c r="AF194" i="8"/>
  <c r="AF65" i="8"/>
  <c r="AH65" i="8"/>
  <c r="AE44" i="8"/>
  <c r="AE217" i="8"/>
  <c r="AC194" i="8"/>
  <c r="AF229" i="8"/>
  <c r="AG72" i="8"/>
  <c r="AH234" i="8"/>
  <c r="AD140" i="8"/>
  <c r="AG133" i="8"/>
  <c r="AC133" i="8"/>
  <c r="AG253" i="11"/>
  <c r="AF133" i="8"/>
  <c r="AC186" i="8"/>
  <c r="AE186" i="8" s="1"/>
  <c r="Z103" i="8"/>
  <c r="AA103" i="8" s="1"/>
  <c r="AG103" i="8" s="1"/>
  <c r="S140" i="8"/>
  <c r="AD65" i="8"/>
  <c r="AE65" i="8" s="1"/>
  <c r="AF53" i="8"/>
  <c r="AG53" i="8"/>
  <c r="AD53" i="8"/>
  <c r="AD29" i="11"/>
  <c r="AI186" i="11"/>
  <c r="AD281" i="11"/>
  <c r="AI264" i="11"/>
  <c r="AS264" i="11" s="1"/>
  <c r="AD275" i="11"/>
  <c r="S23" i="8"/>
  <c r="Z16" i="8"/>
  <c r="AA16" i="8" s="1"/>
  <c r="AH16" i="8" s="1"/>
  <c r="AG218" i="8"/>
  <c r="AJ160" i="8"/>
  <c r="AT160" i="8" s="1"/>
  <c r="AJ29" i="8"/>
  <c r="AC167" i="8"/>
  <c r="AF68" i="8"/>
  <c r="AF46" i="8"/>
  <c r="AC102" i="8"/>
  <c r="AE102" i="8" s="1"/>
  <c r="AC140" i="8"/>
  <c r="AG126" i="8"/>
  <c r="AC126" i="8"/>
  <c r="Z60" i="8"/>
  <c r="AA60" i="8" s="1"/>
  <c r="AG60" i="8" s="1"/>
  <c r="AJ58" i="8"/>
  <c r="AT58" i="8" s="1"/>
  <c r="AH56" i="8"/>
  <c r="AC46" i="8"/>
  <c r="X286" i="8"/>
  <c r="X292" i="8" s="1"/>
  <c r="AH102" i="8"/>
  <c r="AG140" i="8"/>
  <c r="AG56" i="8"/>
  <c r="S68" i="8"/>
  <c r="AD55" i="8"/>
  <c r="AC109" i="8"/>
  <c r="AF102" i="8"/>
  <c r="AG102" i="8"/>
  <c r="S102" i="8"/>
  <c r="S93" i="8"/>
  <c r="Z123" i="8"/>
  <c r="AA123" i="8" s="1"/>
  <c r="AH123" i="8" s="1"/>
  <c r="AF191" i="8"/>
  <c r="Z136" i="8"/>
  <c r="AA136" i="8" s="1"/>
  <c r="AC136" i="8" s="1"/>
  <c r="AE136" i="8" s="1"/>
  <c r="AI82" i="11"/>
  <c r="AI249" i="11"/>
  <c r="AI281" i="11"/>
  <c r="AC14" i="11"/>
  <c r="AG167" i="11"/>
  <c r="AG141" i="11"/>
  <c r="AB199" i="11"/>
  <c r="AD199" i="11" s="1"/>
  <c r="AC237" i="11"/>
  <c r="AI142" i="11"/>
  <c r="AE137" i="11"/>
  <c r="AG161" i="11"/>
  <c r="AF74" i="11"/>
  <c r="AD277" i="11"/>
  <c r="AD142" i="11"/>
  <c r="AG74" i="11"/>
  <c r="AB167" i="11"/>
  <c r="AF141" i="11"/>
  <c r="AI275" i="11"/>
  <c r="AI247" i="11"/>
  <c r="AS247" i="11" s="1"/>
  <c r="AG137" i="11"/>
  <c r="AF237" i="11"/>
  <c r="AD82" i="11"/>
  <c r="AI266" i="11"/>
  <c r="AS266" i="11" s="1"/>
  <c r="Y115" i="11"/>
  <c r="Z115" i="11" s="1"/>
  <c r="AF115" i="11" s="1"/>
  <c r="R115" i="11"/>
  <c r="AB14" i="11"/>
  <c r="AF14" i="11"/>
  <c r="AG14" i="11"/>
  <c r="AE117" i="11"/>
  <c r="AB117" i="11"/>
  <c r="AD117" i="11" s="1"/>
  <c r="AF156" i="11"/>
  <c r="AE156" i="11"/>
  <c r="AC156" i="11"/>
  <c r="AD156" i="11" s="1"/>
  <c r="S89" i="8"/>
  <c r="Z89" i="8"/>
  <c r="AA89" i="8" s="1"/>
  <c r="AG89" i="8" s="1"/>
  <c r="AH273" i="8"/>
  <c r="AG273" i="8"/>
  <c r="AD273" i="8"/>
  <c r="AE273" i="8" s="1"/>
  <c r="AF273" i="8"/>
  <c r="AH265" i="8"/>
  <c r="AF265" i="8"/>
  <c r="AG265" i="8"/>
  <c r="Z119" i="8"/>
  <c r="AA119" i="8" s="1"/>
  <c r="AG119" i="8" s="1"/>
  <c r="S119" i="8"/>
  <c r="AH240" i="8"/>
  <c r="AF240" i="8"/>
  <c r="AD240" i="8"/>
  <c r="AG120" i="11"/>
  <c r="AE120" i="11"/>
  <c r="AB120" i="11"/>
  <c r="AC120" i="11"/>
  <c r="AF120" i="11"/>
  <c r="AG166" i="11"/>
  <c r="AB166" i="11"/>
  <c r="AD166" i="11" s="1"/>
  <c r="AG24" i="11"/>
  <c r="AC24" i="11"/>
  <c r="AB24" i="11"/>
  <c r="AF24" i="11"/>
  <c r="AS239" i="11"/>
  <c r="AI235" i="11"/>
  <c r="AS235" i="11" s="1"/>
  <c r="AD90" i="11"/>
  <c r="AI121" i="11"/>
  <c r="AS121" i="11" s="1"/>
  <c r="AE110" i="11"/>
  <c r="AC167" i="11"/>
  <c r="AH140" i="8"/>
  <c r="Z96" i="8"/>
  <c r="AA96" i="8" s="1"/>
  <c r="AF96" i="8" s="1"/>
  <c r="AD126" i="8"/>
  <c r="AI254" i="11"/>
  <c r="AI93" i="11"/>
  <c r="AI229" i="11"/>
  <c r="AS229" i="11" s="1"/>
  <c r="AI230" i="11"/>
  <c r="AS230" i="11" s="1"/>
  <c r="AD155" i="11"/>
  <c r="AB238" i="11"/>
  <c r="AB110" i="11"/>
  <c r="Z112" i="8"/>
  <c r="AA112" i="8" s="1"/>
  <c r="AF112" i="8" s="1"/>
  <c r="S126" i="8"/>
  <c r="AD254" i="11"/>
  <c r="AD232" i="11"/>
  <c r="AF19" i="11"/>
  <c r="AI269" i="11"/>
  <c r="AC161" i="11"/>
  <c r="AI270" i="11"/>
  <c r="Y255" i="11"/>
  <c r="Z255" i="11" s="1"/>
  <c r="R255" i="11"/>
  <c r="AD62" i="11"/>
  <c r="AD109" i="11"/>
  <c r="AE75" i="11"/>
  <c r="AB75" i="11"/>
  <c r="AD75" i="11" s="1"/>
  <c r="AI277" i="11"/>
  <c r="R151" i="11"/>
  <c r="Y151" i="11"/>
  <c r="Z151" i="11" s="1"/>
  <c r="AE19" i="11"/>
  <c r="AC19" i="11"/>
  <c r="AD19" i="11" s="1"/>
  <c r="AD93" i="11"/>
  <c r="AI138" i="11"/>
  <c r="AS273" i="11"/>
  <c r="R205" i="11"/>
  <c r="Y205" i="11"/>
  <c r="Z205" i="11" s="1"/>
  <c r="AC53" i="11"/>
  <c r="AB53" i="11"/>
  <c r="AG240" i="8"/>
  <c r="AC240" i="8"/>
  <c r="AC265" i="8"/>
  <c r="AE265" i="8" s="1"/>
  <c r="AF23" i="8"/>
  <c r="AC253" i="8"/>
  <c r="AC116" i="8"/>
  <c r="S105" i="8"/>
  <c r="AH252" i="8"/>
  <c r="AC143" i="8"/>
  <c r="AH251" i="8"/>
  <c r="AG120" i="8"/>
  <c r="AJ272" i="8"/>
  <c r="AT272" i="8" s="1"/>
  <c r="AC242" i="8"/>
  <c r="Z210" i="8"/>
  <c r="AA210" i="8" s="1"/>
  <c r="AD210" i="8" s="1"/>
  <c r="AD253" i="8"/>
  <c r="AH253" i="8"/>
  <c r="AG191" i="8"/>
  <c r="AF27" i="8"/>
  <c r="Z110" i="8"/>
  <c r="AA110" i="8" s="1"/>
  <c r="Z97" i="8"/>
  <c r="AA97" i="8" s="1"/>
  <c r="AC97" i="8" s="1"/>
  <c r="AD122" i="8"/>
  <c r="AC153" i="8"/>
  <c r="S100" i="8"/>
  <c r="AG253" i="8"/>
  <c r="Z101" i="8"/>
  <c r="AA101" i="8" s="1"/>
  <c r="AF101" i="8" s="1"/>
  <c r="AF242" i="8"/>
  <c r="AH242" i="8"/>
  <c r="AD242" i="8"/>
  <c r="AJ154" i="8"/>
  <c r="AT154" i="8" s="1"/>
  <c r="AH163" i="8"/>
  <c r="AG163" i="8"/>
  <c r="Z98" i="8"/>
  <c r="AA98" i="8" s="1"/>
  <c r="AH98" i="8" s="1"/>
  <c r="Z127" i="8"/>
  <c r="AA127" i="8" s="1"/>
  <c r="AH127" i="8" s="1"/>
  <c r="AH244" i="8"/>
  <c r="AF218" i="8"/>
  <c r="AF116" i="8"/>
  <c r="S163" i="8"/>
  <c r="AG229" i="8"/>
  <c r="AJ164" i="8"/>
  <c r="AG228" i="8"/>
  <c r="AD218" i="8"/>
  <c r="AJ183" i="8"/>
  <c r="Z185" i="8"/>
  <c r="AA185" i="8" s="1"/>
  <c r="AF185" i="8" s="1"/>
  <c r="AE29" i="8"/>
  <c r="AJ64" i="8"/>
  <c r="S228" i="8"/>
  <c r="AC27" i="8"/>
  <c r="AE27" i="8" s="1"/>
  <c r="AG37" i="8"/>
  <c r="AF17" i="8"/>
  <c r="AD251" i="8"/>
  <c r="AD116" i="8"/>
  <c r="AH120" i="8"/>
  <c r="S27" i="8"/>
  <c r="AG252" i="8"/>
  <c r="AD113" i="8"/>
  <c r="AH27" i="8"/>
  <c r="AC252" i="8"/>
  <c r="AE252" i="8" s="1"/>
  <c r="AH153" i="8"/>
  <c r="Z125" i="8"/>
  <c r="AA125" i="8" s="1"/>
  <c r="AD62" i="8"/>
  <c r="AE74" i="8"/>
  <c r="Z246" i="8"/>
  <c r="AA246" i="8" s="1"/>
  <c r="AF246" i="8" s="1"/>
  <c r="Z283" i="8"/>
  <c r="AA283" i="8" s="1"/>
  <c r="AF283" i="8" s="1"/>
  <c r="AD228" i="8"/>
  <c r="AE228" i="8" s="1"/>
  <c r="AF236" i="8"/>
  <c r="S218" i="8"/>
  <c r="AH228" i="8"/>
  <c r="Z188" i="8"/>
  <c r="AA188" i="8" s="1"/>
  <c r="AJ21" i="8"/>
  <c r="AT21" i="8" s="1"/>
  <c r="AF181" i="8"/>
  <c r="AJ181" i="8" s="1"/>
  <c r="AC181" i="8"/>
  <c r="AE181" i="8" s="1"/>
  <c r="AC251" i="8"/>
  <c r="AD153" i="8"/>
  <c r="AG244" i="8"/>
  <c r="AG17" i="8"/>
  <c r="AG251" i="8"/>
  <c r="AH116" i="8"/>
  <c r="S116" i="8"/>
  <c r="AF120" i="8"/>
  <c r="AF252" i="8"/>
  <c r="AG153" i="8"/>
  <c r="Z173" i="8"/>
  <c r="AA173" i="8" s="1"/>
  <c r="AH173" i="8" s="1"/>
  <c r="AC62" i="8"/>
  <c r="AC17" i="8"/>
  <c r="AE17" i="8" s="1"/>
  <c r="Z50" i="8"/>
  <c r="AA50" i="8" s="1"/>
  <c r="AC50" i="8" s="1"/>
  <c r="AD158" i="11"/>
  <c r="AD164" i="11"/>
  <c r="Y139" i="11"/>
  <c r="Z139" i="11" s="1"/>
  <c r="R139" i="11"/>
  <c r="Y150" i="11"/>
  <c r="Z150" i="11" s="1"/>
  <c r="R150" i="11"/>
  <c r="AE199" i="11"/>
  <c r="AG199" i="11"/>
  <c r="AI272" i="11"/>
  <c r="AS272" i="11" s="1"/>
  <c r="AI158" i="11"/>
  <c r="AI148" i="11"/>
  <c r="AI95" i="11"/>
  <c r="AS95" i="11" s="1"/>
  <c r="AI90" i="11"/>
  <c r="AI227" i="11"/>
  <c r="Y169" i="11"/>
  <c r="Z169" i="11" s="1"/>
  <c r="R169" i="11"/>
  <c r="Y152" i="11"/>
  <c r="Z152" i="11" s="1"/>
  <c r="R152" i="11"/>
  <c r="AF171" i="11"/>
  <c r="AG171" i="11"/>
  <c r="AE171" i="11"/>
  <c r="AB171" i="11"/>
  <c r="AD171" i="11" s="1"/>
  <c r="AD28" i="11"/>
  <c r="AS28" i="11" s="1"/>
  <c r="Z100" i="11"/>
  <c r="Z287" i="11" s="1"/>
  <c r="Z31" i="8"/>
  <c r="AA31" i="8" s="1"/>
  <c r="S31" i="8"/>
  <c r="R85" i="11"/>
  <c r="Y85" i="11"/>
  <c r="Z85" i="11" s="1"/>
  <c r="R172" i="11"/>
  <c r="Y172" i="11"/>
  <c r="Z172" i="11" s="1"/>
  <c r="AF136" i="11"/>
  <c r="AI99" i="11"/>
  <c r="AS99" i="11" s="1"/>
  <c r="AI268" i="11"/>
  <c r="AS268" i="11" s="1"/>
  <c r="AG107" i="11"/>
  <c r="AC107" i="11"/>
  <c r="AE107" i="11"/>
  <c r="AB107" i="11"/>
  <c r="AF107" i="11"/>
  <c r="Y63" i="11"/>
  <c r="Z63" i="11" s="1"/>
  <c r="R63" i="11"/>
  <c r="Y86" i="11"/>
  <c r="Z86" i="11" s="1"/>
  <c r="R86" i="11"/>
  <c r="AF30" i="11"/>
  <c r="AB30" i="11"/>
  <c r="AG30" i="11"/>
  <c r="AC30" i="11"/>
  <c r="AE30" i="11"/>
  <c r="AH115" i="8"/>
  <c r="AF115" i="8"/>
  <c r="Z141" i="8"/>
  <c r="AA141" i="8" s="1"/>
  <c r="AH141" i="8" s="1"/>
  <c r="Z106" i="8"/>
  <c r="AA106" i="8" s="1"/>
  <c r="AH106" i="8" s="1"/>
  <c r="AG167" i="8"/>
  <c r="AD167" i="8"/>
  <c r="AC191" i="8"/>
  <c r="S115" i="8"/>
  <c r="AG122" i="8"/>
  <c r="Z108" i="8"/>
  <c r="AA108" i="8" s="1"/>
  <c r="AG108" i="8" s="1"/>
  <c r="AD143" i="8"/>
  <c r="AF167" i="8"/>
  <c r="AD191" i="8"/>
  <c r="Z137" i="8"/>
  <c r="AA137" i="8" s="1"/>
  <c r="AH137" i="8" s="1"/>
  <c r="AH113" i="8"/>
  <c r="S113" i="8"/>
  <c r="AG143" i="8"/>
  <c r="AF143" i="8"/>
  <c r="AC104" i="8"/>
  <c r="AD104" i="8"/>
  <c r="AG109" i="8"/>
  <c r="AD109" i="8"/>
  <c r="Y76" i="8"/>
  <c r="Y290" i="8" s="1"/>
  <c r="S184" i="8"/>
  <c r="AD239" i="8"/>
  <c r="Z92" i="8"/>
  <c r="AA92" i="8" s="1"/>
  <c r="AF92" i="8" s="1"/>
  <c r="AG239" i="8"/>
  <c r="AF122" i="8"/>
  <c r="S122" i="8"/>
  <c r="AC113" i="8"/>
  <c r="AF37" i="8"/>
  <c r="AC261" i="8"/>
  <c r="AF163" i="8"/>
  <c r="AD235" i="8"/>
  <c r="AD236" i="8"/>
  <c r="S270" i="8"/>
  <c r="S257" i="8"/>
  <c r="Z257" i="8"/>
  <c r="AA257" i="8" s="1"/>
  <c r="Z33" i="8"/>
  <c r="AA33" i="8" s="1"/>
  <c r="S33" i="8"/>
  <c r="AH220" i="8"/>
  <c r="AF220" i="8"/>
  <c r="AC220" i="8"/>
  <c r="AD220" i="8"/>
  <c r="AG220" i="8"/>
  <c r="AJ34" i="8"/>
  <c r="AJ217" i="8"/>
  <c r="AD261" i="8"/>
  <c r="AC163" i="8"/>
  <c r="AC236" i="8"/>
  <c r="AF235" i="8"/>
  <c r="AH109" i="8"/>
  <c r="AC239" i="8"/>
  <c r="S109" i="8"/>
  <c r="AC122" i="8"/>
  <c r="S249" i="8"/>
  <c r="S165" i="8"/>
  <c r="AH235" i="8"/>
  <c r="V290" i="8"/>
  <c r="V293" i="8" s="1"/>
  <c r="AE34" i="8"/>
  <c r="AH261" i="8"/>
  <c r="AE280" i="8"/>
  <c r="AD163" i="8"/>
  <c r="AH104" i="8"/>
  <c r="AH236" i="8"/>
  <c r="AH72" i="8"/>
  <c r="AC204" i="8"/>
  <c r="AE204" i="8" s="1"/>
  <c r="Z207" i="8"/>
  <c r="AA207" i="8" s="1"/>
  <c r="AF207" i="8" s="1"/>
  <c r="Z227" i="8"/>
  <c r="AA227" i="8" s="1"/>
  <c r="AD227" i="8" s="1"/>
  <c r="S204" i="8"/>
  <c r="S248" i="8"/>
  <c r="AJ269" i="8"/>
  <c r="AJ142" i="8"/>
  <c r="AT142" i="8" s="1"/>
  <c r="AC68" i="8"/>
  <c r="AE68" i="8" s="1"/>
  <c r="AF200" i="8"/>
  <c r="AD200" i="8"/>
  <c r="S200" i="8"/>
  <c r="AG275" i="8"/>
  <c r="AD275" i="8"/>
  <c r="AH275" i="8"/>
  <c r="AH42" i="8"/>
  <c r="AD42" i="8"/>
  <c r="AC42" i="8"/>
  <c r="AG42" i="8"/>
  <c r="AF42" i="8"/>
  <c r="S42" i="8"/>
  <c r="AD229" i="8"/>
  <c r="AC229" i="8"/>
  <c r="AF54" i="8"/>
  <c r="AG54" i="8"/>
  <c r="AD54" i="8"/>
  <c r="Z223" i="8"/>
  <c r="AA223" i="8" s="1"/>
  <c r="AH223" i="8" s="1"/>
  <c r="S149" i="8"/>
  <c r="Z206" i="8"/>
  <c r="AA206" i="8" s="1"/>
  <c r="AE269" i="8"/>
  <c r="AH54" i="8"/>
  <c r="AC54" i="8"/>
  <c r="Z69" i="8"/>
  <c r="AA69" i="8" s="1"/>
  <c r="S182" i="8"/>
  <c r="AH186" i="8"/>
  <c r="AF186" i="8"/>
  <c r="AC180" i="8"/>
  <c r="AG180" i="8"/>
  <c r="AD180" i="8"/>
  <c r="AF180" i="8"/>
  <c r="AH180" i="8"/>
  <c r="AE271" i="8"/>
  <c r="AE158" i="8"/>
  <c r="S174" i="8"/>
  <c r="S180" i="8"/>
  <c r="AE64" i="8"/>
  <c r="AJ233" i="8"/>
  <c r="AT233" i="8" s="1"/>
  <c r="S212" i="8"/>
  <c r="Z175" i="8"/>
  <c r="AA175" i="8" s="1"/>
  <c r="S262" i="8"/>
  <c r="S209" i="8"/>
  <c r="Z198" i="8"/>
  <c r="AA198" i="8" s="1"/>
  <c r="S224" i="8"/>
  <c r="Z224" i="8"/>
  <c r="AA224" i="8" s="1"/>
  <c r="AH37" i="8"/>
  <c r="AD37" i="8"/>
  <c r="AE37" i="8" s="1"/>
  <c r="Z231" i="8"/>
  <c r="AA231" i="8" s="1"/>
  <c r="AD231" i="8" s="1"/>
  <c r="Z148" i="8"/>
  <c r="AA148" i="8" s="1"/>
  <c r="S264" i="8"/>
  <c r="AE183" i="8"/>
  <c r="AD72" i="8"/>
  <c r="AE72" i="8" s="1"/>
  <c r="AF72" i="8"/>
  <c r="AC270" i="8"/>
  <c r="AD270" i="8"/>
  <c r="AF270" i="8"/>
  <c r="AH270" i="8"/>
  <c r="AG270" i="8"/>
  <c r="AF174" i="8"/>
  <c r="AH174" i="8"/>
  <c r="AG174" i="8"/>
  <c r="AC174" i="8"/>
  <c r="AD174" i="8"/>
  <c r="AF268" i="8"/>
  <c r="AC268" i="8"/>
  <c r="AH268" i="8"/>
  <c r="AG268" i="8"/>
  <c r="AD268" i="8"/>
  <c r="AG219" i="8"/>
  <c r="AD219" i="8"/>
  <c r="AH219" i="8"/>
  <c r="AC219" i="8"/>
  <c r="AF219" i="8"/>
  <c r="AC266" i="8"/>
  <c r="AH266" i="8"/>
  <c r="AG266" i="8"/>
  <c r="AF266" i="8"/>
  <c r="AD266" i="8"/>
  <c r="AE266" i="8" s="1"/>
  <c r="AC149" i="8"/>
  <c r="AG149" i="8"/>
  <c r="AD149" i="8"/>
  <c r="AF149" i="8"/>
  <c r="AH149" i="8"/>
  <c r="AD274" i="8"/>
  <c r="Z221" i="8"/>
  <c r="AA221" i="8" s="1"/>
  <c r="AH221" i="8" s="1"/>
  <c r="S193" i="8"/>
  <c r="S134" i="8"/>
  <c r="Z201" i="8"/>
  <c r="AA201" i="8" s="1"/>
  <c r="AH201" i="8" s="1"/>
  <c r="S225" i="8"/>
  <c r="Z225" i="8"/>
  <c r="AA225" i="8" s="1"/>
  <c r="Z130" i="8"/>
  <c r="AA130" i="8" s="1"/>
  <c r="S130" i="8"/>
  <c r="AH182" i="8"/>
  <c r="AC182" i="8"/>
  <c r="AE182" i="8" s="1"/>
  <c r="AF182" i="8"/>
  <c r="AG182" i="8"/>
  <c r="AG135" i="8"/>
  <c r="AH135" i="8"/>
  <c r="AC135" i="8"/>
  <c r="AD135" i="8"/>
  <c r="AF135" i="8"/>
  <c r="Z213" i="8"/>
  <c r="AA213" i="8" s="1"/>
  <c r="S213" i="8"/>
  <c r="S266" i="8"/>
  <c r="S235" i="8"/>
  <c r="S268" i="8"/>
  <c r="AG262" i="8"/>
  <c r="AF262" i="8"/>
  <c r="AD262" i="8"/>
  <c r="AH262" i="8"/>
  <c r="AC262" i="8"/>
  <c r="AH260" i="8"/>
  <c r="S219" i="8"/>
  <c r="AC249" i="8"/>
  <c r="AG249" i="8"/>
  <c r="AF249" i="8"/>
  <c r="AD249" i="8"/>
  <c r="AH249" i="8"/>
  <c r="AH282" i="8"/>
  <c r="AD282" i="8"/>
  <c r="AF282" i="8"/>
  <c r="AC282" i="8"/>
  <c r="AG282" i="8"/>
  <c r="S145" i="8"/>
  <c r="Z145" i="8"/>
  <c r="AA145" i="8" s="1"/>
  <c r="AD244" i="8"/>
  <c r="AC244" i="8"/>
  <c r="Z139" i="8"/>
  <c r="AA139" i="8" s="1"/>
  <c r="S139" i="8"/>
  <c r="AH161" i="8"/>
  <c r="AC161" i="8"/>
  <c r="AE161" i="8" s="1"/>
  <c r="AF208" i="8"/>
  <c r="AC208" i="8"/>
  <c r="AG208" i="8"/>
  <c r="AH208" i="8"/>
  <c r="AD208" i="8"/>
  <c r="AH248" i="8"/>
  <c r="AF248" i="8"/>
  <c r="AC248" i="8"/>
  <c r="AE248" i="8" s="1"/>
  <c r="AG248" i="8"/>
  <c r="Z247" i="8"/>
  <c r="AA247" i="8" s="1"/>
  <c r="AC247" i="8" s="1"/>
  <c r="AE247" i="8" s="1"/>
  <c r="AJ74" i="8"/>
  <c r="S111" i="8"/>
  <c r="Z111" i="8"/>
  <c r="AA111" i="8" s="1"/>
  <c r="AF212" i="8"/>
  <c r="AD212" i="8"/>
  <c r="AG212" i="8"/>
  <c r="AH212" i="8"/>
  <c r="AC212" i="8"/>
  <c r="S244" i="8"/>
  <c r="Z84" i="8"/>
  <c r="Z291" i="8" s="1"/>
  <c r="AA155" i="8"/>
  <c r="AJ146" i="8"/>
  <c r="AT146" i="8" s="1"/>
  <c r="AJ71" i="8"/>
  <c r="AT71" i="8" s="1"/>
  <c r="AF57" i="8"/>
  <c r="Z267" i="8"/>
  <c r="AA267" i="8" s="1"/>
  <c r="AF209" i="8"/>
  <c r="AG209" i="8"/>
  <c r="AH209" i="8"/>
  <c r="AG264" i="8"/>
  <c r="AC264" i="8"/>
  <c r="AE264" i="8" s="1"/>
  <c r="AF264" i="8"/>
  <c r="S216" i="8"/>
  <c r="S205" i="8"/>
  <c r="Z205" i="8"/>
  <c r="AA205" i="8" s="1"/>
  <c r="AH256" i="8"/>
  <c r="AC256" i="8"/>
  <c r="AG256" i="8"/>
  <c r="AD256" i="8"/>
  <c r="AF256" i="8"/>
  <c r="Z176" i="8"/>
  <c r="AA176" i="8" s="1"/>
  <c r="S176" i="8"/>
  <c r="Z114" i="8"/>
  <c r="AA114" i="8" s="1"/>
  <c r="S114" i="8"/>
  <c r="Z129" i="8"/>
  <c r="AA129" i="8" s="1"/>
  <c r="S129" i="8"/>
  <c r="AF150" i="8"/>
  <c r="AC150" i="8"/>
  <c r="AD150" i="8"/>
  <c r="AG150" i="8"/>
  <c r="AH150" i="8"/>
  <c r="AC43" i="8"/>
  <c r="AH238" i="8"/>
  <c r="AC238" i="8"/>
  <c r="AD238" i="8"/>
  <c r="AF238" i="8"/>
  <c r="AG238" i="8"/>
  <c r="AC52" i="8"/>
  <c r="AD52" i="8"/>
  <c r="AF52" i="8"/>
  <c r="AH52" i="8"/>
  <c r="AG52" i="8"/>
  <c r="AG115" i="8"/>
  <c r="AC274" i="8"/>
  <c r="Z118" i="8"/>
  <c r="AA118" i="8" s="1"/>
  <c r="AC118" i="8" s="1"/>
  <c r="AE118" i="8" s="1"/>
  <c r="AF128" i="8"/>
  <c r="AF274" i="8"/>
  <c r="AG274" i="8"/>
  <c r="AH94" i="8"/>
  <c r="S94" i="8"/>
  <c r="Z107" i="8"/>
  <c r="AA107" i="8" s="1"/>
  <c r="AC128" i="8"/>
  <c r="AG94" i="8"/>
  <c r="AD94" i="8"/>
  <c r="AE94" i="8" s="1"/>
  <c r="AG215" i="8"/>
  <c r="AF215" i="8"/>
  <c r="AH215" i="8"/>
  <c r="AD215" i="8"/>
  <c r="AC215" i="8"/>
  <c r="AD193" i="8"/>
  <c r="AG193" i="8"/>
  <c r="AH193" i="8"/>
  <c r="AF193" i="8"/>
  <c r="AC193" i="8"/>
  <c r="AE193" i="8" s="1"/>
  <c r="AE26" i="8"/>
  <c r="AJ45" i="8"/>
  <c r="AF94" i="8"/>
  <c r="S192" i="8"/>
  <c r="Z192" i="8"/>
  <c r="AA192" i="8" s="1"/>
  <c r="AF216" i="8"/>
  <c r="AG216" i="8"/>
  <c r="AC216" i="8"/>
  <c r="AD216" i="8"/>
  <c r="AH216" i="8"/>
  <c r="S226" i="8"/>
  <c r="Z226" i="8"/>
  <c r="AA226" i="8" s="1"/>
  <c r="Z178" i="8"/>
  <c r="AA178" i="8" s="1"/>
  <c r="Z230" i="8"/>
  <c r="AA230" i="8" s="1"/>
  <c r="AD49" i="8"/>
  <c r="AE49" i="8" s="1"/>
  <c r="AF49" i="8"/>
  <c r="AH49" i="8"/>
  <c r="AG196" i="8"/>
  <c r="AJ259" i="8"/>
  <c r="AT259" i="8" s="1"/>
  <c r="AH263" i="8"/>
  <c r="AF263" i="8"/>
  <c r="AC263" i="8"/>
  <c r="AG263" i="8"/>
  <c r="AD263" i="8"/>
  <c r="AQ84" i="8"/>
  <c r="AQ291" i="8" s="1"/>
  <c r="AR155" i="8"/>
  <c r="AR84" i="8" s="1"/>
  <c r="AR291" i="8" s="1"/>
  <c r="W292" i="8"/>
  <c r="W287" i="8"/>
  <c r="W293" i="8" s="1"/>
  <c r="S215" i="8"/>
  <c r="AF203" i="8"/>
  <c r="AG203" i="8"/>
  <c r="AH203" i="8"/>
  <c r="AC203" i="8"/>
  <c r="AE203" i="8" s="1"/>
  <c r="AF134" i="8"/>
  <c r="AG134" i="8"/>
  <c r="AC134" i="8"/>
  <c r="AH134" i="8"/>
  <c r="AD134" i="8"/>
  <c r="Z211" i="8"/>
  <c r="AA211" i="8" s="1"/>
  <c r="S211" i="8"/>
  <c r="AH20" i="8"/>
  <c r="AF113" i="8"/>
  <c r="AG165" i="8"/>
  <c r="AC165" i="8"/>
  <c r="AE165" i="8" s="1"/>
  <c r="AH165" i="8"/>
  <c r="AF165" i="8"/>
  <c r="Z232" i="8"/>
  <c r="AA232" i="8" s="1"/>
  <c r="AG285" i="8"/>
  <c r="AD285" i="8"/>
  <c r="AC285" i="8"/>
  <c r="AH285" i="8"/>
  <c r="AF285" i="8"/>
  <c r="AE276" i="8"/>
  <c r="AC61" i="8"/>
  <c r="AF61" i="8"/>
  <c r="AG61" i="8"/>
  <c r="AD61" i="8"/>
  <c r="AH61" i="8"/>
  <c r="AC59" i="8"/>
  <c r="AF59" i="8"/>
  <c r="AH59" i="8"/>
  <c r="AG59" i="8"/>
  <c r="AD59" i="8"/>
  <c r="S222" i="8"/>
  <c r="Z222" i="8"/>
  <c r="AA222" i="8" s="1"/>
  <c r="Z179" i="8"/>
  <c r="AA179" i="8" s="1"/>
  <c r="S179" i="8"/>
  <c r="AD184" i="8"/>
  <c r="AE184" i="8" s="1"/>
  <c r="AG184" i="8"/>
  <c r="AF184" i="8"/>
  <c r="AH184" i="8"/>
  <c r="S197" i="8"/>
  <c r="Z197" i="8"/>
  <c r="AA197" i="8" s="1"/>
  <c r="AG214" i="8"/>
  <c r="AH214" i="8"/>
  <c r="AF214" i="8"/>
  <c r="AC214" i="8"/>
  <c r="AE214" i="8" s="1"/>
  <c r="AH258" i="8"/>
  <c r="AD258" i="8"/>
  <c r="AE258" i="8" s="1"/>
  <c r="AG258" i="8"/>
  <c r="AF258" i="8"/>
  <c r="AI29" i="11"/>
  <c r="R47" i="11"/>
  <c r="Y47" i="11"/>
  <c r="Z47" i="11" s="1"/>
  <c r="AI27" i="11"/>
  <c r="AS27" i="11" s="1"/>
  <c r="AI154" i="11"/>
  <c r="AS154" i="11" s="1"/>
  <c r="AB108" i="11"/>
  <c r="AC108" i="11"/>
  <c r="AE108" i="11"/>
  <c r="AF108" i="11"/>
  <c r="AG108" i="11"/>
  <c r="AI164" i="11"/>
  <c r="R140" i="11"/>
  <c r="Y140" i="11"/>
  <c r="Z140" i="11" s="1"/>
  <c r="AC18" i="11"/>
  <c r="AG18" i="11"/>
  <c r="AB18" i="11"/>
  <c r="AF18" i="11"/>
  <c r="AE18" i="11"/>
  <c r="AG196" i="11"/>
  <c r="AB196" i="11"/>
  <c r="AF196" i="11"/>
  <c r="AE196" i="11"/>
  <c r="AC196" i="11"/>
  <c r="AF170" i="11"/>
  <c r="AB170" i="11"/>
  <c r="AC170" i="11"/>
  <c r="AG170" i="11"/>
  <c r="AE170" i="11"/>
  <c r="AE145" i="11"/>
  <c r="AG145" i="11"/>
  <c r="AB145" i="11"/>
  <c r="AC145" i="11"/>
  <c r="AF145" i="11"/>
  <c r="AI62" i="11"/>
  <c r="AI109" i="11"/>
  <c r="AD227" i="11"/>
  <c r="AI260" i="11"/>
  <c r="AS260" i="11" s="1"/>
  <c r="R192" i="11"/>
  <c r="Y192" i="11"/>
  <c r="Z192" i="11" s="1"/>
  <c r="Y200" i="11"/>
  <c r="Z200" i="11" s="1"/>
  <c r="R200" i="11"/>
  <c r="AI187" i="11"/>
  <c r="AD187" i="11"/>
  <c r="AB157" i="11"/>
  <c r="AC157" i="11"/>
  <c r="AE157" i="11"/>
  <c r="AG157" i="11"/>
  <c r="AF157" i="11"/>
  <c r="AC159" i="11"/>
  <c r="AE159" i="11"/>
  <c r="AG159" i="11"/>
  <c r="AB159" i="11"/>
  <c r="AF159" i="11"/>
  <c r="AI144" i="11"/>
  <c r="AS144" i="11" s="1"/>
  <c r="AD148" i="11"/>
  <c r="AI168" i="11"/>
  <c r="AS168" i="11" s="1"/>
  <c r="Y267" i="11"/>
  <c r="Z267" i="11" s="1"/>
  <c r="R267" i="11"/>
  <c r="AE84" i="11"/>
  <c r="AC84" i="11"/>
  <c r="AB84" i="11"/>
  <c r="AG84" i="11"/>
  <c r="AJ190" i="8"/>
  <c r="AT190" i="8" s="1"/>
  <c r="AG23" i="8"/>
  <c r="AH23" i="8"/>
  <c r="AD23" i="8"/>
  <c r="AE23" i="8" s="1"/>
  <c r="AE281" i="8"/>
  <c r="AD128" i="8"/>
  <c r="AG128" i="8"/>
  <c r="AD115" i="8"/>
  <c r="AC115" i="8"/>
  <c r="AC93" i="8"/>
  <c r="S117" i="8"/>
  <c r="Z117" i="8"/>
  <c r="AA117" i="8" s="1"/>
  <c r="AC105" i="8"/>
  <c r="AE105" i="8" s="1"/>
  <c r="AG105" i="8"/>
  <c r="AH105" i="8"/>
  <c r="AF105" i="8"/>
  <c r="AJ271" i="8"/>
  <c r="AG32" i="8"/>
  <c r="AD32" i="8"/>
  <c r="AF32" i="8"/>
  <c r="AH32" i="8"/>
  <c r="AC32" i="8"/>
  <c r="U290" i="8"/>
  <c r="AC20" i="8"/>
  <c r="AE20" i="8" s="1"/>
  <c r="AQ20" i="8"/>
  <c r="AO76" i="8"/>
  <c r="AO290" i="8"/>
  <c r="AG20" i="8"/>
  <c r="AG250" i="8"/>
  <c r="AD250" i="8"/>
  <c r="AC250" i="8"/>
  <c r="AF250" i="8"/>
  <c r="AH250" i="8"/>
  <c r="U292" i="8"/>
  <c r="U287" i="8"/>
  <c r="U293" i="8" s="1"/>
  <c r="AC92" i="11"/>
  <c r="AE92" i="11"/>
  <c r="AF92" i="11"/>
  <c r="AB92" i="11"/>
  <c r="AG92" i="11"/>
  <c r="AC132" i="11"/>
  <c r="AE132" i="11"/>
  <c r="AI132" i="11" s="1"/>
  <c r="AG132" i="11"/>
  <c r="AB132" i="11"/>
  <c r="AF132" i="11"/>
  <c r="AD132" i="11"/>
  <c r="AS132" i="11" s="1"/>
  <c r="AF259" i="11"/>
  <c r="AE259" i="11"/>
  <c r="AC259" i="11"/>
  <c r="AB259" i="11"/>
  <c r="AG259" i="11"/>
  <c r="R73" i="11"/>
  <c r="R40" i="11"/>
  <c r="AC122" i="11"/>
  <c r="AE122" i="11"/>
  <c r="AG122" i="11"/>
  <c r="AB122" i="11"/>
  <c r="AD122" i="11" s="1"/>
  <c r="AF122" i="11"/>
  <c r="AG183" i="11"/>
  <c r="AB183" i="11"/>
  <c r="AD183" i="11" s="1"/>
  <c r="AS183" i="11" s="1"/>
  <c r="AF183" i="11"/>
  <c r="AE183" i="11"/>
  <c r="AI183" i="11" s="1"/>
  <c r="AC183" i="11"/>
  <c r="AH63" i="8"/>
  <c r="AD63" i="8"/>
  <c r="AC63" i="8"/>
  <c r="AF63" i="8"/>
  <c r="AG63" i="8"/>
  <c r="AI244" i="11"/>
  <c r="AP25" i="11"/>
  <c r="AN286" i="11"/>
  <c r="AN289" i="11" s="1"/>
  <c r="AN87" i="11"/>
  <c r="AN283" i="11" s="1"/>
  <c r="AF57" i="11"/>
  <c r="AE57" i="11"/>
  <c r="AB57" i="11"/>
  <c r="AD57" i="11" s="1"/>
  <c r="AC57" i="11"/>
  <c r="AG57" i="11"/>
  <c r="AS52" i="11"/>
  <c r="AB61" i="11"/>
  <c r="AD61" i="11" s="1"/>
  <c r="AF61" i="11"/>
  <c r="AC61" i="11"/>
  <c r="AG61" i="11"/>
  <c r="AE61" i="11"/>
  <c r="R122" i="11"/>
  <c r="X282" i="11"/>
  <c r="X288" i="11" s="1"/>
  <c r="Y184" i="11"/>
  <c r="Z184" i="11" s="1"/>
  <c r="AF225" i="11"/>
  <c r="AB225" i="11"/>
  <c r="AD225" i="11" s="1"/>
  <c r="AC225" i="11"/>
  <c r="AE225" i="11"/>
  <c r="AG225" i="11"/>
  <c r="AE211" i="11"/>
  <c r="AG211" i="11"/>
  <c r="AB211" i="11"/>
  <c r="AD211" i="11"/>
  <c r="AF211" i="11"/>
  <c r="AB241" i="11"/>
  <c r="AD241" i="11" s="1"/>
  <c r="AE241" i="11"/>
  <c r="AG241" i="11"/>
  <c r="AF241" i="11"/>
  <c r="R241" i="11"/>
  <c r="AL292" i="8"/>
  <c r="AL287" i="8"/>
  <c r="AL293" i="8" s="1"/>
  <c r="AC168" i="8"/>
  <c r="AG168" i="8"/>
  <c r="AH168" i="8"/>
  <c r="AD168" i="8"/>
  <c r="AF168" i="8"/>
  <c r="AC165" i="11"/>
  <c r="AB165" i="11"/>
  <c r="AG165" i="11"/>
  <c r="AF165" i="11"/>
  <c r="AE165" i="11"/>
  <c r="AF189" i="11"/>
  <c r="AG189" i="11"/>
  <c r="AC189" i="11"/>
  <c r="AD189" i="11" s="1"/>
  <c r="AS189" i="11" s="1"/>
  <c r="AE189" i="11"/>
  <c r="AI189" i="11" s="1"/>
  <c r="AB189" i="11"/>
  <c r="AB32" i="11"/>
  <c r="AD32" i="11" s="1"/>
  <c r="AG32" i="11"/>
  <c r="AE32" i="11"/>
  <c r="AF32" i="11"/>
  <c r="AC47" i="8"/>
  <c r="AF47" i="8"/>
  <c r="AH47" i="8"/>
  <c r="AG47" i="8"/>
  <c r="AD47" i="8"/>
  <c r="AI38" i="11"/>
  <c r="AS38" i="11" s="1"/>
  <c r="AI228" i="11"/>
  <c r="AS228" i="11" s="1"/>
  <c r="AJ26" i="8"/>
  <c r="AB64" i="11"/>
  <c r="AD64" i="11"/>
  <c r="AG64" i="11"/>
  <c r="AC64" i="11"/>
  <c r="AE64" i="11"/>
  <c r="AF64" i="11"/>
  <c r="AE41" i="11"/>
  <c r="AI41" i="11" s="1"/>
  <c r="AC41" i="11"/>
  <c r="AF41" i="11"/>
  <c r="AG41" i="11"/>
  <c r="AB41" i="11"/>
  <c r="AD41" i="11" s="1"/>
  <c r="AS41" i="11" s="1"/>
  <c r="AB73" i="11"/>
  <c r="AC73" i="11"/>
  <c r="AD73" i="11"/>
  <c r="AF73" i="11"/>
  <c r="AE73" i="11"/>
  <c r="AG73" i="11"/>
  <c r="AE40" i="11"/>
  <c r="AB40" i="11"/>
  <c r="AD40" i="11" s="1"/>
  <c r="AF40" i="11"/>
  <c r="AG40" i="11"/>
  <c r="AC40" i="11"/>
  <c r="AE94" i="11"/>
  <c r="AF94" i="11"/>
  <c r="AB94" i="11"/>
  <c r="AG94" i="11"/>
  <c r="AC94" i="11"/>
  <c r="AE25" i="11"/>
  <c r="AI25" i="11" s="1"/>
  <c r="AB25" i="11"/>
  <c r="AC25" i="11"/>
  <c r="AF25" i="11"/>
  <c r="AD25" i="11"/>
  <c r="AG25" i="11"/>
  <c r="AF36" i="11"/>
  <c r="AB36" i="11"/>
  <c r="AD36" i="11"/>
  <c r="AS36" i="11" s="1"/>
  <c r="AG36" i="11"/>
  <c r="AE36" i="11"/>
  <c r="AI36" i="11" s="1"/>
  <c r="AC36" i="11"/>
  <c r="AF51" i="11"/>
  <c r="AC51" i="11"/>
  <c r="AB51" i="11"/>
  <c r="AD51" i="11"/>
  <c r="AE51" i="11"/>
  <c r="AI51" i="11" s="1"/>
  <c r="AG51" i="11"/>
  <c r="AQ116" i="11"/>
  <c r="AP282" i="11"/>
  <c r="AP288" i="11" s="1"/>
  <c r="X100" i="11"/>
  <c r="X287" i="11" s="1"/>
  <c r="AP92" i="11"/>
  <c r="AN282" i="11"/>
  <c r="AC118" i="11"/>
  <c r="AE118" i="11"/>
  <c r="AI118" i="11" s="1"/>
  <c r="AB118" i="11"/>
  <c r="AF118" i="11"/>
  <c r="AG118" i="11"/>
  <c r="AD118" i="11"/>
  <c r="AS118" i="11" s="1"/>
  <c r="AE133" i="11"/>
  <c r="AC133" i="11"/>
  <c r="AD133" i="11"/>
  <c r="AF133" i="11"/>
  <c r="AG133" i="11"/>
  <c r="R181" i="11"/>
  <c r="R251" i="11"/>
  <c r="S187" i="8"/>
  <c r="Y286" i="8"/>
  <c r="AR168" i="8"/>
  <c r="AQ286" i="8"/>
  <c r="AE56" i="11"/>
  <c r="AI56" i="11" s="1"/>
  <c r="AF56" i="11"/>
  <c r="AB56" i="11"/>
  <c r="AD56" i="11" s="1"/>
  <c r="AS56" i="11" s="1"/>
  <c r="AC56" i="11"/>
  <c r="AG56" i="11"/>
  <c r="AG223" i="11"/>
  <c r="AF223" i="11"/>
  <c r="AC223" i="11"/>
  <c r="AB223" i="11"/>
  <c r="AD223" i="11"/>
  <c r="AS223" i="11" s="1"/>
  <c r="AE223" i="11"/>
  <c r="AI223" i="11" s="1"/>
  <c r="Z114" i="11"/>
  <c r="AA100" i="8"/>
  <c r="Z15" i="11"/>
  <c r="AI39" i="11"/>
  <c r="AS39" i="11" s="1"/>
  <c r="AI77" i="11"/>
  <c r="AS77" i="11" s="1"/>
  <c r="AI48" i="11"/>
  <c r="AS48" i="11" s="1"/>
  <c r="AI33" i="11"/>
  <c r="AS33" i="11" s="1"/>
  <c r="AI54" i="11"/>
  <c r="AS54" i="11" s="1"/>
  <c r="AI37" i="11"/>
  <c r="AS37" i="11" s="1"/>
  <c r="AI276" i="11"/>
  <c r="AJ281" i="8"/>
  <c r="R26" i="11"/>
  <c r="Y26" i="11"/>
  <c r="Z26" i="11" s="1"/>
  <c r="X87" i="11"/>
  <c r="AF91" i="11"/>
  <c r="AC91" i="11"/>
  <c r="AG91" i="11"/>
  <c r="AE91" i="11"/>
  <c r="AB91" i="11"/>
  <c r="AB66" i="11"/>
  <c r="AF66" i="11"/>
  <c r="AC66" i="11"/>
  <c r="AE66" i="11"/>
  <c r="AD66" i="11"/>
  <c r="AG66" i="11"/>
  <c r="AE131" i="11"/>
  <c r="AG131" i="11"/>
  <c r="AB131" i="11"/>
  <c r="AD131" i="11"/>
  <c r="AF131" i="11"/>
  <c r="AC131" i="11"/>
  <c r="AE217" i="11"/>
  <c r="AF217" i="11"/>
  <c r="AB217" i="11"/>
  <c r="AD217" i="11" s="1"/>
  <c r="AG217" i="11"/>
  <c r="AF204" i="11"/>
  <c r="AC204" i="11"/>
  <c r="AE204" i="11"/>
  <c r="AG204" i="11"/>
  <c r="AB204" i="11"/>
  <c r="AD204" i="11" s="1"/>
  <c r="AF206" i="11"/>
  <c r="AE206" i="11"/>
  <c r="AI206" i="11" s="1"/>
  <c r="AC206" i="11"/>
  <c r="AD206" i="11" s="1"/>
  <c r="AS206" i="11" s="1"/>
  <c r="AB206" i="11"/>
  <c r="AG206" i="11"/>
  <c r="AF212" i="11"/>
  <c r="AC212" i="11"/>
  <c r="AE212" i="11"/>
  <c r="AB212" i="11"/>
  <c r="AD212" i="11" s="1"/>
  <c r="AG212" i="11"/>
  <c r="AB203" i="11"/>
  <c r="AD203" i="11"/>
  <c r="AF203" i="11"/>
  <c r="AC203" i="11"/>
  <c r="AE203" i="11"/>
  <c r="AG203" i="11"/>
  <c r="AF251" i="11"/>
  <c r="AG251" i="11"/>
  <c r="AB251" i="11"/>
  <c r="AE251" i="11"/>
  <c r="AD251" i="11"/>
  <c r="AG181" i="11"/>
  <c r="AE181" i="11"/>
  <c r="AF181" i="11"/>
  <c r="AB181" i="11"/>
  <c r="AD181" i="11" s="1"/>
  <c r="AC181" i="11"/>
  <c r="AB256" i="11"/>
  <c r="AF256" i="11"/>
  <c r="AC256" i="11"/>
  <c r="AE256" i="11"/>
  <c r="AG256" i="11"/>
  <c r="AD256" i="11"/>
  <c r="AE258" i="11"/>
  <c r="AB258" i="11"/>
  <c r="AD258" i="11" s="1"/>
  <c r="AG258" i="11"/>
  <c r="AF258" i="11"/>
  <c r="AE224" i="11"/>
  <c r="AB224" i="11"/>
  <c r="AD224" i="11" s="1"/>
  <c r="AG224" i="11"/>
  <c r="AF224" i="11"/>
  <c r="AH187" i="8"/>
  <c r="AF187" i="8"/>
  <c r="AC187" i="8"/>
  <c r="AE187" i="8" s="1"/>
  <c r="AG187" i="8"/>
  <c r="AB130" i="11"/>
  <c r="AD130" i="11" s="1"/>
  <c r="AG130" i="11"/>
  <c r="AF130" i="11"/>
  <c r="AE130" i="11"/>
  <c r="AC130" i="11"/>
  <c r="AJ19" i="10"/>
  <c r="AU14" i="10"/>
  <c r="AU19" i="10" s="1"/>
  <c r="AS20" i="11"/>
  <c r="AI215" i="11"/>
  <c r="AS215" i="11" s="1"/>
  <c r="AI21" i="11"/>
  <c r="AS21" i="11" s="1"/>
  <c r="AS244" i="11"/>
  <c r="AS22" i="11"/>
  <c r="AI146" i="11"/>
  <c r="AS146" i="11" s="1"/>
  <c r="AI71" i="11"/>
  <c r="AS71" i="11" s="1"/>
  <c r="AD89" i="11"/>
  <c r="Y100" i="11"/>
  <c r="Y287" i="11" s="1"/>
  <c r="AI262" i="11" l="1"/>
  <c r="AS262" i="11" s="1"/>
  <c r="AC136" i="11"/>
  <c r="AD136" i="11" s="1"/>
  <c r="AG136" i="11"/>
  <c r="AE136" i="11"/>
  <c r="AI161" i="11"/>
  <c r="AS186" i="11"/>
  <c r="AG38" i="8"/>
  <c r="AF260" i="8"/>
  <c r="AC170" i="8"/>
  <c r="AH202" i="8"/>
  <c r="AD279" i="11"/>
  <c r="AI167" i="11"/>
  <c r="AI110" i="11"/>
  <c r="AI280" i="11"/>
  <c r="AS280" i="11" s="1"/>
  <c r="AD271" i="11"/>
  <c r="AD110" i="11"/>
  <c r="AH57" i="8"/>
  <c r="AF38" i="8"/>
  <c r="AG43" i="8"/>
  <c r="AE169" i="8"/>
  <c r="AJ39" i="8"/>
  <c r="AT39" i="8" s="1"/>
  <c r="AD43" i="8"/>
  <c r="AD57" i="8"/>
  <c r="AC38" i="8"/>
  <c r="AE38" i="8" s="1"/>
  <c r="AG237" i="8"/>
  <c r="AF43" i="8"/>
  <c r="AJ43" i="8" s="1"/>
  <c r="AG57" i="8"/>
  <c r="AJ14" i="8"/>
  <c r="AT14" i="8" s="1"/>
  <c r="AJ122" i="8"/>
  <c r="AT245" i="8"/>
  <c r="AD260" i="8"/>
  <c r="AG35" i="8"/>
  <c r="AG260" i="8"/>
  <c r="AJ260" i="8" s="1"/>
  <c r="AD170" i="8"/>
  <c r="AG170" i="8"/>
  <c r="AJ48" i="8"/>
  <c r="AT48" i="8" s="1"/>
  <c r="AJ158" i="8"/>
  <c r="AF170" i="8"/>
  <c r="AJ170" i="8" s="1"/>
  <c r="AE18" i="8"/>
  <c r="AE24" i="8"/>
  <c r="AT24" i="8" s="1"/>
  <c r="AJ166" i="8"/>
  <c r="AE279" i="8"/>
  <c r="AJ44" i="8"/>
  <c r="AE75" i="8"/>
  <c r="AC196" i="8"/>
  <c r="AE196" i="8" s="1"/>
  <c r="AF202" i="8"/>
  <c r="AJ202" i="8" s="1"/>
  <c r="AT202" i="8" s="1"/>
  <c r="AT144" i="8"/>
  <c r="AD223" i="8"/>
  <c r="AF196" i="8"/>
  <c r="AJ196" i="8" s="1"/>
  <c r="AC202" i="8"/>
  <c r="AE202" i="8" s="1"/>
  <c r="AF237" i="8"/>
  <c r="AJ15" i="8"/>
  <c r="AT15" i="8" s="1"/>
  <c r="AI279" i="11"/>
  <c r="AS279" i="11" s="1"/>
  <c r="AJ124" i="8"/>
  <c r="AT124" i="8" s="1"/>
  <c r="AD237" i="11"/>
  <c r="AI16" i="11"/>
  <c r="AH132" i="8"/>
  <c r="AS269" i="11"/>
  <c r="AH28" i="8"/>
  <c r="AD28" i="8"/>
  <c r="AS138" i="11"/>
  <c r="AI75" i="11"/>
  <c r="AS75" i="11" s="1"/>
  <c r="AS261" i="11"/>
  <c r="AS278" i="11"/>
  <c r="AD16" i="11"/>
  <c r="AF166" i="11"/>
  <c r="AI163" i="11"/>
  <c r="AS163" i="11" s="1"/>
  <c r="AJ277" i="8"/>
  <c r="AG30" i="8"/>
  <c r="AG28" i="8"/>
  <c r="AC28" i="8"/>
  <c r="AF30" i="8"/>
  <c r="AC30" i="8"/>
  <c r="AE30" i="8" s="1"/>
  <c r="AE277" i="8"/>
  <c r="AJ87" i="8"/>
  <c r="AT87" i="8" s="1"/>
  <c r="AG171" i="8"/>
  <c r="AH171" i="8"/>
  <c r="AJ171" i="8" s="1"/>
  <c r="AJ278" i="8"/>
  <c r="AB143" i="11"/>
  <c r="AC143" i="11"/>
  <c r="AE143" i="11"/>
  <c r="AF143" i="11"/>
  <c r="AG143" i="11"/>
  <c r="AJ19" i="8"/>
  <c r="AT19" i="8" s="1"/>
  <c r="AD162" i="8"/>
  <c r="AH162" i="8"/>
  <c r="AC131" i="8"/>
  <c r="AE131" i="8" s="1"/>
  <c r="AF162" i="8"/>
  <c r="AC162" i="8"/>
  <c r="AE162" i="8" s="1"/>
  <c r="AT166" i="8"/>
  <c r="AF132" i="8"/>
  <c r="AD51" i="8"/>
  <c r="AE126" i="8"/>
  <c r="AJ41" i="8"/>
  <c r="AT41" i="8" s="1"/>
  <c r="AJ152" i="8"/>
  <c r="AG132" i="8"/>
  <c r="AE177" i="8"/>
  <c r="AJ284" i="8"/>
  <c r="AT284" i="8" s="1"/>
  <c r="AC132" i="8"/>
  <c r="AE132" i="8" s="1"/>
  <c r="AH51" i="8"/>
  <c r="AF91" i="8"/>
  <c r="AG246" i="8"/>
  <c r="AG66" i="8"/>
  <c r="AF66" i="8"/>
  <c r="AJ156" i="8"/>
  <c r="AD35" i="8"/>
  <c r="AJ261" i="8"/>
  <c r="AT254" i="8"/>
  <c r="AT84" i="8" s="1"/>
  <c r="AJ36" i="8"/>
  <c r="AT36" i="8" s="1"/>
  <c r="AJ25" i="8"/>
  <c r="AT25" i="8" s="1"/>
  <c r="AD237" i="8"/>
  <c r="AE237" i="8" s="1"/>
  <c r="AT70" i="8"/>
  <c r="AC171" i="8"/>
  <c r="AE171" i="8" s="1"/>
  <c r="AE156" i="8"/>
  <c r="AH131" i="8"/>
  <c r="AE278" i="8"/>
  <c r="AJ75" i="8"/>
  <c r="AT75" i="8" s="1"/>
  <c r="AT29" i="8"/>
  <c r="AG131" i="8"/>
  <c r="AJ241" i="8"/>
  <c r="AT241" i="8" s="1"/>
  <c r="AH66" i="8"/>
  <c r="AC66" i="8"/>
  <c r="AE66" i="8" s="1"/>
  <c r="AF131" i="8"/>
  <c r="AJ131" i="8" s="1"/>
  <c r="AG51" i="8"/>
  <c r="AJ51" i="8" s="1"/>
  <c r="AE218" i="8"/>
  <c r="AT280" i="8"/>
  <c r="AC51" i="8"/>
  <c r="AE51" i="8" s="1"/>
  <c r="AT51" i="8" s="1"/>
  <c r="AJ138" i="8"/>
  <c r="AG91" i="8"/>
  <c r="AT152" i="8"/>
  <c r="AC91" i="8"/>
  <c r="AD91" i="8"/>
  <c r="AH207" i="8"/>
  <c r="AJ200" i="8"/>
  <c r="AE138" i="8"/>
  <c r="AG207" i="8"/>
  <c r="AJ279" i="8"/>
  <c r="AH237" i="8"/>
  <c r="AJ237" i="8" s="1"/>
  <c r="AE200" i="8"/>
  <c r="AJ90" i="8"/>
  <c r="AT90" i="8" s="1"/>
  <c r="AJ62" i="8"/>
  <c r="AG247" i="8"/>
  <c r="AJ239" i="8"/>
  <c r="AJ234" i="8"/>
  <c r="AT234" i="8" s="1"/>
  <c r="AE235" i="8"/>
  <c r="AJ177" i="8"/>
  <c r="AE88" i="8"/>
  <c r="AJ67" i="8"/>
  <c r="AT67" i="8" s="1"/>
  <c r="AJ151" i="8"/>
  <c r="AF35" i="8"/>
  <c r="AC73" i="8"/>
  <c r="AE73" i="8" s="1"/>
  <c r="AJ169" i="8"/>
  <c r="AH35" i="8"/>
  <c r="AF73" i="8"/>
  <c r="AH283" i="8"/>
  <c r="AF99" i="8"/>
  <c r="AG99" i="8"/>
  <c r="AD99" i="8"/>
  <c r="AE99" i="8" s="1"/>
  <c r="AS232" i="11"/>
  <c r="AH99" i="8"/>
  <c r="AJ159" i="8"/>
  <c r="AT159" i="8" s="1"/>
  <c r="AT18" i="8"/>
  <c r="AF173" i="8"/>
  <c r="AJ88" i="8"/>
  <c r="AT44" i="8"/>
  <c r="AH73" i="8"/>
  <c r="AG73" i="8"/>
  <c r="AJ219" i="8"/>
  <c r="AJ244" i="8"/>
  <c r="AJ242" i="8"/>
  <c r="AE46" i="8"/>
  <c r="AJ204" i="8"/>
  <c r="AT204" i="8" s="1"/>
  <c r="AT276" i="8"/>
  <c r="AJ53" i="8"/>
  <c r="AJ199" i="8"/>
  <c r="AT172" i="8"/>
  <c r="AE199" i="8"/>
  <c r="AJ194" i="8"/>
  <c r="AD60" i="8"/>
  <c r="AC60" i="8"/>
  <c r="AJ42" i="8"/>
  <c r="AE151" i="8"/>
  <c r="AI237" i="11"/>
  <c r="AI257" i="11"/>
  <c r="AS257" i="11" s="1"/>
  <c r="AT271" i="8"/>
  <c r="AF201" i="8"/>
  <c r="AJ161" i="8"/>
  <c r="AT161" i="8" s="1"/>
  <c r="AE260" i="8"/>
  <c r="AE262" i="8"/>
  <c r="AD185" i="8"/>
  <c r="AT164" i="8"/>
  <c r="AE194" i="8"/>
  <c r="AC173" i="8"/>
  <c r="AF221" i="8"/>
  <c r="AR286" i="8"/>
  <c r="AR292" i="8" s="1"/>
  <c r="AH185" i="8"/>
  <c r="AJ104" i="8"/>
  <c r="AH227" i="8"/>
  <c r="AJ218" i="8"/>
  <c r="AJ46" i="8"/>
  <c r="AJ228" i="8"/>
  <c r="AT228" i="8" s="1"/>
  <c r="AJ229" i="8"/>
  <c r="AJ55" i="8"/>
  <c r="AH60" i="8"/>
  <c r="AF60" i="8"/>
  <c r="AG173" i="8"/>
  <c r="AC185" i="8"/>
  <c r="AC227" i="8"/>
  <c r="AE227" i="8" s="1"/>
  <c r="AE275" i="8"/>
  <c r="AE242" i="8"/>
  <c r="AE53" i="8"/>
  <c r="AJ65" i="8"/>
  <c r="AT65" i="8" s="1"/>
  <c r="AC246" i="8"/>
  <c r="AE163" i="8"/>
  <c r="AG201" i="8"/>
  <c r="AF223" i="8"/>
  <c r="AD173" i="8"/>
  <c r="AF231" i="8"/>
  <c r="AH246" i="8"/>
  <c r="AG185" i="8"/>
  <c r="AJ275" i="8"/>
  <c r="AJ236" i="8"/>
  <c r="AJ235" i="8"/>
  <c r="AT235" i="8" s="1"/>
  <c r="AE62" i="8"/>
  <c r="AJ163" i="8"/>
  <c r="AE55" i="8"/>
  <c r="AJ68" i="8"/>
  <c r="AT68" i="8" s="1"/>
  <c r="AI170" i="11"/>
  <c r="AG121" i="8"/>
  <c r="AS277" i="11"/>
  <c r="AD238" i="11"/>
  <c r="AJ133" i="8"/>
  <c r="AI116" i="11"/>
  <c r="AS116" i="11" s="1"/>
  <c r="AH103" i="8"/>
  <c r="AF121" i="8"/>
  <c r="AS275" i="11"/>
  <c r="AI149" i="11"/>
  <c r="AS149" i="11" s="1"/>
  <c r="AI135" i="11"/>
  <c r="AS135" i="11" s="1"/>
  <c r="AI14" i="11"/>
  <c r="AD196" i="11"/>
  <c r="AD167" i="11"/>
  <c r="AS167" i="11" s="1"/>
  <c r="AI188" i="11"/>
  <c r="AS188" i="11" s="1"/>
  <c r="AS276" i="11"/>
  <c r="AD161" i="11"/>
  <c r="AS161" i="11" s="1"/>
  <c r="AS254" i="11"/>
  <c r="AS249" i="11"/>
  <c r="AJ126" i="8"/>
  <c r="AE133" i="8"/>
  <c r="AI117" i="11"/>
  <c r="AS117" i="11" s="1"/>
  <c r="AD147" i="11"/>
  <c r="AS147" i="11" s="1"/>
  <c r="AI238" i="11"/>
  <c r="AD14" i="11"/>
  <c r="AD121" i="8"/>
  <c r="AC121" i="8"/>
  <c r="AS281" i="11"/>
  <c r="AI253" i="11"/>
  <c r="AS253" i="11" s="1"/>
  <c r="AS82" i="11"/>
  <c r="AS271" i="11"/>
  <c r="AE140" i="8"/>
  <c r="AC16" i="8"/>
  <c r="AF103" i="8"/>
  <c r="AF123" i="8"/>
  <c r="AD16" i="8"/>
  <c r="AD103" i="8"/>
  <c r="AC103" i="8"/>
  <c r="AS227" i="11"/>
  <c r="AB115" i="11"/>
  <c r="AS29" i="11"/>
  <c r="AI19" i="11"/>
  <c r="AS19" i="11" s="1"/>
  <c r="AS270" i="11"/>
  <c r="AI74" i="11"/>
  <c r="AS74" i="11" s="1"/>
  <c r="AS155" i="11"/>
  <c r="AI24" i="11"/>
  <c r="AD120" i="11"/>
  <c r="AI141" i="11"/>
  <c r="AS141" i="11" s="1"/>
  <c r="AS142" i="11"/>
  <c r="AI137" i="11"/>
  <c r="AS137" i="11" s="1"/>
  <c r="AJ220" i="8"/>
  <c r="AF247" i="8"/>
  <c r="AC207" i="8"/>
  <c r="AG283" i="8"/>
  <c r="AD246" i="8"/>
  <c r="AE236" i="8"/>
  <c r="AT181" i="8"/>
  <c r="AH247" i="8"/>
  <c r="AD207" i="8"/>
  <c r="AT45" i="8"/>
  <c r="AC283" i="8"/>
  <c r="AE283" i="8" s="1"/>
  <c r="AJ266" i="8"/>
  <c r="AT266" i="8" s="1"/>
  <c r="AJ180" i="8"/>
  <c r="AE229" i="8"/>
  <c r="AT217" i="8"/>
  <c r="AF16" i="8"/>
  <c r="AG16" i="8"/>
  <c r="AC112" i="8"/>
  <c r="AE112" i="8" s="1"/>
  <c r="AI120" i="11"/>
  <c r="AC223" i="8"/>
  <c r="AG223" i="8"/>
  <c r="AJ191" i="8"/>
  <c r="AH89" i="8"/>
  <c r="AJ56" i="8"/>
  <c r="AT56" i="8" s="1"/>
  <c r="AH136" i="8"/>
  <c r="AJ140" i="8"/>
  <c r="AI156" i="11"/>
  <c r="AS156" i="11" s="1"/>
  <c r="AD259" i="11"/>
  <c r="AD108" i="11"/>
  <c r="AI199" i="11"/>
  <c r="AS199" i="11" s="1"/>
  <c r="AJ102" i="8"/>
  <c r="AT102" i="8" s="1"/>
  <c r="AG123" i="8"/>
  <c r="AH50" i="8"/>
  <c r="AC123" i="8"/>
  <c r="AE123" i="8" s="1"/>
  <c r="AH119" i="8"/>
  <c r="AC89" i="8"/>
  <c r="AT74" i="8"/>
  <c r="AF50" i="8"/>
  <c r="AE109" i="8"/>
  <c r="AC119" i="8"/>
  <c r="AE119" i="8" s="1"/>
  <c r="AT34" i="8"/>
  <c r="AE167" i="8"/>
  <c r="AJ38" i="8"/>
  <c r="AJ17" i="8"/>
  <c r="AT17" i="8" s="1"/>
  <c r="AT158" i="8"/>
  <c r="AE253" i="8"/>
  <c r="AJ27" i="8"/>
  <c r="AT27" i="8" s="1"/>
  <c r="AG96" i="8"/>
  <c r="AG98" i="8"/>
  <c r="AF136" i="8"/>
  <c r="AG136" i="8"/>
  <c r="AJ240" i="8"/>
  <c r="AH112" i="8"/>
  <c r="AS109" i="11"/>
  <c r="AS90" i="11"/>
  <c r="AC96" i="8"/>
  <c r="R87" i="11"/>
  <c r="R286" i="11" s="1"/>
  <c r="R289" i="11" s="1"/>
  <c r="AS31" i="11"/>
  <c r="AG112" i="8"/>
  <c r="AF119" i="8"/>
  <c r="AF89" i="8"/>
  <c r="AS148" i="11"/>
  <c r="AD159" i="11"/>
  <c r="AS62" i="11"/>
  <c r="AI196" i="11"/>
  <c r="AC115" i="11"/>
  <c r="AI108" i="11"/>
  <c r="AE122" i="8"/>
  <c r="AT122" i="8" s="1"/>
  <c r="AE113" i="8"/>
  <c r="AE240" i="8"/>
  <c r="AG115" i="11"/>
  <c r="AC100" i="11"/>
  <c r="AC287" i="11" s="1"/>
  <c r="AB100" i="11"/>
  <c r="AB287" i="11" s="1"/>
  <c r="AF100" i="11"/>
  <c r="AF287" i="11" s="1"/>
  <c r="AC98" i="8"/>
  <c r="AE98" i="8" s="1"/>
  <c r="AE115" i="11"/>
  <c r="AS164" i="11"/>
  <c r="AD89" i="8"/>
  <c r="AS93" i="11"/>
  <c r="AI166" i="11"/>
  <c r="AS166" i="11" s="1"/>
  <c r="AJ265" i="8"/>
  <c r="AT265" i="8" s="1"/>
  <c r="AJ273" i="8"/>
  <c r="AT273" i="8" s="1"/>
  <c r="Y282" i="11"/>
  <c r="Y288" i="11" s="1"/>
  <c r="R282" i="11"/>
  <c r="AH96" i="8"/>
  <c r="AF255" i="11"/>
  <c r="AC255" i="11"/>
  <c r="AE255" i="11"/>
  <c r="AB255" i="11"/>
  <c r="AG255" i="11"/>
  <c r="AD96" i="8"/>
  <c r="AD107" i="11"/>
  <c r="AG100" i="11"/>
  <c r="AG287" i="11" s="1"/>
  <c r="AD84" i="11"/>
  <c r="AD53" i="11"/>
  <c r="AS53" i="11" s="1"/>
  <c r="AD24" i="11"/>
  <c r="AC151" i="11"/>
  <c r="AG151" i="11"/>
  <c r="AF151" i="11"/>
  <c r="AE151" i="11"/>
  <c r="AB151" i="11"/>
  <c r="AD151" i="11" s="1"/>
  <c r="AD145" i="11"/>
  <c r="AI165" i="11"/>
  <c r="AI171" i="11"/>
  <c r="AS171" i="11" s="1"/>
  <c r="AI145" i="11"/>
  <c r="AD30" i="11"/>
  <c r="AF205" i="11"/>
  <c r="AC205" i="11"/>
  <c r="AE205" i="11"/>
  <c r="AB205" i="11"/>
  <c r="AG205" i="11"/>
  <c r="AE251" i="8"/>
  <c r="AJ167" i="8"/>
  <c r="AH108" i="8"/>
  <c r="AJ252" i="8"/>
  <c r="AT252" i="8" s="1"/>
  <c r="AJ251" i="8"/>
  <c r="AE191" i="8"/>
  <c r="AE116" i="8"/>
  <c r="AJ115" i="8"/>
  <c r="S76" i="8"/>
  <c r="S290" i="8" s="1"/>
  <c r="S293" i="8" s="1"/>
  <c r="AE153" i="8"/>
  <c r="AD127" i="8"/>
  <c r="AG101" i="8"/>
  <c r="AE143" i="8"/>
  <c r="AF98" i="8"/>
  <c r="AJ253" i="8"/>
  <c r="AJ128" i="8"/>
  <c r="AC101" i="8"/>
  <c r="AE101" i="8" s="1"/>
  <c r="AC108" i="8"/>
  <c r="AH101" i="8"/>
  <c r="AF108" i="8"/>
  <c r="AE274" i="8"/>
  <c r="AC210" i="8"/>
  <c r="AE210" i="8" s="1"/>
  <c r="AH210" i="8"/>
  <c r="AF210" i="8"/>
  <c r="AG210" i="8"/>
  <c r="AF110" i="8"/>
  <c r="AG110" i="8"/>
  <c r="AD106" i="8"/>
  <c r="AD137" i="8"/>
  <c r="AG125" i="8"/>
  <c r="AC125" i="8"/>
  <c r="AE125" i="8" s="1"/>
  <c r="AD97" i="8"/>
  <c r="AE97" i="8" s="1"/>
  <c r="AG97" i="8"/>
  <c r="AH125" i="8"/>
  <c r="AH97" i="8"/>
  <c r="AH110" i="8"/>
  <c r="AF106" i="8"/>
  <c r="AF97" i="8"/>
  <c r="AD108" i="8"/>
  <c r="AF125" i="8"/>
  <c r="AJ153" i="8"/>
  <c r="AJ116" i="8"/>
  <c r="AJ120" i="8"/>
  <c r="AT120" i="8" s="1"/>
  <c r="AC110" i="8"/>
  <c r="AE110" i="8" s="1"/>
  <c r="AC201" i="8"/>
  <c r="AE61" i="8"/>
  <c r="AC221" i="8"/>
  <c r="AD221" i="8"/>
  <c r="AD50" i="8"/>
  <c r="AE50" i="8" s="1"/>
  <c r="AT183" i="8"/>
  <c r="AE220" i="8"/>
  <c r="AA76" i="8"/>
  <c r="AA290" i="8" s="1"/>
  <c r="AD201" i="8"/>
  <c r="AJ113" i="8"/>
  <c r="AG221" i="8"/>
  <c r="AG50" i="8"/>
  <c r="AT269" i="8"/>
  <c r="AF188" i="8"/>
  <c r="AC188" i="8"/>
  <c r="AE188" i="8" s="1"/>
  <c r="AG188" i="8"/>
  <c r="AH188" i="8"/>
  <c r="Z76" i="8"/>
  <c r="Z290" i="8" s="1"/>
  <c r="AC127" i="8"/>
  <c r="AG127" i="8"/>
  <c r="AF127" i="8"/>
  <c r="AT64" i="8"/>
  <c r="AE180" i="8"/>
  <c r="AE54" i="8"/>
  <c r="AE261" i="8"/>
  <c r="AT261" i="8" s="1"/>
  <c r="AE104" i="8"/>
  <c r="AS187" i="11"/>
  <c r="AG86" i="11"/>
  <c r="AF86" i="11"/>
  <c r="AB86" i="11"/>
  <c r="AE86" i="11"/>
  <c r="AC86" i="11"/>
  <c r="AI136" i="11"/>
  <c r="AS136" i="11" s="1"/>
  <c r="AG31" i="8"/>
  <c r="AC31" i="8"/>
  <c r="AH31" i="8"/>
  <c r="AD31" i="8"/>
  <c r="AF31" i="8"/>
  <c r="AG150" i="11"/>
  <c r="AE150" i="11"/>
  <c r="AB150" i="11"/>
  <c r="AD150" i="11" s="1"/>
  <c r="AF150" i="11"/>
  <c r="AS158" i="11"/>
  <c r="AD157" i="11"/>
  <c r="AJ109" i="8"/>
  <c r="AC85" i="11"/>
  <c r="AB85" i="11"/>
  <c r="AE85" i="11"/>
  <c r="AF85" i="11"/>
  <c r="AG85" i="11"/>
  <c r="AE169" i="11"/>
  <c r="AB169" i="11"/>
  <c r="AC169" i="11"/>
  <c r="AF169" i="11"/>
  <c r="AG169" i="11"/>
  <c r="AD94" i="11"/>
  <c r="AI30" i="11"/>
  <c r="AE63" i="11"/>
  <c r="AF63" i="11"/>
  <c r="AB63" i="11"/>
  <c r="AC63" i="11"/>
  <c r="AG63" i="11"/>
  <c r="AG139" i="11"/>
  <c r="AC139" i="11"/>
  <c r="AE139" i="11"/>
  <c r="AB139" i="11"/>
  <c r="AF139" i="11"/>
  <c r="AI157" i="11"/>
  <c r="AD18" i="11"/>
  <c r="AI107" i="11"/>
  <c r="AE172" i="11"/>
  <c r="AG172" i="11"/>
  <c r="AB172" i="11"/>
  <c r="AC172" i="11"/>
  <c r="AF172" i="11"/>
  <c r="AG152" i="11"/>
  <c r="AF152" i="11"/>
  <c r="AC152" i="11"/>
  <c r="AE152" i="11"/>
  <c r="AB152" i="11"/>
  <c r="AJ143" i="8"/>
  <c r="AF141" i="8"/>
  <c r="AG106" i="8"/>
  <c r="AE128" i="8"/>
  <c r="AF137" i="8"/>
  <c r="AG92" i="8"/>
  <c r="AE239" i="8"/>
  <c r="AD141" i="8"/>
  <c r="AC141" i="8"/>
  <c r="AG141" i="8"/>
  <c r="AC106" i="8"/>
  <c r="AH92" i="8"/>
  <c r="AG137" i="8"/>
  <c r="AC137" i="8"/>
  <c r="AJ20" i="8"/>
  <c r="AE216" i="8"/>
  <c r="AH231" i="8"/>
  <c r="AE150" i="8"/>
  <c r="AF227" i="8"/>
  <c r="AG227" i="8"/>
  <c r="AG231" i="8"/>
  <c r="AC231" i="8"/>
  <c r="AE231" i="8" s="1"/>
  <c r="AJ72" i="8"/>
  <c r="AT72" i="8" s="1"/>
  <c r="AD33" i="8"/>
  <c r="AC33" i="8"/>
  <c r="AH33" i="8"/>
  <c r="AG33" i="8"/>
  <c r="AF33" i="8"/>
  <c r="S286" i="8"/>
  <c r="AJ57" i="8"/>
  <c r="AE249" i="8"/>
  <c r="AJ37" i="8"/>
  <c r="AT37" i="8" s="1"/>
  <c r="AJ186" i="8"/>
  <c r="AT186" i="8" s="1"/>
  <c r="AD257" i="8"/>
  <c r="AF257" i="8"/>
  <c r="AG257" i="8"/>
  <c r="AC257" i="8"/>
  <c r="AH257" i="8"/>
  <c r="AD92" i="8"/>
  <c r="AC92" i="8"/>
  <c r="AE170" i="8"/>
  <c r="AE270" i="8"/>
  <c r="AG69" i="8"/>
  <c r="AC69" i="8"/>
  <c r="AH69" i="8"/>
  <c r="AF69" i="8"/>
  <c r="AD69" i="8"/>
  <c r="AE42" i="8"/>
  <c r="AE282" i="8"/>
  <c r="AJ249" i="8"/>
  <c r="AH206" i="8"/>
  <c r="AG206" i="8"/>
  <c r="AC206" i="8"/>
  <c r="AE206" i="8" s="1"/>
  <c r="AF206" i="8"/>
  <c r="AJ215" i="8"/>
  <c r="AE208" i="8"/>
  <c r="AE219" i="8"/>
  <c r="AE268" i="8"/>
  <c r="AJ268" i="8"/>
  <c r="AJ54" i="8"/>
  <c r="AJ264" i="8"/>
  <c r="AT264" i="8" s="1"/>
  <c r="AE149" i="8"/>
  <c r="AJ49" i="8"/>
  <c r="AT49" i="8" s="1"/>
  <c r="AE256" i="8"/>
  <c r="AE244" i="8"/>
  <c r="AF148" i="8"/>
  <c r="AC148" i="8"/>
  <c r="AH148" i="8"/>
  <c r="AG148" i="8"/>
  <c r="AD148" i="8"/>
  <c r="AH198" i="8"/>
  <c r="AG198" i="8"/>
  <c r="AF198" i="8"/>
  <c r="AD198" i="8"/>
  <c r="AC198" i="8"/>
  <c r="AG175" i="8"/>
  <c r="AH175" i="8"/>
  <c r="AF175" i="8"/>
  <c r="AC175" i="8"/>
  <c r="AD175" i="8"/>
  <c r="AE59" i="8"/>
  <c r="AH224" i="8"/>
  <c r="AG224" i="8"/>
  <c r="AF224" i="8"/>
  <c r="AC224" i="8"/>
  <c r="AD224" i="8"/>
  <c r="AJ187" i="8"/>
  <c r="AT187" i="8" s="1"/>
  <c r="AE134" i="8"/>
  <c r="AE168" i="8"/>
  <c r="AJ184" i="8"/>
  <c r="AT184" i="8" s="1"/>
  <c r="AJ274" i="8"/>
  <c r="AJ52" i="8"/>
  <c r="AJ238" i="8"/>
  <c r="AE57" i="8"/>
  <c r="AE212" i="8"/>
  <c r="AJ212" i="8"/>
  <c r="AD139" i="8"/>
  <c r="AG139" i="8"/>
  <c r="AH139" i="8"/>
  <c r="AF139" i="8"/>
  <c r="AC139" i="8"/>
  <c r="AE139" i="8" s="1"/>
  <c r="AJ262" i="8"/>
  <c r="AT262" i="8" s="1"/>
  <c r="AE135" i="8"/>
  <c r="AF130" i="8"/>
  <c r="AG130" i="8"/>
  <c r="AC130" i="8"/>
  <c r="AD130" i="8"/>
  <c r="AH130" i="8"/>
  <c r="AH225" i="8"/>
  <c r="AG225" i="8"/>
  <c r="AC225" i="8"/>
  <c r="AD225" i="8"/>
  <c r="AF225" i="8"/>
  <c r="AJ149" i="8"/>
  <c r="AE174" i="8"/>
  <c r="AJ174" i="8"/>
  <c r="AJ270" i="8"/>
  <c r="AF129" i="8"/>
  <c r="AG129" i="8"/>
  <c r="AH129" i="8"/>
  <c r="AC129" i="8"/>
  <c r="AD129" i="8"/>
  <c r="AD176" i="8"/>
  <c r="AH176" i="8"/>
  <c r="AG176" i="8"/>
  <c r="AF176" i="8"/>
  <c r="AC176" i="8"/>
  <c r="AE176" i="8" s="1"/>
  <c r="AF155" i="8"/>
  <c r="AA84" i="8"/>
  <c r="AA291" i="8" s="1"/>
  <c r="AC155" i="8"/>
  <c r="AH155" i="8"/>
  <c r="AH84" i="8" s="1"/>
  <c r="AH291" i="8" s="1"/>
  <c r="AG155" i="8"/>
  <c r="AG84" i="8" s="1"/>
  <c r="AG291" i="8" s="1"/>
  <c r="AC111" i="8"/>
  <c r="AD111" i="8"/>
  <c r="AH111" i="8"/>
  <c r="AG111" i="8"/>
  <c r="AF111" i="8"/>
  <c r="AG145" i="8"/>
  <c r="AH145" i="8"/>
  <c r="AF145" i="8"/>
  <c r="AC145" i="8"/>
  <c r="AD145" i="8"/>
  <c r="AC213" i="8"/>
  <c r="AG213" i="8"/>
  <c r="AD213" i="8"/>
  <c r="AH213" i="8"/>
  <c r="AF213" i="8"/>
  <c r="AE285" i="8"/>
  <c r="AJ165" i="8"/>
  <c r="AT165" i="8" s="1"/>
  <c r="AE52" i="8"/>
  <c r="AE238" i="8"/>
  <c r="AE43" i="8"/>
  <c r="AJ150" i="8"/>
  <c r="AJ256" i="8"/>
  <c r="AJ209" i="8"/>
  <c r="AT209" i="8" s="1"/>
  <c r="AJ282" i="8"/>
  <c r="AJ135" i="8"/>
  <c r="AJ182" i="8"/>
  <c r="AT182" i="8" s="1"/>
  <c r="AJ216" i="8"/>
  <c r="AG114" i="8"/>
  <c r="AD114" i="8"/>
  <c r="AH114" i="8"/>
  <c r="AF114" i="8"/>
  <c r="AC114" i="8"/>
  <c r="AF205" i="8"/>
  <c r="AH205" i="8"/>
  <c r="AG205" i="8"/>
  <c r="AD205" i="8"/>
  <c r="AC205" i="8"/>
  <c r="AC267" i="8"/>
  <c r="AE267" i="8" s="1"/>
  <c r="AH267" i="8"/>
  <c r="AF267" i="8"/>
  <c r="AG267" i="8"/>
  <c r="AJ248" i="8"/>
  <c r="AT248" i="8" s="1"/>
  <c r="AJ208" i="8"/>
  <c r="AT26" i="8"/>
  <c r="AF118" i="8"/>
  <c r="Z286" i="8"/>
  <c r="Z292" i="8" s="1"/>
  <c r="AH118" i="8"/>
  <c r="AT281" i="8"/>
  <c r="AG118" i="8"/>
  <c r="AJ94" i="8"/>
  <c r="AT94" i="8" s="1"/>
  <c r="AD107" i="8"/>
  <c r="AH107" i="8"/>
  <c r="AG107" i="8"/>
  <c r="AC107" i="8"/>
  <c r="AF107" i="8"/>
  <c r="AE63" i="8"/>
  <c r="AE250" i="8"/>
  <c r="AJ214" i="8"/>
  <c r="AT214" i="8" s="1"/>
  <c r="AG197" i="8"/>
  <c r="AD197" i="8"/>
  <c r="AH197" i="8"/>
  <c r="AF197" i="8"/>
  <c r="AC197" i="8"/>
  <c r="AH222" i="8"/>
  <c r="AC222" i="8"/>
  <c r="AG222" i="8"/>
  <c r="AF222" i="8"/>
  <c r="AD222" i="8"/>
  <c r="AF232" i="8"/>
  <c r="AC232" i="8"/>
  <c r="AD232" i="8"/>
  <c r="AH232" i="8"/>
  <c r="AG232" i="8"/>
  <c r="AE35" i="8"/>
  <c r="AC211" i="8"/>
  <c r="AG211" i="8"/>
  <c r="AD211" i="8"/>
  <c r="AF211" i="8"/>
  <c r="AH211" i="8"/>
  <c r="AD226" i="8"/>
  <c r="AG226" i="8"/>
  <c r="AH226" i="8"/>
  <c r="AC226" i="8"/>
  <c r="AF226" i="8"/>
  <c r="AG192" i="8"/>
  <c r="AH192" i="8"/>
  <c r="AD192" i="8"/>
  <c r="AF192" i="8"/>
  <c r="AC192" i="8"/>
  <c r="AE263" i="8"/>
  <c r="AH230" i="8"/>
  <c r="AC230" i="8"/>
  <c r="AD230" i="8"/>
  <c r="AG230" i="8"/>
  <c r="AF230" i="8"/>
  <c r="AE32" i="8"/>
  <c r="AJ258" i="8"/>
  <c r="AT258" i="8" s="1"/>
  <c r="AJ59" i="8"/>
  <c r="AJ285" i="8"/>
  <c r="AJ134" i="8"/>
  <c r="AJ263" i="8"/>
  <c r="AJ193" i="8"/>
  <c r="AT193" i="8" s="1"/>
  <c r="AE215" i="8"/>
  <c r="AT215" i="8" s="1"/>
  <c r="AF179" i="8"/>
  <c r="AH179" i="8"/>
  <c r="AD179" i="8"/>
  <c r="AC179" i="8"/>
  <c r="AG179" i="8"/>
  <c r="AJ61" i="8"/>
  <c r="AJ203" i="8"/>
  <c r="AT203" i="8" s="1"/>
  <c r="AG178" i="8"/>
  <c r="AH178" i="8"/>
  <c r="AF178" i="8"/>
  <c r="AC178" i="8"/>
  <c r="AD178" i="8"/>
  <c r="AD91" i="11"/>
  <c r="AI84" i="11"/>
  <c r="AF200" i="11"/>
  <c r="AE200" i="11"/>
  <c r="AC200" i="11"/>
  <c r="AB200" i="11"/>
  <c r="AG200" i="11"/>
  <c r="AB192" i="11"/>
  <c r="AC192" i="11"/>
  <c r="AF192" i="11"/>
  <c r="AE192" i="11"/>
  <c r="AG192" i="11"/>
  <c r="AC47" i="11"/>
  <c r="AB47" i="11"/>
  <c r="AG47" i="11"/>
  <c r="AF47" i="11"/>
  <c r="AE47" i="11"/>
  <c r="AD165" i="11"/>
  <c r="AD92" i="11"/>
  <c r="AJ23" i="8"/>
  <c r="AT23" i="8" s="1"/>
  <c r="AD170" i="11"/>
  <c r="AS170" i="11" s="1"/>
  <c r="AI18" i="11"/>
  <c r="AC140" i="11"/>
  <c r="AE140" i="11"/>
  <c r="AF140" i="11"/>
  <c r="AG140" i="11"/>
  <c r="AB140" i="11"/>
  <c r="AD140" i="11" s="1"/>
  <c r="AE267" i="11"/>
  <c r="AG267" i="11"/>
  <c r="AF267" i="11"/>
  <c r="AB267" i="11"/>
  <c r="AD267" i="11" s="1"/>
  <c r="AI159" i="11"/>
  <c r="AE93" i="8"/>
  <c r="AJ93" i="8"/>
  <c r="AJ105" i="8"/>
  <c r="AT105" i="8" s="1"/>
  <c r="AE115" i="8"/>
  <c r="AH117" i="8"/>
  <c r="AG117" i="8"/>
  <c r="AF117" i="8"/>
  <c r="AD117" i="8"/>
  <c r="AC117" i="8"/>
  <c r="AJ32" i="8"/>
  <c r="AR20" i="8"/>
  <c r="AR76" i="8" s="1"/>
  <c r="AR290" i="8" s="1"/>
  <c r="AQ76" i="8"/>
  <c r="AQ290" i="8"/>
  <c r="AJ250" i="8"/>
  <c r="AI91" i="11"/>
  <c r="AE100" i="11"/>
  <c r="AE287" i="11" s="1"/>
  <c r="AG100" i="8"/>
  <c r="AH100" i="8"/>
  <c r="AF100" i="8"/>
  <c r="AC100" i="8"/>
  <c r="AE100" i="8" s="1"/>
  <c r="AA286" i="8"/>
  <c r="AA292" i="8" s="1"/>
  <c r="AI130" i="11"/>
  <c r="AS130" i="11" s="1"/>
  <c r="AI224" i="11"/>
  <c r="AS224" i="11" s="1"/>
  <c r="AI256" i="11"/>
  <c r="AI203" i="11"/>
  <c r="AS203" i="11" s="1"/>
  <c r="AI212" i="11"/>
  <c r="AS212" i="11" s="1"/>
  <c r="AI204" i="11"/>
  <c r="AS204" i="11" s="1"/>
  <c r="AI66" i="11"/>
  <c r="AS66" i="11" s="1"/>
  <c r="Y87" i="11"/>
  <c r="AQ282" i="11"/>
  <c r="AQ288" i="11" s="1"/>
  <c r="AI94" i="11"/>
  <c r="AI73" i="11"/>
  <c r="AI64" i="11"/>
  <c r="AI32" i="11"/>
  <c r="AS32" i="11" s="1"/>
  <c r="AJ168" i="8"/>
  <c r="AI57" i="11"/>
  <c r="AS57" i="11" s="1"/>
  <c r="AQ25" i="11"/>
  <c r="AQ87" i="11" s="1"/>
  <c r="AP286" i="11"/>
  <c r="AP87" i="11"/>
  <c r="AI122" i="11"/>
  <c r="AS122" i="11" s="1"/>
  <c r="AS251" i="11"/>
  <c r="AI251" i="11"/>
  <c r="AI217" i="11"/>
  <c r="AS217" i="11" s="1"/>
  <c r="AS89" i="11"/>
  <c r="AI258" i="11"/>
  <c r="AS258" i="11" s="1"/>
  <c r="AI131" i="11"/>
  <c r="AS131" i="11" s="1"/>
  <c r="AB15" i="11"/>
  <c r="AG15" i="11"/>
  <c r="AC15" i="11"/>
  <c r="AE15" i="11"/>
  <c r="AF15" i="11"/>
  <c r="Z87" i="11"/>
  <c r="AF114" i="11"/>
  <c r="AG114" i="11"/>
  <c r="AC114" i="11"/>
  <c r="AE114" i="11"/>
  <c r="AB114" i="11"/>
  <c r="Z282" i="11"/>
  <c r="Z288" i="11" s="1"/>
  <c r="Y292" i="8"/>
  <c r="Y287" i="8"/>
  <c r="Y293" i="8" s="1"/>
  <c r="AI133" i="11"/>
  <c r="AQ92" i="11"/>
  <c r="AQ100" i="11" s="1"/>
  <c r="AQ287" i="11" s="1"/>
  <c r="AP100" i="11"/>
  <c r="AP287" i="11" s="1"/>
  <c r="AE47" i="8"/>
  <c r="AJ47" i="8"/>
  <c r="AI225" i="11"/>
  <c r="AS225" i="11" s="1"/>
  <c r="AF184" i="11"/>
  <c r="AC184" i="11"/>
  <c r="AE184" i="11"/>
  <c r="AG184" i="11"/>
  <c r="AB184" i="11"/>
  <c r="AD184" i="11" s="1"/>
  <c r="AI61" i="11"/>
  <c r="AS61" i="11" s="1"/>
  <c r="AS256" i="11"/>
  <c r="X286" i="11"/>
  <c r="X283" i="11"/>
  <c r="X289" i="11" s="1"/>
  <c r="AQ292" i="8"/>
  <c r="AS25" i="11"/>
  <c r="AI40" i="11"/>
  <c r="AS40" i="11" s="1"/>
  <c r="AS73" i="11"/>
  <c r="AI211" i="11"/>
  <c r="AI259" i="11"/>
  <c r="AI92" i="11"/>
  <c r="AI181" i="11"/>
  <c r="AS181" i="11" s="1"/>
  <c r="AG26" i="11"/>
  <c r="AE26" i="11"/>
  <c r="AB26" i="11"/>
  <c r="AD26" i="11" s="1"/>
  <c r="AF26" i="11"/>
  <c r="AS133" i="11"/>
  <c r="AS51" i="11"/>
  <c r="AS64" i="11"/>
  <c r="AI241" i="11"/>
  <c r="AS241" i="11" s="1"/>
  <c r="AS211" i="11"/>
  <c r="AJ63" i="8"/>
  <c r="AS110" i="11" l="1"/>
  <c r="AT43" i="8"/>
  <c r="AT279" i="8"/>
  <c r="AT38" i="8"/>
  <c r="AT169" i="8"/>
  <c r="AT133" i="8"/>
  <c r="AJ28" i="8"/>
  <c r="AT218" i="8"/>
  <c r="AT177" i="8"/>
  <c r="AT196" i="8"/>
  <c r="AT138" i="8"/>
  <c r="AJ162" i="8"/>
  <c r="AT162" i="8" s="1"/>
  <c r="AJ207" i="8"/>
  <c r="AE223" i="8"/>
  <c r="AT104" i="8"/>
  <c r="AT277" i="8"/>
  <c r="AS16" i="11"/>
  <c r="AE28" i="8"/>
  <c r="AJ30" i="8"/>
  <c r="AT30" i="8" s="1"/>
  <c r="AS237" i="11"/>
  <c r="AS24" i="11"/>
  <c r="AI143" i="11"/>
  <c r="AD143" i="11"/>
  <c r="AT278" i="8"/>
  <c r="AT171" i="8"/>
  <c r="AS145" i="11"/>
  <c r="AT131" i="8"/>
  <c r="AT126" i="8"/>
  <c r="AJ132" i="8"/>
  <c r="AT132" i="8" s="1"/>
  <c r="AJ91" i="8"/>
  <c r="AT156" i="8"/>
  <c r="AT237" i="8"/>
  <c r="AJ246" i="8"/>
  <c r="AT239" i="8"/>
  <c r="AT88" i="8"/>
  <c r="AT200" i="8"/>
  <c r="AJ66" i="8"/>
  <c r="AT66" i="8" s="1"/>
  <c r="AT244" i="8"/>
  <c r="AT170" i="8"/>
  <c r="AT151" i="8"/>
  <c r="AT219" i="8"/>
  <c r="AE60" i="8"/>
  <c r="AT275" i="8"/>
  <c r="AT53" i="8"/>
  <c r="AT220" i="8"/>
  <c r="AT62" i="8"/>
  <c r="AE91" i="8"/>
  <c r="AJ283" i="8"/>
  <c r="AT283" i="8" s="1"/>
  <c r="AJ221" i="8"/>
  <c r="AT236" i="8"/>
  <c r="AT46" i="8"/>
  <c r="AE173" i="8"/>
  <c r="AJ99" i="8"/>
  <c r="AT99" i="8" s="1"/>
  <c r="AJ73" i="8"/>
  <c r="AT73" i="8" s="1"/>
  <c r="AJ35" i="8"/>
  <c r="AT35" i="8" s="1"/>
  <c r="AT242" i="8"/>
  <c r="AE185" i="8"/>
  <c r="AJ60" i="8"/>
  <c r="AJ247" i="8"/>
  <c r="AT247" i="8" s="1"/>
  <c r="AJ185" i="8"/>
  <c r="AT194" i="8"/>
  <c r="AT199" i="8"/>
  <c r="AT150" i="8"/>
  <c r="AJ173" i="8"/>
  <c r="AJ223" i="8"/>
  <c r="AD115" i="11"/>
  <c r="AS30" i="11"/>
  <c r="AT229" i="8"/>
  <c r="AE213" i="8"/>
  <c r="AT163" i="8"/>
  <c r="AJ201" i="8"/>
  <c r="AJ231" i="8"/>
  <c r="AT231" i="8" s="1"/>
  <c r="AT42" i="8"/>
  <c r="AE257" i="8"/>
  <c r="AT59" i="8"/>
  <c r="AS196" i="11"/>
  <c r="AT63" i="8"/>
  <c r="AT260" i="8"/>
  <c r="AW166" i="8" s="1"/>
  <c r="AT55" i="8"/>
  <c r="AJ121" i="8"/>
  <c r="AJ188" i="8"/>
  <c r="AT188" i="8" s="1"/>
  <c r="AE246" i="8"/>
  <c r="AT180" i="8"/>
  <c r="AE201" i="8"/>
  <c r="AT61" i="8"/>
  <c r="AT285" i="8"/>
  <c r="AT208" i="8"/>
  <c r="AT216" i="8"/>
  <c r="AT282" i="8"/>
  <c r="AT57" i="8"/>
  <c r="AE207" i="8"/>
  <c r="AS238" i="11"/>
  <c r="AT140" i="8"/>
  <c r="AJ103" i="8"/>
  <c r="AJ123" i="8"/>
  <c r="AT123" i="8" s="1"/>
  <c r="AS91" i="11"/>
  <c r="AD172" i="11"/>
  <c r="AJ16" i="8"/>
  <c r="AE103" i="8"/>
  <c r="AE121" i="8"/>
  <c r="AS14" i="11"/>
  <c r="AS157" i="11"/>
  <c r="AS108" i="11"/>
  <c r="AD100" i="11"/>
  <c r="AD287" i="11" s="1"/>
  <c r="AS159" i="11"/>
  <c r="AS107" i="11"/>
  <c r="AE89" i="8"/>
  <c r="AS84" i="11"/>
  <c r="AI115" i="11"/>
  <c r="AS115" i="11" s="1"/>
  <c r="AS120" i="11"/>
  <c r="AE16" i="8"/>
  <c r="AJ96" i="8"/>
  <c r="AS92" i="11"/>
  <c r="AS259" i="11"/>
  <c r="AS94" i="11"/>
  <c r="AJ210" i="8"/>
  <c r="AT210" i="8" s="1"/>
  <c r="AT256" i="8"/>
  <c r="AT52" i="8"/>
  <c r="AJ50" i="8"/>
  <c r="AT50" i="8" s="1"/>
  <c r="AD85" i="11"/>
  <c r="AD86" i="11"/>
  <c r="AT191" i="8"/>
  <c r="AJ89" i="8"/>
  <c r="AT109" i="8"/>
  <c r="AD205" i="11"/>
  <c r="AD255" i="11"/>
  <c r="AJ136" i="8"/>
  <c r="AT136" i="8" s="1"/>
  <c r="AT251" i="8"/>
  <c r="AT253" i="8"/>
  <c r="AJ119" i="8"/>
  <c r="AT119" i="8" s="1"/>
  <c r="AT274" i="8"/>
  <c r="AT167" i="8"/>
  <c r="AT32" i="8"/>
  <c r="AF76" i="8"/>
  <c r="AG76" i="8"/>
  <c r="AT240" i="8"/>
  <c r="AE96" i="8"/>
  <c r="AH76" i="8"/>
  <c r="AJ112" i="8"/>
  <c r="AT112" i="8" s="1"/>
  <c r="AT113" i="8"/>
  <c r="AJ98" i="8"/>
  <c r="AT98" i="8" s="1"/>
  <c r="AE106" i="8"/>
  <c r="AS18" i="11"/>
  <c r="AI151" i="11"/>
  <c r="AS151" i="11" s="1"/>
  <c r="AD192" i="11"/>
  <c r="AD200" i="11"/>
  <c r="AI139" i="11"/>
  <c r="AD169" i="11"/>
  <c r="AI172" i="11"/>
  <c r="AS172" i="11" s="1"/>
  <c r="AI255" i="11"/>
  <c r="AD139" i="11"/>
  <c r="AI169" i="11"/>
  <c r="AI152" i="11"/>
  <c r="AE108" i="8"/>
  <c r="AG282" i="11"/>
  <c r="AG288" i="11" s="1"/>
  <c r="AD152" i="11"/>
  <c r="AI86" i="11"/>
  <c r="AC87" i="11"/>
  <c r="AC286" i="11" s="1"/>
  <c r="AS165" i="11"/>
  <c r="AT143" i="8"/>
  <c r="AI205" i="11"/>
  <c r="AT116" i="8"/>
  <c r="AT153" i="8"/>
  <c r="AJ108" i="8"/>
  <c r="AE137" i="8"/>
  <c r="AJ101" i="8"/>
  <c r="AT101" i="8" s="1"/>
  <c r="AT115" i="8"/>
  <c r="AE127" i="8"/>
  <c r="AT128" i="8"/>
  <c r="AJ125" i="8"/>
  <c r="AT125" i="8" s="1"/>
  <c r="AJ97" i="8"/>
  <c r="AT97" i="8" s="1"/>
  <c r="AJ127" i="8"/>
  <c r="AC76" i="8"/>
  <c r="AC290" i="8" s="1"/>
  <c r="AJ106" i="8"/>
  <c r="AJ110" i="8"/>
  <c r="AT110" i="8" s="1"/>
  <c r="AT134" i="8"/>
  <c r="AJ114" i="8"/>
  <c r="AJ225" i="8"/>
  <c r="AD76" i="8"/>
  <c r="AD290" i="8" s="1"/>
  <c r="AT54" i="8"/>
  <c r="AJ69" i="8"/>
  <c r="AJ257" i="8"/>
  <c r="AE221" i="8"/>
  <c r="AE205" i="8"/>
  <c r="AJ31" i="8"/>
  <c r="AI267" i="11"/>
  <c r="AS267" i="11" s="1"/>
  <c r="AD63" i="11"/>
  <c r="AI150" i="11"/>
  <c r="AS150" i="11" s="1"/>
  <c r="AI192" i="11"/>
  <c r="AJ141" i="8"/>
  <c r="AI85" i="11"/>
  <c r="AE31" i="8"/>
  <c r="AI140" i="11"/>
  <c r="AS140" i="11" s="1"/>
  <c r="AI63" i="11"/>
  <c r="AE141" i="8"/>
  <c r="AJ92" i="8"/>
  <c r="AE111" i="8"/>
  <c r="AJ137" i="8"/>
  <c r="AE129" i="8"/>
  <c r="AD286" i="8"/>
  <c r="AD292" i="8" s="1"/>
  <c r="AE230" i="8"/>
  <c r="AE232" i="8"/>
  <c r="AT149" i="8"/>
  <c r="AE224" i="8"/>
  <c r="AJ175" i="8"/>
  <c r="AE148" i="8"/>
  <c r="AT249" i="8"/>
  <c r="AE92" i="8"/>
  <c r="AE33" i="8"/>
  <c r="AJ227" i="8"/>
  <c r="AT227" i="8" s="1"/>
  <c r="AT168" i="8"/>
  <c r="AJ118" i="8"/>
  <c r="AT118" i="8" s="1"/>
  <c r="AT270" i="8"/>
  <c r="AJ33" i="8"/>
  <c r="AT20" i="8"/>
  <c r="AJ197" i="8"/>
  <c r="AT238" i="8"/>
  <c r="AE175" i="8"/>
  <c r="AT268" i="8"/>
  <c r="AE69" i="8"/>
  <c r="AT250" i="8"/>
  <c r="AE226" i="8"/>
  <c r="AE197" i="8"/>
  <c r="AJ213" i="8"/>
  <c r="AJ206" i="8"/>
  <c r="AT206" i="8" s="1"/>
  <c r="AE179" i="8"/>
  <c r="AE145" i="8"/>
  <c r="AJ176" i="8"/>
  <c r="AT176" i="8" s="1"/>
  <c r="AJ129" i="8"/>
  <c r="AJ145" i="8"/>
  <c r="AE198" i="8"/>
  <c r="AT174" i="8"/>
  <c r="AE225" i="8"/>
  <c r="AJ224" i="8"/>
  <c r="AJ198" i="8"/>
  <c r="AJ148" i="8"/>
  <c r="Z287" i="8"/>
  <c r="Z293" i="8" s="1"/>
  <c r="AJ211" i="8"/>
  <c r="AJ267" i="8"/>
  <c r="AT267" i="8" s="1"/>
  <c r="AJ205" i="8"/>
  <c r="AE130" i="8"/>
  <c r="AC84" i="8"/>
  <c r="AC291" i="8" s="1"/>
  <c r="AE155" i="8"/>
  <c r="AJ178" i="8"/>
  <c r="AE192" i="8"/>
  <c r="AE114" i="8"/>
  <c r="AJ111" i="8"/>
  <c r="AJ130" i="8"/>
  <c r="AJ139" i="8"/>
  <c r="AT139" i="8" s="1"/>
  <c r="AT212" i="8"/>
  <c r="AE211" i="8"/>
  <c r="AF84" i="8"/>
  <c r="AF291" i="8" s="1"/>
  <c r="AJ155" i="8"/>
  <c r="AT135" i="8"/>
  <c r="AR287" i="8"/>
  <c r="AR293" i="8" s="1"/>
  <c r="AE107" i="8"/>
  <c r="AJ107" i="8"/>
  <c r="AQ287" i="8"/>
  <c r="AQ293" i="8" s="1"/>
  <c r="AJ179" i="8"/>
  <c r="AJ222" i="8"/>
  <c r="AJ230" i="8"/>
  <c r="AE178" i="8"/>
  <c r="AT263" i="8"/>
  <c r="AJ192" i="8"/>
  <c r="AJ226" i="8"/>
  <c r="AJ232" i="8"/>
  <c r="AE222" i="8"/>
  <c r="AI200" i="11"/>
  <c r="AS200" i="11" s="1"/>
  <c r="AI47" i="11"/>
  <c r="AD47" i="11"/>
  <c r="AG286" i="8"/>
  <c r="AG292" i="8" s="1"/>
  <c r="AT93" i="8"/>
  <c r="AC286" i="8"/>
  <c r="AC292" i="8" s="1"/>
  <c r="AJ117" i="8"/>
  <c r="AH286" i="8"/>
  <c r="AH292" i="8" s="1"/>
  <c r="AE117" i="8"/>
  <c r="AA287" i="8"/>
  <c r="AA293" i="8" s="1"/>
  <c r="AB282" i="11"/>
  <c r="AB288" i="11" s="1"/>
  <c r="AI15" i="11"/>
  <c r="AE87" i="11"/>
  <c r="AB87" i="11"/>
  <c r="AP283" i="11"/>
  <c r="AP289" i="11" s="1"/>
  <c r="AD114" i="11"/>
  <c r="AF282" i="11"/>
  <c r="AF288" i="11" s="1"/>
  <c r="AI26" i="11"/>
  <c r="AS26" i="11" s="1"/>
  <c r="AI184" i="11"/>
  <c r="AS184" i="11" s="1"/>
  <c r="AI114" i="11"/>
  <c r="AE282" i="11"/>
  <c r="AE288" i="11" s="1"/>
  <c r="Z286" i="11"/>
  <c r="Z283" i="11"/>
  <c r="Z289" i="11" s="1"/>
  <c r="AD15" i="11"/>
  <c r="AQ283" i="11"/>
  <c r="AQ289" i="11" s="1"/>
  <c r="AQ286" i="11"/>
  <c r="AI100" i="11"/>
  <c r="AI287" i="11" s="1"/>
  <c r="AT47" i="8"/>
  <c r="AC282" i="11"/>
  <c r="AC288" i="11" s="1"/>
  <c r="AF87" i="11"/>
  <c r="AG87" i="11"/>
  <c r="Y286" i="11"/>
  <c r="Y283" i="11"/>
  <c r="Y289" i="11" s="1"/>
  <c r="AJ100" i="8"/>
  <c r="AF286" i="8"/>
  <c r="AF292" i="8" s="1"/>
  <c r="AF287" i="8" l="1"/>
  <c r="AJ76" i="8"/>
  <c r="AT28" i="8"/>
  <c r="AT223" i="8"/>
  <c r="AF293" i="8"/>
  <c r="AT207" i="8"/>
  <c r="AT91" i="8"/>
  <c r="AH287" i="8"/>
  <c r="AH293" i="8" s="1"/>
  <c r="AT213" i="8"/>
  <c r="AS143" i="11"/>
  <c r="AJ286" i="8"/>
  <c r="AG287" i="8"/>
  <c r="AG293" i="8" s="1"/>
  <c r="AT246" i="8"/>
  <c r="AT201" i="8"/>
  <c r="AT221" i="8"/>
  <c r="AT60" i="8"/>
  <c r="AT148" i="8"/>
  <c r="AT173" i="8"/>
  <c r="AT185" i="8"/>
  <c r="AT197" i="8"/>
  <c r="AT224" i="8"/>
  <c r="AT257" i="8"/>
  <c r="AT230" i="8"/>
  <c r="AT226" i="8"/>
  <c r="AT121" i="8"/>
  <c r="AT114" i="8"/>
  <c r="AE286" i="8"/>
  <c r="AE292" i="8" s="1"/>
  <c r="AT69" i="8"/>
  <c r="AT103" i="8"/>
  <c r="AE76" i="8"/>
  <c r="AE290" i="8" s="1"/>
  <c r="AH290" i="8"/>
  <c r="AT179" i="8"/>
  <c r="AS139" i="11"/>
  <c r="AT16" i="8"/>
  <c r="AT89" i="8"/>
  <c r="AS205" i="11"/>
  <c r="AS86" i="11"/>
  <c r="AS85" i="11"/>
  <c r="AS100" i="11"/>
  <c r="AS287" i="11" s="1"/>
  <c r="AS192" i="11"/>
  <c r="AS255" i="11"/>
  <c r="AT96" i="8"/>
  <c r="AJ291" i="8"/>
  <c r="AT205" i="8"/>
  <c r="AS169" i="11"/>
  <c r="AG290" i="8"/>
  <c r="AF290" i="8"/>
  <c r="AT106" i="8"/>
  <c r="AT108" i="8"/>
  <c r="AI282" i="11"/>
  <c r="AI288" i="11" s="1"/>
  <c r="AS63" i="11"/>
  <c r="AS152" i="11"/>
  <c r="AT127" i="8"/>
  <c r="AT137" i="8"/>
  <c r="AT92" i="8"/>
  <c r="AT31" i="8"/>
  <c r="AT232" i="8"/>
  <c r="AT178" i="8"/>
  <c r="AT111" i="8"/>
  <c r="AT175" i="8"/>
  <c r="AT225" i="8"/>
  <c r="AS47" i="11"/>
  <c r="AT141" i="8"/>
  <c r="AT129" i="8"/>
  <c r="AT211" i="8"/>
  <c r="AT33" i="8"/>
  <c r="AT198" i="8"/>
  <c r="AT107" i="8"/>
  <c r="AT145" i="8"/>
  <c r="AT192" i="8"/>
  <c r="AT130" i="8"/>
  <c r="AE84" i="8"/>
  <c r="AE291" i="8" s="1"/>
  <c r="AT155" i="8"/>
  <c r="AT222" i="8"/>
  <c r="AI87" i="11"/>
  <c r="AI286" i="11" s="1"/>
  <c r="AC287" i="8"/>
  <c r="AC293" i="8" s="1"/>
  <c r="AT117" i="8"/>
  <c r="AG286" i="11"/>
  <c r="AG283" i="11"/>
  <c r="AG289" i="11" s="1"/>
  <c r="AE286" i="11"/>
  <c r="AE283" i="11"/>
  <c r="AE289" i="11" s="1"/>
  <c r="AF286" i="11"/>
  <c r="AF283" i="11"/>
  <c r="AF289" i="11" s="1"/>
  <c r="AS15" i="11"/>
  <c r="AD87" i="11"/>
  <c r="AT100" i="8"/>
  <c r="AS114" i="11"/>
  <c r="AD282" i="11"/>
  <c r="AD288" i="11" s="1"/>
  <c r="AB286" i="11"/>
  <c r="AB283" i="11"/>
  <c r="AB289" i="11" s="1"/>
  <c r="AJ287" i="8" l="1"/>
  <c r="AJ293" i="8" s="1"/>
  <c r="AT286" i="8"/>
  <c r="AT292" i="8" s="1"/>
  <c r="AT290" i="8"/>
  <c r="AJ290" i="8"/>
  <c r="AS282" i="11"/>
  <c r="AS288" i="11" s="1"/>
  <c r="AT291" i="8"/>
  <c r="AS87" i="11"/>
  <c r="AI283" i="11"/>
  <c r="AI289" i="11" s="1"/>
  <c r="AE287" i="8"/>
  <c r="AE293" i="8" s="1"/>
  <c r="AJ292" i="8"/>
  <c r="AD283" i="11"/>
  <c r="AD289" i="11" s="1"/>
  <c r="AD286" i="11"/>
  <c r="AS283" i="11" l="1"/>
  <c r="AS289" i="11" s="1"/>
  <c r="AS286" i="11"/>
  <c r="AT287" i="8"/>
  <c r="AT293" i="8" s="1"/>
  <c r="AU129" i="8" l="1"/>
  <c r="AU130" i="8"/>
  <c r="AU132" i="8"/>
  <c r="A137" i="8"/>
  <c r="AU134" i="8"/>
  <c r="AU136" i="8"/>
  <c r="AU131" i="8"/>
  <c r="AU133" i="8"/>
  <c r="AU137" i="8" l="1"/>
  <c r="A138" i="8"/>
  <c r="AU138" i="8" l="1"/>
  <c r="A139" i="8"/>
  <c r="AU139" i="8" l="1"/>
  <c r="A140" i="8"/>
  <c r="AU140" i="8" l="1"/>
  <c r="A141" i="8"/>
  <c r="A142" i="8"/>
  <c r="AU142" i="8" s="1"/>
  <c r="AU141" i="8" l="1"/>
  <c r="A143" i="8"/>
  <c r="AU143" i="8" l="1"/>
  <c r="A144" i="8"/>
  <c r="A145" i="8" l="1"/>
  <c r="AU144" i="8"/>
  <c r="AU145" i="8" l="1"/>
  <c r="A146" i="8"/>
  <c r="AU146" i="8" l="1"/>
  <c r="A147" i="8"/>
  <c r="AU147" i="8" l="1"/>
  <c r="A148" i="8"/>
  <c r="AU148" i="8" l="1"/>
  <c r="A149" i="8"/>
  <c r="AU149" i="8" l="1"/>
  <c r="A150" i="8"/>
  <c r="AU150" i="8" l="1"/>
  <c r="A151" i="8"/>
  <c r="AU151" i="8" l="1"/>
  <c r="A152" i="8"/>
  <c r="AU152" i="8" l="1"/>
  <c r="A153" i="8"/>
  <c r="AU153" i="8" l="1"/>
  <c r="A154" i="8"/>
  <c r="AU154" i="8" l="1"/>
  <c r="A155" i="8"/>
  <c r="AU155" i="8" l="1"/>
  <c r="A156" i="8"/>
  <c r="AU156" i="8" l="1"/>
  <c r="A157" i="8"/>
  <c r="AU157" i="8" l="1"/>
  <c r="A158" i="8"/>
  <c r="AU158" i="8" l="1"/>
  <c r="A159" i="8"/>
  <c r="AU159" i="8" l="1"/>
  <c r="A160" i="8"/>
  <c r="AU160" i="8" l="1"/>
  <c r="A161" i="8"/>
  <c r="AU161" i="8" l="1"/>
  <c r="A162" i="8"/>
  <c r="AU162" i="8" l="1"/>
  <c r="A163" i="8"/>
  <c r="AU163" i="8" l="1"/>
  <c r="A164" i="8"/>
  <c r="AU164" i="8" l="1"/>
  <c r="A165" i="8"/>
  <c r="AU165" i="8" l="1"/>
  <c r="A166" i="8"/>
  <c r="AU166" i="8" l="1"/>
  <c r="A167" i="8"/>
  <c r="AU167" i="8" l="1"/>
  <c r="A168" i="8"/>
  <c r="AU168" i="8" l="1"/>
  <c r="A169" i="8"/>
  <c r="AU169" i="8" l="1"/>
  <c r="A170" i="8"/>
  <c r="AU170" i="8" l="1"/>
  <c r="A171" i="8"/>
  <c r="AU171" i="8" l="1"/>
  <c r="A172" i="8"/>
  <c r="AU172" i="8" l="1"/>
  <c r="A173" i="8"/>
  <c r="AU173" i="8" l="1"/>
  <c r="A174" i="8"/>
  <c r="AU174" i="8" l="1"/>
  <c r="A175" i="8"/>
  <c r="AU175" i="8" l="1"/>
  <c r="A176" i="8"/>
  <c r="AU176" i="8" l="1"/>
  <c r="A177" i="8"/>
  <c r="AU177" i="8" l="1"/>
  <c r="A178" i="8"/>
  <c r="AU178" i="8" l="1"/>
  <c r="A179" i="8"/>
  <c r="AU179" i="8" l="1"/>
  <c r="A180" i="8"/>
  <c r="AU180" i="8" l="1"/>
  <c r="A181" i="8"/>
  <c r="AU181" i="8" l="1"/>
  <c r="A182" i="8"/>
  <c r="AU182" i="8" l="1"/>
  <c r="A183" i="8"/>
  <c r="AU183" i="8" l="1"/>
  <c r="A184" i="8"/>
  <c r="AU184" i="8" l="1"/>
  <c r="A185" i="8"/>
  <c r="AU185" i="8" l="1"/>
  <c r="A186" i="8"/>
  <c r="AU186" i="8" l="1"/>
  <c r="A187" i="8"/>
  <c r="AU187" i="8" l="1"/>
  <c r="A188" i="8"/>
  <c r="AU188" i="8" l="1"/>
  <c r="A189" i="8"/>
  <c r="AU189" i="8" l="1"/>
  <c r="A190" i="8"/>
  <c r="AU190" i="8" l="1"/>
  <c r="A191" i="8"/>
  <c r="AU191" i="8" l="1"/>
  <c r="A192" i="8"/>
  <c r="AU192" i="8" l="1"/>
  <c r="A193" i="8"/>
  <c r="AU193" i="8" l="1"/>
  <c r="A194" i="8"/>
  <c r="AU194" i="8" l="1"/>
  <c r="A195" i="8"/>
  <c r="AU195" i="8" l="1"/>
  <c r="A196" i="8"/>
  <c r="AU196" i="8" l="1"/>
  <c r="A197" i="8"/>
  <c r="AU197" i="8" l="1"/>
  <c r="A198" i="8"/>
  <c r="AU198" i="8" l="1"/>
  <c r="A199" i="8"/>
  <c r="AU199" i="8" l="1"/>
  <c r="A200" i="8"/>
  <c r="AU200" i="8" l="1"/>
  <c r="A201" i="8"/>
  <c r="AU201" i="8" l="1"/>
  <c r="A202" i="8"/>
  <c r="AU202" i="8" l="1"/>
  <c r="A203" i="8"/>
  <c r="AU203" i="8" l="1"/>
  <c r="A204" i="8"/>
  <c r="AU204" i="8" l="1"/>
  <c r="A205" i="8"/>
  <c r="AU205" i="8" l="1"/>
  <c r="A206" i="8"/>
  <c r="AU206" i="8" l="1"/>
  <c r="A207" i="8"/>
  <c r="AU207" i="8" l="1"/>
  <c r="A208" i="8"/>
  <c r="AU208" i="8" l="1"/>
  <c r="A209" i="8"/>
  <c r="AU209" i="8" l="1"/>
  <c r="A210" i="8"/>
  <c r="AU210" i="8" l="1"/>
  <c r="A211" i="8"/>
  <c r="AU211" i="8" l="1"/>
  <c r="A212" i="8"/>
  <c r="AU212" i="8" l="1"/>
  <c r="A213" i="8"/>
  <c r="AU213" i="8" l="1"/>
  <c r="A214" i="8"/>
  <c r="AU214" i="8" l="1"/>
  <c r="A215" i="8"/>
  <c r="AU215" i="8" l="1"/>
  <c r="A216" i="8"/>
  <c r="AU216" i="8" l="1"/>
  <c r="A217" i="8"/>
  <c r="AU217" i="8" l="1"/>
  <c r="A218" i="8"/>
  <c r="AU218" i="8" l="1"/>
  <c r="A219" i="8"/>
  <c r="AU219" i="8" l="1"/>
  <c r="A220" i="8"/>
  <c r="AU220" i="8" l="1"/>
  <c r="A221" i="8"/>
  <c r="AU221" i="8" l="1"/>
  <c r="A222" i="8"/>
  <c r="AU222" i="8" l="1"/>
  <c r="A223" i="8"/>
  <c r="AU223" i="8" l="1"/>
  <c r="A224" i="8"/>
  <c r="AU224" i="8" l="1"/>
  <c r="A225" i="8"/>
  <c r="AU225" i="8" l="1"/>
  <c r="A226" i="8"/>
  <c r="AU226" i="8" l="1"/>
  <c r="A227" i="8"/>
  <c r="AU227" i="8" l="1"/>
  <c r="A228" i="8"/>
  <c r="AU228" i="8" l="1"/>
  <c r="A229" i="8"/>
  <c r="AU229" i="8" l="1"/>
  <c r="A230" i="8"/>
  <c r="AU230" i="8" l="1"/>
  <c r="A231" i="8"/>
  <c r="AU231" i="8" l="1"/>
  <c r="A232" i="8"/>
  <c r="AU232" i="8" l="1"/>
  <c r="A233" i="8"/>
  <c r="AU233" i="8" l="1"/>
  <c r="A234" i="8"/>
  <c r="AU234" i="8" l="1"/>
  <c r="A235" i="8"/>
  <c r="AU235" i="8" l="1"/>
  <c r="A236" i="8"/>
  <c r="AU236" i="8" l="1"/>
  <c r="A237" i="8"/>
  <c r="AU237" i="8" l="1"/>
  <c r="A238" i="8"/>
  <c r="AU238" i="8" l="1"/>
  <c r="A239" i="8"/>
  <c r="AU239" i="8" l="1"/>
  <c r="A240" i="8"/>
  <c r="AU240" i="8" l="1"/>
  <c r="A241" i="8"/>
  <c r="AU241" i="8" l="1"/>
  <c r="A242" i="8"/>
  <c r="AU242" i="8" l="1"/>
  <c r="A243" i="8"/>
  <c r="AU243" i="8" l="1"/>
  <c r="A244" i="8"/>
  <c r="AU244" i="8" l="1"/>
  <c r="A245" i="8"/>
  <c r="AU245" i="8" l="1"/>
  <c r="A246" i="8"/>
  <c r="AU246" i="8" l="1"/>
  <c r="A247" i="8"/>
  <c r="AU247" i="8" l="1"/>
  <c r="A248" i="8"/>
  <c r="AU248" i="8" l="1"/>
  <c r="A249" i="8"/>
  <c r="AU249" i="8" l="1"/>
  <c r="A250" i="8"/>
  <c r="AU250" i="8" l="1"/>
  <c r="A251" i="8"/>
  <c r="AU251" i="8" l="1"/>
  <c r="A252" i="8"/>
  <c r="AU252" i="8" l="1"/>
  <c r="A253" i="8"/>
  <c r="AU253" i="8" l="1"/>
  <c r="A254" i="8"/>
  <c r="AU254" i="8" l="1"/>
  <c r="A255" i="8"/>
  <c r="AU255" i="8" l="1"/>
  <c r="A256" i="8"/>
  <c r="AU256" i="8" l="1"/>
  <c r="A257" i="8"/>
  <c r="AU257" i="8" l="1"/>
  <c r="A258" i="8"/>
  <c r="AU258" i="8" l="1"/>
  <c r="A259" i="8"/>
  <c r="AU259" i="8" l="1"/>
  <c r="A260" i="8"/>
  <c r="AU260" i="8" l="1"/>
  <c r="A261" i="8"/>
  <c r="AU261" i="8" l="1"/>
  <c r="A262" i="8"/>
  <c r="AU262" i="8" l="1"/>
  <c r="A263" i="8"/>
  <c r="AU263" i="8" l="1"/>
  <c r="A264" i="8"/>
  <c r="AU264" i="8" l="1"/>
  <c r="A265" i="8"/>
  <c r="AU265" i="8" l="1"/>
  <c r="A266" i="8"/>
  <c r="AU266" i="8" l="1"/>
  <c r="A267" i="8"/>
  <c r="AU267" i="8" l="1"/>
  <c r="A268" i="8"/>
  <c r="AU268" i="8" l="1"/>
  <c r="A269" i="8"/>
  <c r="AU269" i="8" l="1"/>
  <c r="A270" i="8"/>
  <c r="AU270" i="8" l="1"/>
  <c r="A271" i="8"/>
  <c r="AU271" i="8" l="1"/>
  <c r="A272" i="8"/>
  <c r="AU272" i="8" l="1"/>
  <c r="A273" i="8"/>
  <c r="AU273" i="8" l="1"/>
  <c r="A274" i="8"/>
  <c r="AU274" i="8" l="1"/>
  <c r="A275" i="8"/>
  <c r="AU275" i="8" l="1"/>
  <c r="A276" i="8"/>
  <c r="AU276" i="8" l="1"/>
  <c r="A277" i="8"/>
  <c r="AU277" i="8" l="1"/>
  <c r="A278" i="8"/>
  <c r="AU278" i="8" l="1"/>
  <c r="A279" i="8"/>
  <c r="AU279" i="8" l="1"/>
  <c r="A280" i="8"/>
  <c r="AU280" i="8" l="1"/>
  <c r="A281" i="8"/>
  <c r="AU281" i="8" l="1"/>
  <c r="A282" i="8"/>
  <c r="AU282" i="8" l="1"/>
  <c r="A283" i="8"/>
  <c r="AU283" i="8" l="1"/>
  <c r="A284" i="8"/>
  <c r="AU284" i="8" l="1"/>
  <c r="A285" i="8"/>
  <c r="AU285" i="8" l="1"/>
  <c r="E292" i="8"/>
  <c r="E293" i="8" s="1"/>
  <c r="X291" i="8" l="1"/>
  <c r="X84" i="8"/>
  <c r="AP286" i="8"/>
  <c r="AP287" i="8"/>
  <c r="AP84" i="8"/>
  <c r="AP291" i="8"/>
  <c r="AP293" i="8"/>
  <c r="AO287" i="8"/>
  <c r="AO286" i="8"/>
  <c r="AO84" i="8"/>
  <c r="AO291" i="8"/>
  <c r="AO293" i="8"/>
</calcChain>
</file>

<file path=xl/comments1.xml><?xml version="1.0" encoding="utf-8"?>
<comments xmlns="http://schemas.openxmlformats.org/spreadsheetml/2006/main">
  <authors>
    <author>User</author>
    <author>Quynh</author>
    <author>Admin</author>
    <author>user</author>
    <author>admin</author>
    <author>Minh</author>
  </authors>
  <commentList>
    <comment ref="S14" authorId="0" shapeId="0">
      <text>
        <r>
          <rPr>
            <b/>
            <sz val="9"/>
            <color indexed="81"/>
            <rFont val="Tahoma"/>
            <family val="2"/>
          </rPr>
          <t>User:</t>
        </r>
        <r>
          <rPr>
            <sz val="9"/>
            <color indexed="81"/>
            <rFont val="Tahoma"/>
            <family val="2"/>
          </rPr>
          <t xml:space="preserve">
+ 6% từ 01/8/2015
+ 7% từ 01/8/2016
+ 8% từ 01/8/2017
+ 9% từ 01/8/2018
+ 10% từ 01/8/2019
+ 11% từ 01/8/2020</t>
        </r>
      </text>
    </comment>
    <comment ref="W14" authorId="1" shapeId="0">
      <text>
        <r>
          <rPr>
            <b/>
            <sz val="9"/>
            <color indexed="81"/>
            <rFont val="Tahoma"/>
            <family val="2"/>
          </rPr>
          <t>Quynh:</t>
        </r>
        <r>
          <rPr>
            <sz val="9"/>
            <color indexed="81"/>
            <rFont val="Tahoma"/>
            <family val="2"/>
          </rPr>
          <t xml:space="preserve">
- 32% từ 01/12/2018
- 33% từ 01/12/2019</t>
        </r>
      </text>
    </comment>
    <comment ref="Q15" authorId="2" shapeId="0">
      <text>
        <r>
          <rPr>
            <b/>
            <sz val="9"/>
            <color indexed="81"/>
            <rFont val="Tahoma"/>
            <family val="2"/>
          </rPr>
          <t>Admin:</t>
        </r>
        <r>
          <rPr>
            <sz val="9"/>
            <color indexed="81"/>
            <rFont val="Tahoma"/>
            <family val="2"/>
          </rPr>
          <t xml:space="preserve">
- HS 4,65 từ 01/12/2015 (Nâng lương trước hạn)
- HS 4,98 từ 01/12/2018</t>
        </r>
      </text>
    </comment>
    <comment ref="W15" authorId="0"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t>
        </r>
      </text>
    </comment>
    <comment ref="Q16" authorId="0" shapeId="0">
      <text>
        <r>
          <rPr>
            <b/>
            <sz val="9"/>
            <color indexed="81"/>
            <rFont val="Tahoma"/>
            <family val="2"/>
          </rPr>
          <t>User:</t>
        </r>
        <r>
          <rPr>
            <sz val="9"/>
            <color indexed="81"/>
            <rFont val="Tahoma"/>
            <family val="2"/>
          </rPr>
          <t xml:space="preserve">
- HS 4,65 từ 01/10/2015
- HS 4,98 từ 01/10/2017 (Nâng lương trước hạn 2017)</t>
        </r>
      </text>
    </comment>
    <comment ref="S16" authorId="3" shapeId="0">
      <text>
        <r>
          <rPr>
            <b/>
            <sz val="9"/>
            <color indexed="81"/>
            <rFont val="Tahoma"/>
            <family val="2"/>
          </rPr>
          <t>user:</t>
        </r>
        <r>
          <rPr>
            <sz val="9"/>
            <color indexed="81"/>
            <rFont val="Tahoma"/>
            <family val="2"/>
          </rPr>
          <t xml:space="preserve">
- 5% từ 01/10/2020</t>
        </r>
      </text>
    </comment>
    <comment ref="Q17" authorId="2" shapeId="0">
      <text>
        <r>
          <rPr>
            <b/>
            <sz val="9"/>
            <color indexed="81"/>
            <rFont val="Tahoma"/>
            <family val="2"/>
          </rPr>
          <t>Admin:</t>
        </r>
        <r>
          <rPr>
            <sz val="9"/>
            <color indexed="81"/>
            <rFont val="Tahoma"/>
            <family val="2"/>
          </rPr>
          <t xml:space="preserve">
- HS 3,99 từ 01/4/2016 (NL trước hạn năm 2016)</t>
        </r>
      </text>
    </comment>
    <comment ref="V17" authorId="0" shapeId="0">
      <text>
        <r>
          <rPr>
            <b/>
            <sz val="9"/>
            <color indexed="81"/>
            <rFont val="Tahoma"/>
            <family val="2"/>
          </rPr>
          <t>User:</t>
        </r>
        <r>
          <rPr>
            <sz val="9"/>
            <color indexed="81"/>
            <rFont val="Tahoma"/>
            <family val="2"/>
          </rPr>
          <t xml:space="preserve">
+ QĐ Bổ nhiệm Trưởng khoa Điện - Điện tử từ 08/01/2015</t>
        </r>
      </text>
    </comment>
    <comment ref="W17" authorId="0"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t>
        </r>
      </text>
    </comment>
    <comment ref="AJ17" authorId="3" shapeId="0">
      <text>
        <r>
          <rPr>
            <b/>
            <sz val="9"/>
            <color indexed="81"/>
            <rFont val="Tahoma"/>
            <family val="2"/>
          </rPr>
          <t>user:</t>
        </r>
        <r>
          <rPr>
            <sz val="9"/>
            <color indexed="81"/>
            <rFont val="Tahoma"/>
            <family val="2"/>
          </rPr>
          <t xml:space="preserve">
UV BCH Đảng bộ Trường từ 13/4/2020. NK(2020-2025)</t>
        </r>
      </text>
    </comment>
    <comment ref="Q18" authorId="2"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S18" authorId="1" shapeId="0">
      <text>
        <r>
          <rPr>
            <b/>
            <sz val="9"/>
            <color indexed="81"/>
            <rFont val="Tahoma"/>
            <family val="2"/>
          </rPr>
          <t>Quynh:</t>
        </r>
        <r>
          <rPr>
            <sz val="9"/>
            <color indexed="81"/>
            <rFont val="Tahoma"/>
            <family val="2"/>
          </rPr>
          <t xml:space="preserve">
- 32% từ 01/10/2018
- 33% từ 01/10/2019
- 34% từ 01/10/2020</t>
        </r>
      </text>
    </comment>
    <comment ref="V18" authorId="0" shapeId="0">
      <text>
        <r>
          <rPr>
            <b/>
            <sz val="9"/>
            <color indexed="81"/>
            <rFont val="Tahoma"/>
            <family val="2"/>
          </rPr>
          <t>User:</t>
        </r>
        <r>
          <rPr>
            <sz val="9"/>
            <color indexed="81"/>
            <rFont val="Tahoma"/>
            <family val="2"/>
          </rPr>
          <t xml:space="preserve">
QĐ Bổ nhiệm TP Kế hoạch - Tài chính từ 19/8/2015
</t>
        </r>
      </text>
    </comment>
    <comment ref="W18" authorId="2"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t>
        </r>
      </text>
    </comment>
    <comment ref="AJ18" authorId="0"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Q19" authorId="2" shapeId="0">
      <text>
        <r>
          <rPr>
            <b/>
            <sz val="9"/>
            <color indexed="81"/>
            <rFont val="Tahoma"/>
            <family val="2"/>
          </rPr>
          <t>Admin:</t>
        </r>
        <r>
          <rPr>
            <sz val="9"/>
            <color indexed="81"/>
            <rFont val="Tahoma"/>
            <family val="2"/>
          </rPr>
          <t xml:space="preserve">
- HS 5,42 từ 01/10/2016
- HS 5,76 từ 01/10/2019</t>
        </r>
      </text>
    </comment>
    <comment ref="W19" authorId="3" shapeId="0">
      <text>
        <r>
          <rPr>
            <b/>
            <sz val="8"/>
            <color indexed="81"/>
            <rFont val="Tahoma"/>
            <family val="2"/>
          </rPr>
          <t>user:</t>
        </r>
        <r>
          <rPr>
            <sz val="8"/>
            <color indexed="81"/>
            <rFont val="Tahoma"/>
            <family val="2"/>
          </rPr>
          <t xml:space="preserve">
+ 21% từ 01/01/2014
+ 22% từ 01/01/2015
+ 23% từ 01/01/2016
+ 24% từ 01/01/2017
+ 25% từ 01/01/2018
+ 26% từ 01/01/2019
+ 27% từ 01/01/2020</t>
        </r>
      </text>
    </comment>
    <comment ref="Q20" authorId="0"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V20" authorId="0" shapeId="0">
      <text>
        <r>
          <rPr>
            <b/>
            <sz val="9"/>
            <color indexed="81"/>
            <rFont val="Tahoma"/>
            <family val="2"/>
          </rPr>
          <t>User:</t>
        </r>
        <r>
          <rPr>
            <sz val="9"/>
            <color indexed="81"/>
            <rFont val="Tahoma"/>
            <family val="2"/>
          </rPr>
          <t xml:space="preserve">
+ QĐ Bổ nhiệm Trưởng phòng QT CSVC từ 08/1/2015</t>
        </r>
      </text>
    </comment>
    <comment ref="W20" authorId="0" shapeId="0">
      <text>
        <r>
          <rPr>
            <b/>
            <sz val="9"/>
            <color indexed="81"/>
            <rFont val="Tahoma"/>
            <family val="2"/>
          </rPr>
          <t>User:</t>
        </r>
        <r>
          <rPr>
            <sz val="9"/>
            <color indexed="81"/>
            <rFont val="Tahoma"/>
            <family val="2"/>
          </rPr>
          <t xml:space="preserve">
-7% từ 01/5/2011
+ 16% từ 01/9/2016
+ 17% từ 01/9/2017
+ 18% từ 01/9/2018
+ 19% từ 01/9/2019
+ 20% từ 01/9/2020</t>
        </r>
      </text>
    </comment>
    <comment ref="E21" authorId="1" shapeId="0">
      <text>
        <r>
          <rPr>
            <b/>
            <sz val="9"/>
            <color indexed="81"/>
            <rFont val="Tahoma"/>
            <family val="2"/>
          </rPr>
          <t>Quynh:</t>
        </r>
        <r>
          <rPr>
            <sz val="9"/>
            <color indexed="81"/>
            <rFont val="Tahoma"/>
            <family val="2"/>
          </rPr>
          <t xml:space="preserve">
TP. TC-HC-TH từ 01/01/2019</t>
        </r>
      </text>
    </comment>
    <comment ref="Q21" authorId="0"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V21" authorId="0" shapeId="0">
      <text>
        <r>
          <rPr>
            <b/>
            <sz val="9"/>
            <color indexed="81"/>
            <rFont val="Tahoma"/>
            <family val="2"/>
          </rPr>
          <t>User:</t>
        </r>
        <r>
          <rPr>
            <sz val="9"/>
            <color indexed="81"/>
            <rFont val="Tahoma"/>
            <family val="2"/>
          </rPr>
          <t xml:space="preserve">
QĐ Bổ nhiệm Trưởng phòng Thiết bị vật tư từ 15/7/15
</t>
        </r>
      </text>
    </comment>
    <comment ref="W21" authorId="0" shapeId="0">
      <text>
        <r>
          <rPr>
            <b/>
            <sz val="9"/>
            <color indexed="81"/>
            <rFont val="Tahoma"/>
            <family val="2"/>
          </rPr>
          <t>User:</t>
        </r>
        <r>
          <rPr>
            <sz val="9"/>
            <color indexed="81"/>
            <rFont val="Tahoma"/>
            <family val="2"/>
          </rPr>
          <t xml:space="preserve">
- 14% từ 01/09/2015
- 15% từ 01/9/2016
- 16% từ 01/9/2017
- 17% từ 01/9/2018
- 18% từ 01/9/2019
- 19% từ 01/9/2020</t>
        </r>
      </text>
    </comment>
    <comment ref="AJ21" authorId="3" shapeId="0">
      <text>
        <r>
          <rPr>
            <b/>
            <sz val="9"/>
            <color indexed="81"/>
            <rFont val="Tahoma"/>
            <family val="2"/>
          </rPr>
          <t>user:</t>
        </r>
        <r>
          <rPr>
            <sz val="9"/>
            <color indexed="81"/>
            <rFont val="Tahoma"/>
            <family val="2"/>
          </rPr>
          <t xml:space="preserve">
- UV BCH Đảng bộ Trường từ 13/4/2020 (NK 2020 - 2025)</t>
        </r>
      </text>
    </comment>
    <comment ref="Q22" authorId="3" shapeId="0">
      <text>
        <r>
          <rPr>
            <b/>
            <sz val="9"/>
            <color indexed="81"/>
            <rFont val="Tahoma"/>
            <family val="2"/>
          </rPr>
          <t>user:</t>
        </r>
        <r>
          <rPr>
            <sz val="9"/>
            <color indexed="81"/>
            <rFont val="Tahoma"/>
            <family val="2"/>
          </rPr>
          <t xml:space="preserve">
- HS 4,65 từ 01/12/2019 (NL trước hạn)</t>
        </r>
      </text>
    </comment>
    <comment ref="V22" authorId="0" shapeId="0">
      <text>
        <r>
          <rPr>
            <b/>
            <sz val="9"/>
            <color indexed="81"/>
            <rFont val="Tahoma"/>
            <family val="2"/>
          </rPr>
          <t>User:</t>
        </r>
        <r>
          <rPr>
            <sz val="9"/>
            <color indexed="81"/>
            <rFont val="Tahoma"/>
            <family val="2"/>
          </rPr>
          <t xml:space="preserve">
QĐ Bổ nhiệm Trưởng khoa Kinh tế từ 20/8/2015</t>
        </r>
      </text>
    </comment>
    <comment ref="W22" authorId="0" shapeId="0">
      <text>
        <r>
          <rPr>
            <b/>
            <sz val="9"/>
            <color indexed="81"/>
            <rFont val="Tahoma"/>
            <family val="2"/>
          </rPr>
          <t>User:</t>
        </r>
        <r>
          <rPr>
            <sz val="9"/>
            <color indexed="81"/>
            <rFont val="Tahoma"/>
            <family val="2"/>
          </rPr>
          <t xml:space="preserve">
+ 9% từ 01/10/2015
+ 10% từ 01/10/2016
+ 11% từ 01/10/2017
+ 12% từ 01/10/2018
+ 13% từ 01/10/2019
+ 14% từ 01/10/2020</t>
        </r>
      </text>
    </comment>
    <comment ref="Q23" authorId="2" shapeId="0">
      <text>
        <r>
          <rPr>
            <b/>
            <sz val="9"/>
            <color indexed="81"/>
            <rFont val="Tahoma"/>
            <family val="2"/>
          </rPr>
          <t>Admin:</t>
        </r>
        <r>
          <rPr>
            <sz val="9"/>
            <color indexed="81"/>
            <rFont val="Tahoma"/>
            <family val="2"/>
          </rPr>
          <t xml:space="preserve">
- HS 3,99 từ 01/12/2016
- HS 4,32 từ 01/12/2019</t>
        </r>
      </text>
    </comment>
    <comment ref="Q24" authorId="1" shapeId="0">
      <text>
        <r>
          <rPr>
            <b/>
            <sz val="9"/>
            <color indexed="81"/>
            <rFont val="Tahoma"/>
            <family val="2"/>
          </rPr>
          <t>Quynh:</t>
        </r>
        <r>
          <rPr>
            <sz val="9"/>
            <color indexed="81"/>
            <rFont val="Tahoma"/>
            <family val="2"/>
          </rPr>
          <t xml:space="preserve">
- HS 4,98 từ 01/9/2018 </t>
        </r>
      </text>
    </comment>
    <comment ref="V24" authorId="3" shapeId="0">
      <text>
        <r>
          <rPr>
            <b/>
            <sz val="9"/>
            <color indexed="81"/>
            <rFont val="Tahoma"/>
            <family val="2"/>
          </rPr>
          <t>user:</t>
        </r>
        <r>
          <rPr>
            <sz val="9"/>
            <color indexed="81"/>
            <rFont val="Tahoma"/>
            <family val="2"/>
          </rPr>
          <t xml:space="preserve">
QĐ BN TP từ 01/10/2019</t>
        </r>
      </text>
    </comment>
    <comment ref="S25" authorId="0"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t>
        </r>
      </text>
    </comment>
    <comment ref="V25" authorId="3"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W25" authorId="3"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t>
        </r>
      </text>
    </comment>
    <comment ref="S26"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26" authorId="2" shapeId="0">
      <text>
        <r>
          <rPr>
            <b/>
            <sz val="9"/>
            <color indexed="81"/>
            <rFont val="Tahoma"/>
            <family val="2"/>
          </rPr>
          <t>Admin:</t>
        </r>
        <r>
          <rPr>
            <sz val="9"/>
            <color indexed="81"/>
            <rFont val="Tahoma"/>
            <family val="2"/>
          </rPr>
          <t xml:space="preserve">
- QĐ Bổ nhiệm Phó Trưởng phòng TS-ĐT từ 01/11/2016</t>
        </r>
      </text>
    </comment>
    <comment ref="S27" authorId="0" shapeId="0">
      <text>
        <r>
          <rPr>
            <b/>
            <sz val="9"/>
            <color indexed="81"/>
            <rFont val="Tahoma"/>
            <family val="2"/>
          </rPr>
          <t>User:</t>
        </r>
        <r>
          <rPr>
            <sz val="9"/>
            <color indexed="81"/>
            <rFont val="Tahoma"/>
            <family val="2"/>
          </rPr>
          <t xml:space="preserve">
- 5% từ 01/12/2015
- 6% từ 01/12/2016
- 7% từ 01/12/2017
- 8% từ 01/12/2018
- 9% từ 01/12/2019</t>
        </r>
      </text>
    </comment>
    <comment ref="V27" authorId="0" shapeId="0">
      <text>
        <r>
          <rPr>
            <b/>
            <sz val="9"/>
            <color indexed="81"/>
            <rFont val="Tahoma"/>
            <family val="2"/>
          </rPr>
          <t>User:</t>
        </r>
        <r>
          <rPr>
            <sz val="9"/>
            <color indexed="81"/>
            <rFont val="Tahoma"/>
            <family val="2"/>
          </rPr>
          <t xml:space="preserve">
- QĐ Miễn nhiệm Trưởng phòng TBVT từ 7/5/2015. HS PCCV 0,45 được bảo lưu hết T10/2015
- Từ ngày 01/11/2015 hưởng PCCV là 0,35
</t>
        </r>
      </text>
    </comment>
    <comment ref="Q28" authorId="2" shapeId="0">
      <text>
        <r>
          <rPr>
            <b/>
            <sz val="9"/>
            <color indexed="81"/>
            <rFont val="Tahoma"/>
            <family val="2"/>
          </rPr>
          <t>Admin:</t>
        </r>
        <r>
          <rPr>
            <sz val="9"/>
            <color indexed="81"/>
            <rFont val="Tahoma"/>
            <family val="2"/>
          </rPr>
          <t xml:space="preserve">
- HS 4,65 từ 01/12/2015 (NL trước hạn)
- HS 4,98 từ 01/12/2018</t>
        </r>
      </text>
    </comment>
    <comment ref="V28" authorId="4" shapeId="0">
      <text>
        <r>
          <rPr>
            <b/>
            <sz val="8"/>
            <color indexed="81"/>
            <rFont val="Tahoma"/>
            <family val="2"/>
          </rPr>
          <t>admin:</t>
        </r>
        <r>
          <rPr>
            <sz val="8"/>
            <color indexed="81"/>
            <rFont val="Tahoma"/>
            <family val="2"/>
          </rPr>
          <t xml:space="preserve">
+ QĐ Bổ nhiệm Phó Trưởng phòng Quản trị CSVC từ 01/06/2014</t>
        </r>
      </text>
    </comment>
    <comment ref="W28" authorId="4"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t>
        </r>
      </text>
    </comment>
    <comment ref="Q29" authorId="0" shapeId="0">
      <text>
        <r>
          <rPr>
            <b/>
            <sz val="9"/>
            <color indexed="81"/>
            <rFont val="Tahoma"/>
            <family val="2"/>
          </rPr>
          <t>User:</t>
        </r>
        <r>
          <rPr>
            <sz val="9"/>
            <color indexed="81"/>
            <rFont val="Tahoma"/>
            <family val="2"/>
          </rPr>
          <t xml:space="preserve">
- HS 4.32 từ 01/01/2013 (NL trước hạn)
 - HS 4.65 từ 01/01/2016
- HS 4,98 từ 01/01/2019
</t>
        </r>
      </text>
    </comment>
    <comment ref="V29" authorId="3" shapeId="0">
      <text>
        <r>
          <rPr>
            <b/>
            <sz val="9"/>
            <color indexed="81"/>
            <rFont val="Tahoma"/>
            <family val="2"/>
          </rPr>
          <t>user:</t>
        </r>
        <r>
          <rPr>
            <sz val="9"/>
            <color indexed="81"/>
            <rFont val="Tahoma"/>
            <family val="2"/>
          </rPr>
          <t xml:space="preserve">
- QĐ Bổ nhiệm Trưởng phòng TS - ĐT từ 01/01/2020
</t>
        </r>
      </text>
    </comment>
    <comment ref="W29" authorId="3" shapeId="0">
      <text>
        <r>
          <rPr>
            <b/>
            <sz val="8"/>
            <color indexed="81"/>
            <rFont val="Tahoma"/>
            <family val="2"/>
          </rPr>
          <t>user:</t>
        </r>
        <r>
          <rPr>
            <sz val="8"/>
            <color indexed="81"/>
            <rFont val="Tahoma"/>
            <family val="2"/>
          </rPr>
          <t xml:space="preserve">
+ 14% từ 01/01/2014
+ 15% từ 01/01/2015
+ 16% từ 01/01/2016
+ 17% từ 01/01/2017
+ 18% từ 01/01/2018
+ 19% từ 01/01/2019
+ 20% từ 01/01/2020</t>
        </r>
      </text>
    </comment>
    <comment ref="Q30" authorId="2" shapeId="0">
      <text>
        <r>
          <rPr>
            <b/>
            <sz val="9"/>
            <color indexed="81"/>
            <rFont val="Tahoma"/>
            <family val="2"/>
          </rPr>
          <t>Admin:</t>
        </r>
        <r>
          <rPr>
            <sz val="9"/>
            <color indexed="81"/>
            <rFont val="Tahoma"/>
            <family val="2"/>
          </rPr>
          <t xml:space="preserve">
- HS 4.65 từ 01/01/2016</t>
        </r>
      </text>
    </comment>
    <comment ref="V30" authorId="4"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t>
        </r>
      </text>
    </comment>
    <comment ref="W30" authorId="4"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t>
        </r>
      </text>
    </comment>
    <comment ref="Q31" authorId="0" shapeId="0">
      <text>
        <r>
          <rPr>
            <b/>
            <sz val="9"/>
            <color indexed="81"/>
            <rFont val="Tahoma"/>
            <family val="2"/>
          </rPr>
          <t>User:</t>
        </r>
        <r>
          <rPr>
            <sz val="9"/>
            <color indexed="81"/>
            <rFont val="Tahoma"/>
            <family val="2"/>
          </rPr>
          <t xml:space="preserve">
- HS 4,65 từ 01/05/2014 (Nâng lương trước hạn 2015)
- HS 4,98 từ 01/5/2017</t>
        </r>
      </text>
    </comment>
    <comment ref="S31" authorId="3" shapeId="0">
      <text>
        <r>
          <rPr>
            <b/>
            <sz val="9"/>
            <color indexed="81"/>
            <rFont val="Tahoma"/>
            <family val="2"/>
          </rPr>
          <t>user:</t>
        </r>
        <r>
          <rPr>
            <sz val="9"/>
            <color indexed="81"/>
            <rFont val="Tahoma"/>
            <family val="2"/>
          </rPr>
          <t xml:space="preserve">
- VK 5% từ 01/05/2020</t>
        </r>
      </text>
    </comment>
    <comment ref="V31" authorId="0"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W31" authorId="4"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t>
        </r>
      </text>
    </comment>
    <comment ref="Q32" authorId="0" shapeId="0">
      <text>
        <r>
          <rPr>
            <b/>
            <sz val="9"/>
            <color indexed="81"/>
            <rFont val="Tahoma"/>
            <family val="2"/>
          </rPr>
          <t>User:</t>
        </r>
        <r>
          <rPr>
            <sz val="9"/>
            <color indexed="81"/>
            <rFont val="Tahoma"/>
            <family val="2"/>
          </rPr>
          <t xml:space="preserve">
- HS 3,99 từ 01/9/2015
- HS 4,32 từ 01/9/2017 (Nâng lương trước hạn 2017)
- HS 4,65 từ 01/9/2020</t>
        </r>
      </text>
    </comment>
    <comment ref="V32" authorId="2" shapeId="0">
      <text>
        <r>
          <rPr>
            <b/>
            <sz val="9"/>
            <color indexed="81"/>
            <rFont val="Tahoma"/>
            <family val="2"/>
          </rPr>
          <t>Admin:</t>
        </r>
        <r>
          <rPr>
            <sz val="9"/>
            <color indexed="81"/>
            <rFont val="Tahoma"/>
            <family val="2"/>
          </rPr>
          <t xml:space="preserve">
- QĐ BN Phó Trưởng khoa từ 01/8/18</t>
        </r>
      </text>
    </comment>
    <comment ref="W32"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3" authorId="2" shapeId="0">
      <text>
        <r>
          <rPr>
            <b/>
            <sz val="9"/>
            <color indexed="81"/>
            <rFont val="Tahoma"/>
            <family val="2"/>
          </rPr>
          <t>Admin:</t>
        </r>
        <r>
          <rPr>
            <sz val="9"/>
            <color indexed="81"/>
            <rFont val="Tahoma"/>
            <family val="2"/>
          </rPr>
          <t xml:space="preserve">
- HS 3,99 từ 01/9/2016
- HS 4,32 từ 01/9/2019</t>
        </r>
      </text>
    </comment>
    <comment ref="W33"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4" authorId="0" shapeId="0">
      <text>
        <r>
          <rPr>
            <b/>
            <sz val="9"/>
            <color indexed="81"/>
            <rFont val="Tahoma"/>
            <family val="2"/>
          </rPr>
          <t>User:</t>
        </r>
        <r>
          <rPr>
            <sz val="9"/>
            <color indexed="81"/>
            <rFont val="Tahoma"/>
            <family val="2"/>
          </rPr>
          <t xml:space="preserve">
- HS 3.66 từ 01/09/2013 (NL trước hạn)
- HS 3,99 từ 01/9/2016
- HS 4,32 từ 01/9/2018</t>
        </r>
      </text>
    </comment>
    <comment ref="W34"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35" authorId="0"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t>
        </r>
      </text>
    </comment>
    <comment ref="V35" authorId="3"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W35" authorId="3"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t>
        </r>
      </text>
    </comment>
    <comment ref="Q3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V36" authorId="4"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W3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37" authorId="3" shapeId="0">
      <text>
        <r>
          <rPr>
            <b/>
            <sz val="9"/>
            <color indexed="81"/>
            <rFont val="Tahoma"/>
            <family val="2"/>
          </rPr>
          <t>user:</t>
        </r>
        <r>
          <rPr>
            <sz val="9"/>
            <color indexed="81"/>
            <rFont val="Tahoma"/>
            <family val="2"/>
          </rPr>
          <t xml:space="preserve">
- HS 6,10 từ 01/9/2020
- HS 6,44 từ 01/10/2020</t>
        </r>
      </text>
    </comment>
    <comment ref="V37" authorId="0" shapeId="0">
      <text>
        <r>
          <rPr>
            <b/>
            <sz val="9"/>
            <color indexed="81"/>
            <rFont val="Tahoma"/>
            <family val="2"/>
          </rPr>
          <t>User:</t>
        </r>
        <r>
          <rPr>
            <sz val="9"/>
            <color indexed="81"/>
            <rFont val="Tahoma"/>
            <family val="2"/>
          </rPr>
          <t xml:space="preserve">
- QĐ Bổ nhiệm Phó TK CNTT từ 01/7/2015
- QĐ Miễn nhiệm Phó TK từ 01/7/2020</t>
        </r>
      </text>
    </comment>
    <comment ref="W37" authorId="3" shapeId="0">
      <text>
        <r>
          <rPr>
            <b/>
            <sz val="8"/>
            <color indexed="81"/>
            <rFont val="Tahoma"/>
            <family val="2"/>
          </rPr>
          <t>user:</t>
        </r>
        <r>
          <rPr>
            <sz val="8"/>
            <color indexed="81"/>
            <rFont val="Tahoma"/>
            <family val="2"/>
          </rPr>
          <t xml:space="preserve">
+ 23% từ 1/10/2013
+ 24% từ 01/10/2014
+ 25% từ 01/10/2015
+ 26% từ 01/10/2016
+ 27% từ 01/10/2017
+ 28% từ 01/10/2018
+ 29% từ 01/10/2019
+ 30% từ 01/10/2020</t>
        </r>
      </text>
    </comment>
    <comment ref="Q38" authorId="2" shapeId="0">
      <text>
        <r>
          <rPr>
            <b/>
            <sz val="9"/>
            <color indexed="81"/>
            <rFont val="Tahoma"/>
            <family val="2"/>
          </rPr>
          <t>Admin:</t>
        </r>
        <r>
          <rPr>
            <sz val="9"/>
            <color indexed="81"/>
            <rFont val="Tahoma"/>
            <family val="2"/>
          </rPr>
          <t xml:space="preserve">
- HS 4,65 từ 01/6/2016 (NL trước hạn 2016)</t>
        </r>
      </text>
    </comment>
    <comment ref="V38" authorId="2" shapeId="0">
      <text>
        <r>
          <rPr>
            <b/>
            <sz val="9"/>
            <color indexed="81"/>
            <rFont val="Tahoma"/>
            <family val="2"/>
          </rPr>
          <t>Admin:</t>
        </r>
        <r>
          <rPr>
            <sz val="9"/>
            <color indexed="81"/>
            <rFont val="Tahoma"/>
            <family val="2"/>
          </rPr>
          <t xml:space="preserve">
- Tổ trưởng tổ Lý - Hóa từ 01/9/2016</t>
        </r>
      </text>
    </comment>
    <comment ref="W3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39" authorId="0"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V39" authorId="0" shapeId="0">
      <text>
        <r>
          <rPr>
            <b/>
            <sz val="9"/>
            <color indexed="81"/>
            <rFont val="Tahoma"/>
            <family val="2"/>
          </rPr>
          <t>User:</t>
        </r>
        <r>
          <rPr>
            <sz val="9"/>
            <color indexed="81"/>
            <rFont val="Tahoma"/>
            <family val="2"/>
          </rPr>
          <t xml:space="preserve">
Tổ trưởng tổ QL Ký túc xá SV từ 15/9/2015</t>
        </r>
      </text>
    </comment>
    <comment ref="W39" authorId="2" shapeId="0">
      <text>
        <r>
          <rPr>
            <b/>
            <sz val="9"/>
            <color indexed="81"/>
            <rFont val="Tahoma"/>
            <family val="2"/>
          </rPr>
          <t>Admin:</t>
        </r>
        <r>
          <rPr>
            <sz val="9"/>
            <color indexed="81"/>
            <rFont val="Tahoma"/>
            <family val="2"/>
          </rPr>
          <t xml:space="preserve">
- 15% từ 01/9/2016
- 16% từ 01/9/2017
- 17% từ 01/9/2018
- 18% từ 01/9/2019
- 19% từ 01/9/2020
</t>
        </r>
      </text>
    </comment>
    <comment ref="Q40" authorId="3" shapeId="0">
      <text>
        <r>
          <rPr>
            <b/>
            <sz val="9"/>
            <color indexed="81"/>
            <rFont val="Tahoma"/>
            <family val="2"/>
          </rPr>
          <t>user:</t>
        </r>
        <r>
          <rPr>
            <sz val="9"/>
            <color indexed="81"/>
            <rFont val="Tahoma"/>
            <family val="2"/>
          </rPr>
          <t xml:space="preserve">
- HS 4,32 từ 01/9/2019</t>
        </r>
      </text>
    </comment>
    <comment ref="V40" authorId="0" shapeId="0">
      <text>
        <r>
          <rPr>
            <b/>
            <sz val="9"/>
            <color indexed="81"/>
            <rFont val="Tahoma"/>
            <family val="2"/>
          </rPr>
          <t>User:</t>
        </r>
        <r>
          <rPr>
            <sz val="9"/>
            <color indexed="81"/>
            <rFont val="Tahoma"/>
            <family val="2"/>
          </rPr>
          <t xml:space="preserve">
- QĐ Bổ nhiệm Trưởng bộ môn Điện tử công nghiệp từ 01/9/2015</t>
        </r>
      </text>
    </comment>
    <comment ref="W4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S41"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41" authorId="0" shapeId="0">
      <text>
        <r>
          <rPr>
            <b/>
            <sz val="9"/>
            <color indexed="81"/>
            <rFont val="Tahoma"/>
            <family val="2"/>
          </rPr>
          <t>User:</t>
        </r>
        <r>
          <rPr>
            <sz val="9"/>
            <color indexed="81"/>
            <rFont val="Tahoma"/>
            <family val="2"/>
          </rPr>
          <t xml:space="preserve">
Miễn nhiệm Trưởng BM Cơ khí chế tạo máy 1 từ 01/9/2015</t>
        </r>
      </text>
    </comment>
    <comment ref="W41" authorId="3"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t>
        </r>
      </text>
    </comment>
    <comment ref="Q42" authorId="0" shapeId="0">
      <text>
        <r>
          <rPr>
            <b/>
            <sz val="9"/>
            <color indexed="81"/>
            <rFont val="Tahoma"/>
            <family val="2"/>
          </rPr>
          <t>User:</t>
        </r>
        <r>
          <rPr>
            <sz val="9"/>
            <color indexed="81"/>
            <rFont val="Tahoma"/>
            <family val="2"/>
          </rPr>
          <t xml:space="preserve">
- HS 4,98 từ 01/09/2014</t>
        </r>
      </text>
    </comment>
    <comment ref="S42" authorId="2" shapeId="0">
      <text>
        <r>
          <rPr>
            <b/>
            <sz val="9"/>
            <color indexed="81"/>
            <rFont val="Tahoma"/>
            <family val="2"/>
          </rPr>
          <t>Admin:</t>
        </r>
        <r>
          <rPr>
            <sz val="9"/>
            <color indexed="81"/>
            <rFont val="Tahoma"/>
            <family val="2"/>
          </rPr>
          <t xml:space="preserve">
- VK 5% từ 01/9/2017
- VK 6% từ 01/9/2018
- VK 7% từ 01/9/2019
- VK 8% từ 01/9/2020</t>
        </r>
      </text>
    </comment>
    <comment ref="V42" authorId="3" shapeId="0">
      <text>
        <r>
          <rPr>
            <b/>
            <sz val="8"/>
            <color indexed="81"/>
            <rFont val="Tahoma"/>
            <family val="2"/>
          </rPr>
          <t>user:</t>
        </r>
        <r>
          <rPr>
            <sz val="8"/>
            <color indexed="81"/>
            <rFont val="Tahoma"/>
            <family val="2"/>
          </rPr>
          <t xml:space="preserve">
Trưởng bộ môn Khoa học giao tiếp từ 01/01/2014
- Bổ nhiệm Trưởng bộ môn Văn - Khoa học giao tiếp từ 1/9/15.
- Miễn nhiệm Trưởng BM Văn - Khoa học GT từ 16/10/2015 (HS Bảo lưu hết 30/4/2015)</t>
        </r>
      </text>
    </comment>
    <comment ref="W42" authorId="3" shapeId="0">
      <text>
        <r>
          <rPr>
            <b/>
            <sz val="8"/>
            <color indexed="81"/>
            <rFont val="Tahoma"/>
            <family val="2"/>
          </rPr>
          <t>user:</t>
        </r>
        <r>
          <rPr>
            <sz val="8"/>
            <color indexed="81"/>
            <rFont val="Tahoma"/>
            <family val="2"/>
          </rPr>
          <t xml:space="preserve">
17% từ 01/09/2013
+ 18% từ 01/9/2014
+ 19% từ 01/9/2015
+ 20% từ 01/9/2016
+ 21% từ 01/9/2017
+ 22% từ 01/9/2018
+ 23% từ 01/9/2019
+ 24% từ 01/9/2020</t>
        </r>
      </text>
    </comment>
    <comment ref="S43" authorId="2" shapeId="0">
      <text>
        <r>
          <rPr>
            <b/>
            <sz val="9"/>
            <color indexed="81"/>
            <rFont val="Tahoma"/>
            <family val="2"/>
          </rPr>
          <t>Admin:</t>
        </r>
        <r>
          <rPr>
            <sz val="9"/>
            <color indexed="81"/>
            <rFont val="Tahoma"/>
            <family val="2"/>
          </rPr>
          <t xml:space="preserve">
- 5% từ 01/10/2016
- 6% từ 01/10/2017
- 7% từ 01/10/2018
- 8% từ 01/10/2019
- 9% từ 01/10/2020</t>
        </r>
      </text>
    </comment>
    <comment ref="V43" authorId="0" shapeId="0">
      <text>
        <r>
          <rPr>
            <b/>
            <sz val="9"/>
            <color indexed="81"/>
            <rFont val="Tahoma"/>
            <family val="2"/>
          </rPr>
          <t>User:</t>
        </r>
        <r>
          <rPr>
            <sz val="9"/>
            <color indexed="81"/>
            <rFont val="Tahoma"/>
            <family val="2"/>
          </rPr>
          <t xml:space="preserve">
- Miễn nhiệm trưởng bộ môn từ 01/09/2015</t>
        </r>
      </text>
    </comment>
    <comment ref="W43" authorId="4" shapeId="0">
      <text>
        <r>
          <rPr>
            <b/>
            <sz val="8"/>
            <color indexed="81"/>
            <rFont val="Tahoma"/>
            <family val="2"/>
          </rPr>
          <t>admin:</t>
        </r>
        <r>
          <rPr>
            <sz val="8"/>
            <color indexed="81"/>
            <rFont val="Tahoma"/>
            <family val="2"/>
          </rPr>
          <t xml:space="preserve">
+ 25% từ 01/11/2014
+ 26% từ 01/11/2015
+ 27% từ 01/11/2016
+ 28% từ 01/11/2017
+ 29% từ 01/11/2018
+ 30% từ 01/11/2019
+ 31% từ 01/11/2020</t>
        </r>
      </text>
    </comment>
    <comment ref="S44" authorId="1" shapeId="0">
      <text>
        <r>
          <rPr>
            <b/>
            <sz val="9"/>
            <color indexed="81"/>
            <rFont val="Tahoma"/>
            <family val="2"/>
          </rPr>
          <t>Quynh:</t>
        </r>
        <r>
          <rPr>
            <sz val="9"/>
            <color indexed="81"/>
            <rFont val="Tahoma"/>
            <family val="2"/>
          </rPr>
          <t xml:space="preserve">
- 7% từ 01/1/2019
- 8% từ 01/1/2020</t>
        </r>
      </text>
    </comment>
    <comment ref="W44" authorId="3"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t>
        </r>
      </text>
    </comment>
    <comment ref="Q45" authorId="0" shapeId="0">
      <text>
        <r>
          <rPr>
            <b/>
            <sz val="9"/>
            <color indexed="81"/>
            <rFont val="Tahoma"/>
            <family val="2"/>
          </rPr>
          <t>User:</t>
        </r>
        <r>
          <rPr>
            <sz val="9"/>
            <color indexed="81"/>
            <rFont val="Tahoma"/>
            <family val="2"/>
          </rPr>
          <t xml:space="preserve">
- 4,98 từ 01/10/2015</t>
        </r>
      </text>
    </comment>
    <comment ref="S45" authorId="1" shapeId="0">
      <text>
        <r>
          <rPr>
            <b/>
            <sz val="9"/>
            <color indexed="81"/>
            <rFont val="Tahoma"/>
            <family val="2"/>
          </rPr>
          <t>Quynh:</t>
        </r>
        <r>
          <rPr>
            <sz val="9"/>
            <color indexed="81"/>
            <rFont val="Tahoma"/>
            <family val="2"/>
          </rPr>
          <t xml:space="preserve">
+ 5% từ 01/10/2018
+ 6% từ 01/10/2019
+ 7% từ 01/10/2020</t>
        </r>
      </text>
    </comment>
    <comment ref="W45" authorId="3" shapeId="0">
      <text>
        <r>
          <rPr>
            <b/>
            <sz val="8"/>
            <color indexed="81"/>
            <rFont val="Tahoma"/>
            <family val="2"/>
          </rPr>
          <t>user:</t>
        </r>
        <r>
          <rPr>
            <sz val="8"/>
            <color indexed="81"/>
            <rFont val="Tahoma"/>
            <family val="2"/>
          </rPr>
          <t xml:space="preserve">
+ 15% từ 01/10/2013
+ 16% từ 01/10/2014
+ 17% từ 01/10/2015
+ 18% từ 01/10/2016
+ 19% từ 01/10/2017
+ 20% từ 01/10/2018
+ 21% từ 01/10/2019
+ 22% từ 01/10/2020</t>
        </r>
      </text>
    </comment>
    <comment ref="Q46" authorId="0" shapeId="0">
      <text>
        <r>
          <rPr>
            <b/>
            <sz val="9"/>
            <color indexed="81"/>
            <rFont val="Tahoma"/>
            <family val="2"/>
          </rPr>
          <t>User:</t>
        </r>
        <r>
          <rPr>
            <sz val="9"/>
            <color indexed="81"/>
            <rFont val="Tahoma"/>
            <family val="2"/>
          </rPr>
          <t xml:space="preserve">
- HS 4,65 từ 01/9/2015
- HS 4,98 từ 01/9/2018</t>
        </r>
      </text>
    </comment>
    <comment ref="W46" authorId="0" shapeId="0">
      <text>
        <r>
          <rPr>
            <b/>
            <sz val="9"/>
            <color indexed="81"/>
            <rFont val="Tahoma"/>
            <family val="2"/>
          </rPr>
          <t>User:</t>
        </r>
        <r>
          <rPr>
            <sz val="9"/>
            <color indexed="81"/>
            <rFont val="Tahoma"/>
            <family val="2"/>
          </rPr>
          <t xml:space="preserve">
- 9% từ 01/8/2015
- 10% từ 01/8/2016
- 11% từ 01/8/2017
- 12% từ 01/8/2018
- 13% từ 01/8/2019
- 14% từ 01/8/2020</t>
        </r>
      </text>
    </comment>
    <comment ref="Q47" authorId="0" shapeId="0">
      <text>
        <r>
          <rPr>
            <b/>
            <sz val="9"/>
            <color indexed="81"/>
            <rFont val="Tahoma"/>
            <family val="2"/>
          </rPr>
          <t>User:</t>
        </r>
        <r>
          <rPr>
            <sz val="9"/>
            <color indexed="81"/>
            <rFont val="Tahoma"/>
            <family val="2"/>
          </rPr>
          <t xml:space="preserve">
- HS 4,65 từ 01/5/2014 (Nâng lương trước hạn năm 2015)
- HS 4,98 từ 01/5/2017</t>
        </r>
      </text>
    </comment>
    <comment ref="S47" authorId="3" shapeId="0">
      <text>
        <r>
          <rPr>
            <b/>
            <sz val="9"/>
            <color indexed="81"/>
            <rFont val="Tahoma"/>
            <family val="2"/>
          </rPr>
          <t>user:</t>
        </r>
        <r>
          <rPr>
            <sz val="9"/>
            <color indexed="81"/>
            <rFont val="Tahoma"/>
            <family val="2"/>
          </rPr>
          <t xml:space="preserve">
- VK 5% từ 01/05/2020</t>
        </r>
      </text>
    </comment>
    <comment ref="V47" authorId="0"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W47" authorId="4"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t>
        </r>
      </text>
    </comment>
    <comment ref="Q48" authorId="0" shapeId="0">
      <text>
        <r>
          <rPr>
            <b/>
            <sz val="9"/>
            <color indexed="81"/>
            <rFont val="Tahoma"/>
            <family val="2"/>
          </rPr>
          <t>User:</t>
        </r>
        <r>
          <rPr>
            <sz val="9"/>
            <color indexed="81"/>
            <rFont val="Tahoma"/>
            <family val="2"/>
          </rPr>
          <t xml:space="preserve">
- HS 4,65 từ 01/9/2015
- HS 4,98 từ 01/9/2017 (Nâng lương trước hạn năm 2017)</t>
        </r>
      </text>
    </comment>
    <comment ref="S48" authorId="3" shapeId="0">
      <text>
        <r>
          <rPr>
            <b/>
            <sz val="9"/>
            <color indexed="81"/>
            <rFont val="Tahoma"/>
            <family val="2"/>
          </rPr>
          <t>user:</t>
        </r>
        <r>
          <rPr>
            <sz val="9"/>
            <color indexed="81"/>
            <rFont val="Tahoma"/>
            <family val="2"/>
          </rPr>
          <t xml:space="preserve">
- 5% từ 01/9/2020</t>
        </r>
      </text>
    </comment>
    <comment ref="W4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49" authorId="0" shapeId="0">
      <text>
        <r>
          <rPr>
            <b/>
            <sz val="9"/>
            <color indexed="81"/>
            <rFont val="Tahoma"/>
            <family val="2"/>
          </rPr>
          <t>User:</t>
        </r>
        <r>
          <rPr>
            <sz val="9"/>
            <color indexed="81"/>
            <rFont val="Tahoma"/>
            <family val="2"/>
          </rPr>
          <t xml:space="preserve">
- HS 4.32 từ 01/09/2013 (NL trước hạn)
- HS 4,65 từ 01/9/2016
- HS 4,98 từ 01/9/2019</t>
        </r>
      </text>
    </comment>
    <comment ref="V49" authorId="3" shapeId="0">
      <text>
        <r>
          <rPr>
            <b/>
            <sz val="8"/>
            <color indexed="81"/>
            <rFont val="Tahoma"/>
            <family val="2"/>
          </rPr>
          <t>user:</t>
        </r>
        <r>
          <rPr>
            <sz val="8"/>
            <color indexed="81"/>
            <rFont val="Tahoma"/>
            <family val="2"/>
          </rPr>
          <t xml:space="preserve">
Miễn nhiệm phó TK từ 15/11/2013</t>
        </r>
      </text>
    </comment>
    <comment ref="W49"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0" authorId="0"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V50" authorId="0" shapeId="0">
      <text>
        <r>
          <rPr>
            <b/>
            <sz val="9"/>
            <color indexed="81"/>
            <rFont val="Tahoma"/>
            <family val="2"/>
          </rPr>
          <t>User:</t>
        </r>
        <r>
          <rPr>
            <sz val="9"/>
            <color indexed="81"/>
            <rFont val="Tahoma"/>
            <family val="2"/>
          </rPr>
          <t xml:space="preserve">
Miễn nhiệm Trưởng bộ môn Cơ sở cơ khí từ 01/9/2015</t>
        </r>
      </text>
    </comment>
    <comment ref="W50"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1" authorId="2" shapeId="0">
      <text>
        <r>
          <rPr>
            <b/>
            <sz val="9"/>
            <color indexed="81"/>
            <rFont val="Tahoma"/>
            <family val="2"/>
          </rPr>
          <t>Admin:</t>
        </r>
        <r>
          <rPr>
            <sz val="9"/>
            <color indexed="81"/>
            <rFont val="Tahoma"/>
            <family val="2"/>
          </rPr>
          <t xml:space="preserve">
- HS 4,65 từ 01/12/15 (NL Trước hạn)
- HS 4,98 từ 01/12/2018</t>
        </r>
      </text>
    </comment>
    <comment ref="V51" authorId="0" shapeId="0">
      <text>
        <r>
          <rPr>
            <b/>
            <sz val="9"/>
            <color indexed="81"/>
            <rFont val="Tahoma"/>
            <family val="2"/>
          </rPr>
          <t>User:</t>
        </r>
        <r>
          <rPr>
            <sz val="9"/>
            <color indexed="81"/>
            <rFont val="Tahoma"/>
            <family val="2"/>
          </rPr>
          <t xml:space="preserve">
QĐ Miễn nhiệm Trưởng bộ môn CAD/CAM-CNC từ 01/9/2015</t>
        </r>
      </text>
    </comment>
    <comment ref="W51" authorId="4"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t>
        </r>
      </text>
    </comment>
    <comment ref="Q52" authorId="2" shapeId="0">
      <text>
        <r>
          <rPr>
            <b/>
            <sz val="9"/>
            <color indexed="81"/>
            <rFont val="Tahoma"/>
            <family val="2"/>
          </rPr>
          <t>Admin:</t>
        </r>
        <r>
          <rPr>
            <sz val="9"/>
            <color indexed="81"/>
            <rFont val="Tahoma"/>
            <family val="2"/>
          </rPr>
          <t xml:space="preserve">
- HS 4,65 từ 01/9/2015 Nâng lương trước hạn
- HS 4,98 từ 01/9/2018</t>
        </r>
      </text>
    </comment>
    <comment ref="V52" authorId="0" shapeId="0">
      <text>
        <r>
          <rPr>
            <b/>
            <sz val="9"/>
            <color indexed="81"/>
            <rFont val="Tahoma"/>
            <family val="2"/>
          </rPr>
          <t>User:</t>
        </r>
        <r>
          <rPr>
            <sz val="9"/>
            <color indexed="81"/>
            <rFont val="Tahoma"/>
            <family val="2"/>
          </rPr>
          <t xml:space="preserve">
Miễn nhiệm trưởng BM cơ khí chế tạo máy 3 từ 01/9/2015</t>
        </r>
      </text>
    </comment>
    <comment ref="W52"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3" authorId="0" shapeId="0">
      <text>
        <r>
          <rPr>
            <b/>
            <sz val="9"/>
            <color indexed="81"/>
            <rFont val="Tahoma"/>
            <family val="2"/>
          </rPr>
          <t>User:</t>
        </r>
        <r>
          <rPr>
            <sz val="9"/>
            <color indexed="81"/>
            <rFont val="Tahoma"/>
            <family val="2"/>
          </rPr>
          <t xml:space="preserve">
- HS 4,32 từ 1/9/2014
- HS 4,65 từ 01/9/2017
- HS 4,98 từ 01/9/2020</t>
        </r>
      </text>
    </comment>
    <comment ref="Q54" authorId="0" shapeId="0">
      <text>
        <r>
          <rPr>
            <b/>
            <sz val="9"/>
            <color indexed="81"/>
            <rFont val="Tahoma"/>
            <family val="2"/>
          </rPr>
          <t>User:</t>
        </r>
        <r>
          <rPr>
            <sz val="9"/>
            <color indexed="81"/>
            <rFont val="Tahoma"/>
            <family val="2"/>
          </rPr>
          <t xml:space="preserve">
- HS 4,32 từ 1/9/2014
- HS 4,65 từ 01/9/2017
- HS 4,98 từ 01/9/2020</t>
        </r>
      </text>
    </comment>
    <comment ref="W54"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5" authorId="0"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W55" authorId="3"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t>
        </r>
      </text>
    </comment>
    <comment ref="Q56" authorId="0" shapeId="0">
      <text>
        <r>
          <rPr>
            <b/>
            <sz val="9"/>
            <color indexed="81"/>
            <rFont val="Tahoma"/>
            <family val="2"/>
          </rPr>
          <t>User:</t>
        </r>
        <r>
          <rPr>
            <sz val="9"/>
            <color indexed="81"/>
            <rFont val="Tahoma"/>
            <family val="2"/>
          </rPr>
          <t xml:space="preserve">
- HS 4,32 từ 01/9/14 (Nâng lương trước hạn)
- HS 4,98 từ 01/9/2020</t>
        </r>
      </text>
    </comment>
    <comment ref="W56" authorId="3"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t>
        </r>
      </text>
    </comment>
    <comment ref="Q57" authorId="0" shapeId="0">
      <text>
        <r>
          <rPr>
            <b/>
            <sz val="9"/>
            <color indexed="81"/>
            <rFont val="Tahoma"/>
            <family val="2"/>
          </rPr>
          <t>User:</t>
        </r>
        <r>
          <rPr>
            <sz val="9"/>
            <color indexed="81"/>
            <rFont val="Tahoma"/>
            <family val="2"/>
          </rPr>
          <t xml:space="preserve">
- 4,32 từ 01/10/2015
- 4,65 từ 01/10/2018</t>
        </r>
      </text>
    </comment>
    <comment ref="W57" authorId="3"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t>
        </r>
      </text>
    </comment>
    <comment ref="Q58" authorId="2" shapeId="0">
      <text>
        <r>
          <rPr>
            <b/>
            <sz val="9"/>
            <color indexed="81"/>
            <rFont val="Tahoma"/>
            <family val="2"/>
          </rPr>
          <t>Admin:</t>
        </r>
        <r>
          <rPr>
            <sz val="9"/>
            <color indexed="81"/>
            <rFont val="Tahoma"/>
            <family val="2"/>
          </rPr>
          <t xml:space="preserve">
- HS 4,32 từ 01/9/2016
- HS 4,65 từ 01/9/2019</t>
        </r>
      </text>
    </comment>
    <comment ref="W5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9" authorId="2" shapeId="0">
      <text>
        <r>
          <rPr>
            <b/>
            <sz val="9"/>
            <color indexed="81"/>
            <rFont val="Tahoma"/>
            <family val="2"/>
          </rPr>
          <t>Admin:</t>
        </r>
        <r>
          <rPr>
            <sz val="9"/>
            <color indexed="81"/>
            <rFont val="Tahoma"/>
            <family val="2"/>
          </rPr>
          <t xml:space="preserve">
- HS 3,99 từ 01/9/15 (NL trước hạn)
- HS 4,32 từ 01/9/18</t>
        </r>
      </text>
    </comment>
    <comment ref="V59" authorId="0"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W59"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0" authorId="0" shapeId="0">
      <text>
        <r>
          <rPr>
            <b/>
            <sz val="9"/>
            <color indexed="81"/>
            <rFont val="Tahoma"/>
            <family val="2"/>
          </rPr>
          <t>User:</t>
        </r>
        <r>
          <rPr>
            <sz val="9"/>
            <color indexed="81"/>
            <rFont val="Tahoma"/>
            <family val="2"/>
          </rPr>
          <t xml:space="preserve">
- HS 3.66 từ 01/09/2013 (NL trước hạn)
- HS 3,99 từ 01/9/2016
- HS 4,32 từ 01/9/2019</t>
        </r>
      </text>
    </comment>
    <comment ref="V60" authorId="3"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W60"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1" authorId="0" shapeId="0">
      <text>
        <r>
          <rPr>
            <b/>
            <sz val="9"/>
            <color indexed="81"/>
            <rFont val="Tahoma"/>
            <family val="2"/>
          </rPr>
          <t>User:</t>
        </r>
        <r>
          <rPr>
            <sz val="9"/>
            <color indexed="81"/>
            <rFont val="Tahoma"/>
            <family val="2"/>
          </rPr>
          <t xml:space="preserve">
- HS 3,66 từ 01/9/2015
- HS 3,99 từ 01/9/2018</t>
        </r>
      </text>
    </comment>
    <comment ref="V61" authorId="3"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W61"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t>
        </r>
      </text>
    </comment>
    <comment ref="Q62" authorId="0" shapeId="0">
      <text>
        <r>
          <rPr>
            <b/>
            <sz val="9"/>
            <color indexed="81"/>
            <rFont val="Tahoma"/>
            <family val="2"/>
          </rPr>
          <t>User:</t>
        </r>
        <r>
          <rPr>
            <sz val="9"/>
            <color indexed="81"/>
            <rFont val="Tahoma"/>
            <family val="2"/>
          </rPr>
          <t xml:space="preserve">
- HS 3,66 từ 01/9/2015
- HS 3,99 từ 01/9/2018</t>
        </r>
      </text>
    </comment>
    <comment ref="W62" authorId="3"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t>
        </r>
      </text>
    </comment>
    <comment ref="Q63" authorId="0" shapeId="0">
      <text>
        <r>
          <rPr>
            <b/>
            <sz val="9"/>
            <color indexed="81"/>
            <rFont val="Tahoma"/>
            <family val="2"/>
          </rPr>
          <t>User:</t>
        </r>
        <r>
          <rPr>
            <sz val="9"/>
            <color indexed="81"/>
            <rFont val="Tahoma"/>
            <family val="2"/>
          </rPr>
          <t xml:space="preserve">
- bậc 5, hệ số 3,66</t>
        </r>
      </text>
    </comment>
    <comment ref="W63" authorId="4" shapeId="0">
      <text>
        <r>
          <rPr>
            <b/>
            <sz val="8"/>
            <color indexed="81"/>
            <rFont val="Tahoma"/>
            <family val="2"/>
          </rPr>
          <t>admin:</t>
        </r>
        <r>
          <rPr>
            <sz val="8"/>
            <color indexed="81"/>
            <rFont val="Tahoma"/>
            <family val="2"/>
          </rPr>
          <t xml:space="preserve">
+ 11% từ 01/02/2014
+ 12% từ 01/02/2015
+ 13% từ 01/02/2016
+ 14% từ 01/2/17
+ 15% từ 01/02/2018
+ 16% từ 01/02/2019
+ 17% từ 01/02/2020</t>
        </r>
      </text>
    </comment>
    <comment ref="Q64" authorId="0" shapeId="0">
      <text>
        <r>
          <rPr>
            <b/>
            <sz val="9"/>
            <color indexed="81"/>
            <rFont val="Tahoma"/>
            <family val="2"/>
          </rPr>
          <t>User:</t>
        </r>
        <r>
          <rPr>
            <sz val="9"/>
            <color indexed="81"/>
            <rFont val="Tahoma"/>
            <family val="2"/>
          </rPr>
          <t xml:space="preserve">
+ HS 3,66 từ 01/9/2014
+ HS 3,99 từ 01/9/2017
+ HS 4,32 từ 01/9/2020</t>
        </r>
      </text>
    </comment>
    <comment ref="W64" authorId="3"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t>
        </r>
      </text>
    </comment>
    <comment ref="Q65" authorId="2" shapeId="0">
      <text>
        <r>
          <rPr>
            <b/>
            <sz val="9"/>
            <color indexed="81"/>
            <rFont val="Tahoma"/>
            <family val="2"/>
          </rPr>
          <t>Admin:</t>
        </r>
        <r>
          <rPr>
            <sz val="9"/>
            <color indexed="81"/>
            <rFont val="Tahoma"/>
            <family val="2"/>
          </rPr>
          <t xml:space="preserve">
- HS 3,99 từ 01/12/15 (NLl trước hạn)
- HS 4,32 từ 01/12/2018</t>
        </r>
      </text>
    </comment>
    <comment ref="W65"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6" authorId="0" shapeId="0">
      <text>
        <r>
          <rPr>
            <b/>
            <sz val="9"/>
            <color indexed="81"/>
            <rFont val="Tahoma"/>
            <family val="2"/>
          </rPr>
          <t>User:</t>
        </r>
        <r>
          <rPr>
            <sz val="9"/>
            <color indexed="81"/>
            <rFont val="Tahoma"/>
            <family val="2"/>
          </rPr>
          <t xml:space="preserve">
- HS 3,66 từ 0/9/2014
- HS 3,99 từ 01/9/2017
- HS 4,32 từ 01/9/2020</t>
        </r>
      </text>
    </comment>
    <comment ref="V66" authorId="3" shapeId="0">
      <text>
        <r>
          <rPr>
            <b/>
            <sz val="8"/>
            <color indexed="81"/>
            <rFont val="Tahoma"/>
            <family val="2"/>
          </rPr>
          <t>user:</t>
        </r>
        <r>
          <rPr>
            <sz val="8"/>
            <color indexed="81"/>
            <rFont val="Tahoma"/>
            <family val="2"/>
          </rPr>
          <t xml:space="preserve">
QĐ Miễn nhiệm Phó trưởng khoa từ 01/06/2012</t>
        </r>
      </text>
    </comment>
    <comment ref="W66"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7" authorId="0" shapeId="0">
      <text>
        <r>
          <rPr>
            <b/>
            <sz val="9"/>
            <color indexed="81"/>
            <rFont val="Tahoma"/>
            <family val="2"/>
          </rPr>
          <t>User:</t>
        </r>
        <r>
          <rPr>
            <sz val="9"/>
            <color indexed="81"/>
            <rFont val="Tahoma"/>
            <family val="2"/>
          </rPr>
          <t xml:space="preserve">
- HS 3,66 từ 1/9/2014
- HS 3,99 từ 01/9/2017
- HS 4,32 từ 01/9/2020
</t>
        </r>
      </text>
    </comment>
    <comment ref="W67" authorId="3"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t>
        </r>
      </text>
    </comment>
    <comment ref="Q68" authorId="0" shapeId="0">
      <text>
        <r>
          <rPr>
            <b/>
            <sz val="9"/>
            <color indexed="81"/>
            <rFont val="Tahoma"/>
            <family val="2"/>
          </rPr>
          <t>User:</t>
        </r>
        <r>
          <rPr>
            <sz val="9"/>
            <color indexed="81"/>
            <rFont val="Tahoma"/>
            <family val="2"/>
          </rPr>
          <t xml:space="preserve">
- HS 3,66 từ 1/9/2014
- HS 3,99 từ 01/9/2017
- HS 4,32 từ 01/9/2019 (NL trước hạn)</t>
        </r>
      </text>
    </comment>
    <comment ref="W68"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9" authorId="0" shapeId="0">
      <text>
        <r>
          <rPr>
            <b/>
            <sz val="9"/>
            <color indexed="81"/>
            <rFont val="Tahoma"/>
            <family val="2"/>
          </rPr>
          <t>User:</t>
        </r>
        <r>
          <rPr>
            <sz val="9"/>
            <color indexed="81"/>
            <rFont val="Tahoma"/>
            <family val="2"/>
          </rPr>
          <t xml:space="preserve">
- HS 3,66 từ 01/9/2014
- HS 3,99 từ 01/9/2017
- HS 4,32 từ 01/9/2020</t>
        </r>
      </text>
    </comment>
    <comment ref="W69"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0" authorId="0" shapeId="0">
      <text>
        <r>
          <rPr>
            <b/>
            <sz val="9"/>
            <color indexed="81"/>
            <rFont val="Tahoma"/>
            <family val="2"/>
          </rPr>
          <t>User:</t>
        </r>
        <r>
          <rPr>
            <sz val="9"/>
            <color indexed="81"/>
            <rFont val="Tahoma"/>
            <family val="2"/>
          </rPr>
          <t xml:space="preserve">
- HS 3,66 từ 01/9/2015
- HS 3,99 từ 01/9/2018</t>
        </r>
      </text>
    </comment>
    <comment ref="W7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1"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1"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2" authorId="0" shapeId="0">
      <text>
        <r>
          <rPr>
            <b/>
            <sz val="9"/>
            <color indexed="81"/>
            <rFont val="Tahoma"/>
            <family val="2"/>
          </rPr>
          <t>User:</t>
        </r>
        <r>
          <rPr>
            <sz val="9"/>
            <color indexed="81"/>
            <rFont val="Tahoma"/>
            <family val="2"/>
          </rPr>
          <t xml:space="preserve">
- HS 3,66 từ 01/9/2015
- HS 3,99 từ 01/9/2018</t>
        </r>
      </text>
    </comment>
    <comment ref="W72"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3"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3"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4" authorId="3"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t>
        </r>
      </text>
    </comment>
    <comment ref="Q75" authorId="2" shapeId="0">
      <text>
        <r>
          <rPr>
            <b/>
            <sz val="9"/>
            <color indexed="81"/>
            <rFont val="Tahoma"/>
            <family val="2"/>
          </rPr>
          <t>Admin:</t>
        </r>
        <r>
          <rPr>
            <sz val="9"/>
            <color indexed="81"/>
            <rFont val="Tahoma"/>
            <family val="2"/>
          </rPr>
          <t xml:space="preserve">
- HS 3,66 từ 01/9/2016
- HS 3,99 từ 01/9/2019</t>
        </r>
      </text>
    </comment>
    <comment ref="Q7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7"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7" authorId="3" shapeId="0">
      <text>
        <r>
          <rPr>
            <sz val="8"/>
            <color indexed="81"/>
            <rFont val="Tahoma"/>
            <family val="2"/>
          </rPr>
          <t>9% Từ 01/09/2013
+ 10% từ 01/9/2014
+ 11% từ 01/9/2015
+ 12% từ 01/9/2016
+ 13% từ 01/9/2017
+ 14% từ 01/9/2018
+ 15% từ 01/9/2019
+ 16% từ 01/9/2020</t>
        </r>
      </text>
    </comment>
    <comment ref="Q78"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8" authorId="3" shapeId="0">
      <text>
        <r>
          <rPr>
            <sz val="12"/>
            <color indexed="81"/>
            <rFont val="Tahoma"/>
            <family val="2"/>
          </rPr>
          <t>9% Từ 01/09/2013
+ 10% từ 01/9/2014
+ 11% từ 01/9/2015
+ 12% từ 01/9/2016
+ 13% từ 01/9/2017
+ 14% từ 01/9/2018
+ 15% từ 01/9/2019
+ 16% từ 01/9/2020</t>
        </r>
      </text>
    </comment>
    <comment ref="Q79" authorId="2" shapeId="0">
      <text>
        <r>
          <rPr>
            <b/>
            <sz val="9"/>
            <color indexed="81"/>
            <rFont val="Tahoma"/>
            <family val="2"/>
          </rPr>
          <t>Admin:</t>
        </r>
        <r>
          <rPr>
            <sz val="9"/>
            <color indexed="81"/>
            <rFont val="Tahoma"/>
            <family val="2"/>
          </rPr>
          <t xml:space="preserve">
- HS 3,66 từ 01/9/2016
- HS 3,99 từ 01/9/2019</t>
        </r>
      </text>
    </comment>
    <comment ref="W79"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80" authorId="2" shapeId="0">
      <text>
        <r>
          <rPr>
            <b/>
            <sz val="9"/>
            <color indexed="81"/>
            <rFont val="Tahoma"/>
            <family val="2"/>
          </rPr>
          <t>Admin:</t>
        </r>
        <r>
          <rPr>
            <sz val="9"/>
            <color indexed="81"/>
            <rFont val="Tahoma"/>
            <family val="2"/>
          </rPr>
          <t xml:space="preserve">
- HS 3,66 từ 01/9/2016
- HS 3,99 từ 01/9/2019</t>
        </r>
      </text>
    </comment>
    <comment ref="W80" authorId="3"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t>
        </r>
      </text>
    </comment>
    <comment ref="S81" authorId="2" shapeId="0">
      <text>
        <r>
          <rPr>
            <b/>
            <sz val="9"/>
            <color indexed="81"/>
            <rFont val="Tahoma"/>
            <family val="2"/>
          </rPr>
          <t>Admin:</t>
        </r>
        <r>
          <rPr>
            <sz val="9"/>
            <color indexed="81"/>
            <rFont val="Tahoma"/>
            <family val="2"/>
          </rPr>
          <t xml:space="preserve">
- 6% từ 01/5/2018
- 7% từ 01/5/2019
- 8% từ 01/5/2020</t>
        </r>
      </text>
    </comment>
    <comment ref="W81" authorId="4"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t>
        </r>
      </text>
    </comment>
    <comment ref="Q82" authorId="2" shapeId="0">
      <text>
        <r>
          <rPr>
            <b/>
            <sz val="9"/>
            <color indexed="81"/>
            <rFont val="Tahoma"/>
            <family val="2"/>
          </rPr>
          <t>Admin:</t>
        </r>
        <r>
          <rPr>
            <sz val="9"/>
            <color indexed="81"/>
            <rFont val="Tahoma"/>
            <family val="2"/>
          </rPr>
          <t xml:space="preserve">
- HS 4,32 từ 01/9/2017 (Nâng lương trước hạn)
- HS 4,65 từ 01/9/2020</t>
        </r>
      </text>
    </comment>
    <comment ref="V82" authorId="4"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t>
        </r>
      </text>
    </comment>
    <comment ref="W82" authorId="2" shapeId="0">
      <text>
        <r>
          <rPr>
            <b/>
            <sz val="9"/>
            <color indexed="81"/>
            <rFont val="Tahoma"/>
            <family val="2"/>
          </rPr>
          <t>Admin:</t>
        </r>
        <r>
          <rPr>
            <sz val="9"/>
            <color indexed="81"/>
            <rFont val="Tahoma"/>
            <family val="2"/>
          </rPr>
          <t xml:space="preserve">
-13% từ 01/6/2018
- 14% từ 01/6/2019
- 15% từ 01/06/2020</t>
        </r>
      </text>
    </comment>
    <comment ref="AJ82" authorId="3" shapeId="0">
      <text>
        <r>
          <rPr>
            <b/>
            <sz val="8"/>
            <color indexed="81"/>
            <rFont val="Tahoma"/>
            <family val="2"/>
          </rPr>
          <t>user:</t>
        </r>
        <r>
          <rPr>
            <sz val="8"/>
            <color indexed="81"/>
            <rFont val="Tahoma"/>
            <family val="2"/>
          </rPr>
          <t xml:space="preserve">
HS 0.75
</t>
        </r>
      </text>
    </comment>
    <comment ref="Q83" authorId="0" shapeId="0">
      <text>
        <r>
          <rPr>
            <b/>
            <sz val="9"/>
            <color indexed="81"/>
            <rFont val="Tahoma"/>
            <family val="2"/>
          </rPr>
          <t>User:</t>
        </r>
        <r>
          <rPr>
            <sz val="9"/>
            <color indexed="81"/>
            <rFont val="Tahoma"/>
            <family val="2"/>
          </rPr>
          <t xml:space="preserve">
- 4,32 từ 01/11/2015
- 4,65 từ 01/11/2018</t>
        </r>
      </text>
    </comment>
    <comment ref="W83" authorId="0"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t>
        </r>
      </text>
    </comment>
    <comment ref="S84" authorId="0"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t>
        </r>
      </text>
    </comment>
    <comment ref="Q85" authorId="0" shapeId="0">
      <text>
        <r>
          <rPr>
            <b/>
            <sz val="9"/>
            <color indexed="81"/>
            <rFont val="Tahoma"/>
            <family val="2"/>
          </rPr>
          <t>User:</t>
        </r>
        <r>
          <rPr>
            <sz val="9"/>
            <color indexed="81"/>
            <rFont val="Tahoma"/>
            <family val="2"/>
          </rPr>
          <t xml:space="preserve">
- HS 4,89 từ 01/5/14 (Nâng lươgn trước hạn năm 2015)</t>
        </r>
      </text>
    </comment>
    <comment ref="S85" authorId="2" shapeId="0">
      <text>
        <r>
          <rPr>
            <b/>
            <sz val="9"/>
            <color indexed="81"/>
            <rFont val="Tahoma"/>
            <family val="2"/>
          </rPr>
          <t>Admin:</t>
        </r>
        <r>
          <rPr>
            <sz val="9"/>
            <color indexed="81"/>
            <rFont val="Tahoma"/>
            <family val="2"/>
          </rPr>
          <t xml:space="preserve">
+ 5% từ 01/05/2018
+ 7% từ 01/05/2020</t>
        </r>
      </text>
    </comment>
    <comment ref="V85" authorId="3"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W85" authorId="0" shapeId="0">
      <text>
        <r>
          <rPr>
            <b/>
            <sz val="9"/>
            <color indexed="81"/>
            <rFont val="Tahoma"/>
            <family val="2"/>
          </rPr>
          <t>User:</t>
        </r>
        <r>
          <rPr>
            <sz val="9"/>
            <color indexed="81"/>
            <rFont val="Tahoma"/>
            <family val="2"/>
          </rPr>
          <t xml:space="preserve">
- 21% từ 01/5/2015
- 22% từ 01/5/2016
- 23% từ 01/5/2017
- 24% từ 01/5/2018
- 25% từ 01/5/2019
- 26% từ 01/5/2020</t>
        </r>
      </text>
    </comment>
    <comment ref="Q86" authorId="0" shapeId="0">
      <text>
        <r>
          <rPr>
            <b/>
            <sz val="9"/>
            <color indexed="81"/>
            <rFont val="Tahoma"/>
            <family val="2"/>
          </rPr>
          <t>User:</t>
        </r>
        <r>
          <rPr>
            <sz val="9"/>
            <color indexed="81"/>
            <rFont val="Tahoma"/>
            <family val="2"/>
          </rPr>
          <t xml:space="preserve">
- HS 4,89 từ 01/09/2015
</t>
        </r>
      </text>
    </comment>
    <comment ref="S86" authorId="3" shapeId="0">
      <text>
        <r>
          <rPr>
            <b/>
            <sz val="9"/>
            <color indexed="81"/>
            <rFont val="Tahoma"/>
            <family val="2"/>
          </rPr>
          <t>user:</t>
        </r>
        <r>
          <rPr>
            <sz val="9"/>
            <color indexed="81"/>
            <rFont val="Tahoma"/>
            <family val="2"/>
          </rPr>
          <t xml:space="preserve">
- 6% từ 01/9/2019
- 7% từ 01/9/2020</t>
        </r>
      </text>
    </comment>
    <comment ref="Q103" authorId="0" shapeId="0">
      <text>
        <r>
          <rPr>
            <b/>
            <sz val="9"/>
            <color indexed="81"/>
            <rFont val="Tahoma"/>
            <family val="2"/>
          </rPr>
          <t>User:</t>
        </r>
        <r>
          <rPr>
            <sz val="9"/>
            <color indexed="81"/>
            <rFont val="Tahoma"/>
            <family val="2"/>
          </rPr>
          <t xml:space="preserve">
- HS 3.33 từ 01/09/2013 (NL trước hạn)
- HS 3,66 từ 01/9/2016 
- HS 3,99 từ 01/9/2018</t>
        </r>
      </text>
    </comment>
    <comment ref="V103" authorId="0" shapeId="0">
      <text>
        <r>
          <rPr>
            <b/>
            <sz val="9"/>
            <color indexed="81"/>
            <rFont val="Tahoma"/>
            <family val="2"/>
          </rPr>
          <t>User:</t>
        </r>
        <r>
          <rPr>
            <sz val="9"/>
            <color indexed="81"/>
            <rFont val="Tahoma"/>
            <family val="2"/>
          </rPr>
          <t xml:space="preserve">
- QĐ Bổ nhiệm Trưởng khoa CN Động lực từ 01/8/2015
</t>
        </r>
      </text>
    </comment>
    <comment ref="W103"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04" authorId="2" shapeId="0">
      <text>
        <r>
          <rPr>
            <b/>
            <sz val="9"/>
            <color indexed="81"/>
            <rFont val="Tahoma"/>
            <family val="2"/>
          </rPr>
          <t>Admin:</t>
        </r>
        <r>
          <rPr>
            <sz val="9"/>
            <color indexed="81"/>
            <rFont val="Tahoma"/>
            <family val="2"/>
          </rPr>
          <t xml:space="preserve">
- HS 3,66 từ 01/9/2015 (NL trước hạn)
- HS 3,99 từ 01/9/2018</t>
        </r>
      </text>
    </comment>
    <comment ref="V104" authorId="3"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W104" authorId="3"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t>
        </r>
      </text>
    </comment>
    <comment ref="Q105" authorId="2" shapeId="0">
      <text>
        <r>
          <rPr>
            <b/>
            <sz val="9"/>
            <color indexed="81"/>
            <rFont val="Tahoma"/>
            <family val="2"/>
          </rPr>
          <t>Admin:</t>
        </r>
        <r>
          <rPr>
            <sz val="9"/>
            <color indexed="81"/>
            <rFont val="Tahoma"/>
            <family val="2"/>
          </rPr>
          <t xml:space="preserve">
- HS 3,33 từ 01/11/2016
- HS 3,99 từ 01/11/2018</t>
        </r>
      </text>
    </comment>
    <comment ref="V105" authorId="2"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W105" authorId="2" shapeId="0">
      <text>
        <r>
          <rPr>
            <b/>
            <sz val="9"/>
            <color indexed="81"/>
            <rFont val="Tahoma"/>
            <family val="2"/>
          </rPr>
          <t>Admin:</t>
        </r>
        <r>
          <rPr>
            <sz val="9"/>
            <color indexed="81"/>
            <rFont val="Tahoma"/>
            <family val="2"/>
          </rPr>
          <t xml:space="preserve">
- 12% từ 01/11/2016
- 13% từ 01/11/2017
- 14% từ 01/11/2018
- 15% từ 01/11/2019
- 16% từ 01/11/2020</t>
        </r>
      </text>
    </comment>
    <comment ref="Q106" authorId="3" shapeId="0">
      <text>
        <r>
          <rPr>
            <sz val="8"/>
            <color indexed="81"/>
            <rFont val="Tahoma"/>
            <family val="2"/>
          </rPr>
          <t>Chuyển ngạch 15.111 từ 01/11/2012
- HS 2,67 từ 01/4/2014 (Nâng lương trước hạn năm 2015)
- HS 3,00 từ 01/04/2017
- HS 3,33 từ 01/04/2019 (NL trước hạn)</t>
        </r>
      </text>
    </comment>
    <comment ref="V106" authorId="5"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W106" authorId="1" shapeId="0">
      <text>
        <r>
          <rPr>
            <b/>
            <sz val="9"/>
            <color indexed="81"/>
            <rFont val="Tahoma"/>
            <family val="2"/>
          </rPr>
          <t>Quynh:</t>
        </r>
        <r>
          <rPr>
            <sz val="9"/>
            <color indexed="81"/>
            <rFont val="Tahoma"/>
            <family val="2"/>
          </rPr>
          <t xml:space="preserve">
- 6% từ 01/11/2018
- 7% từ 01/11/2019
- 8% từ 01/11/2020</t>
        </r>
      </text>
    </comment>
    <comment ref="AJ106" authorId="3" shapeId="0">
      <text>
        <r>
          <rPr>
            <b/>
            <sz val="9"/>
            <color indexed="81"/>
            <rFont val="Tahoma"/>
            <family val="2"/>
          </rPr>
          <t>user:</t>
        </r>
        <r>
          <rPr>
            <sz val="9"/>
            <color indexed="81"/>
            <rFont val="Tahoma"/>
            <family val="2"/>
          </rPr>
          <t xml:space="preserve">
UV BCH Đảng bộ từ 13/4/2020</t>
        </r>
      </text>
    </comment>
    <comment ref="Q107" authorId="0" shapeId="0">
      <text>
        <r>
          <rPr>
            <b/>
            <sz val="9"/>
            <color indexed="81"/>
            <rFont val="Tahoma"/>
            <family val="2"/>
          </rPr>
          <t>User:</t>
        </r>
        <r>
          <rPr>
            <sz val="9"/>
            <color indexed="81"/>
            <rFont val="Tahoma"/>
            <family val="2"/>
          </rPr>
          <t xml:space="preserve">
+ HS 3,33 từ 01/01/2014
+ HS 3,66 từ 01/01/2017
+ HS 3,99 từ 01/01/2019 (NL trước hạn)</t>
        </r>
      </text>
    </comment>
    <comment ref="V107" authorId="2"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Q108" authorId="3" shapeId="0">
      <text>
        <r>
          <rPr>
            <b/>
            <sz val="9"/>
            <color indexed="81"/>
            <rFont val="Tahoma"/>
            <family val="2"/>
          </rPr>
          <t>user:</t>
        </r>
        <r>
          <rPr>
            <sz val="9"/>
            <color indexed="81"/>
            <rFont val="Tahoma"/>
            <family val="2"/>
          </rPr>
          <t xml:space="preserve">
- BNCD NN từ 01/10/2019 (HS 2,34)
</t>
        </r>
      </text>
    </comment>
    <comment ref="V108" authorId="3" shapeId="0">
      <text>
        <r>
          <rPr>
            <b/>
            <sz val="9"/>
            <color indexed="81"/>
            <rFont val="Tahoma"/>
            <family val="2"/>
          </rPr>
          <t>user:</t>
        </r>
        <r>
          <rPr>
            <sz val="9"/>
            <color indexed="81"/>
            <rFont val="Tahoma"/>
            <family val="2"/>
          </rPr>
          <t xml:space="preserve">
- QĐ BN Phó Trưởng TT QHDN từ 01/02/2020</t>
        </r>
      </text>
    </comment>
    <comment ref="AJ108" authorId="3" shapeId="0">
      <text>
        <r>
          <rPr>
            <b/>
            <sz val="9"/>
            <color indexed="81"/>
            <rFont val="Tahoma"/>
            <family val="2"/>
          </rPr>
          <t>user:</t>
        </r>
        <r>
          <rPr>
            <sz val="9"/>
            <color indexed="81"/>
            <rFont val="Tahoma"/>
            <family val="2"/>
          </rPr>
          <t xml:space="preserve">
- Bí thư Đoàn TN hưởng PCTN 0,45</t>
        </r>
      </text>
    </comment>
    <comment ref="Q109" authorId="3" shapeId="0">
      <text>
        <r>
          <rPr>
            <b/>
            <sz val="9"/>
            <color indexed="81"/>
            <rFont val="Tahoma"/>
            <family val="2"/>
          </rPr>
          <t>user:</t>
        </r>
        <r>
          <rPr>
            <sz val="9"/>
            <color indexed="81"/>
            <rFont val="Tahoma"/>
            <family val="2"/>
          </rPr>
          <t xml:space="preserve">
- 3,00 từ 01/10/2019</t>
        </r>
      </text>
    </comment>
    <comment ref="V109" authorId="3" shapeId="0">
      <text>
        <r>
          <rPr>
            <b/>
            <sz val="9"/>
            <color indexed="81"/>
            <rFont val="Tahoma"/>
            <family val="2"/>
          </rPr>
          <t>user:</t>
        </r>
        <r>
          <rPr>
            <sz val="9"/>
            <color indexed="81"/>
            <rFont val="Tahoma"/>
            <family val="2"/>
          </rPr>
          <t xml:space="preserve">
- QĐ BN Phó phòng từ 01/9/2020</t>
        </r>
      </text>
    </comment>
    <comment ref="Q110" authorId="0" shapeId="0">
      <text>
        <r>
          <rPr>
            <b/>
            <sz val="9"/>
            <color indexed="81"/>
            <rFont val="Tahoma"/>
            <family val="2"/>
          </rPr>
          <t>User:</t>
        </r>
        <r>
          <rPr>
            <sz val="9"/>
            <color indexed="81"/>
            <rFont val="Tahoma"/>
            <family val="2"/>
          </rPr>
          <t xml:space="preserve">
- HS 3,33 từ 01/10/2014 (Nâng lương trước hạn năm 2015)
- HS 3,99 từ 01/10/2019 (NL trước hạn)</t>
        </r>
      </text>
    </comment>
    <comment ref="V110" authorId="3" shapeId="0">
      <text>
        <r>
          <rPr>
            <b/>
            <sz val="8"/>
            <color indexed="81"/>
            <rFont val="Tahoma"/>
            <family val="2"/>
          </rPr>
          <t>user:</t>
        </r>
        <r>
          <rPr>
            <sz val="8"/>
            <color indexed="81"/>
            <rFont val="Tahoma"/>
            <family val="2"/>
          </rPr>
          <t xml:space="preserve">
QĐ Bổ nhiệm phó TP Kế toán từ 01/03/2012</t>
        </r>
      </text>
    </comment>
    <comment ref="Q111" authorId="0" shapeId="0">
      <text>
        <r>
          <rPr>
            <b/>
            <sz val="9"/>
            <color indexed="81"/>
            <rFont val="Tahoma"/>
            <family val="2"/>
          </rPr>
          <t>User:</t>
        </r>
        <r>
          <rPr>
            <sz val="9"/>
            <color indexed="81"/>
            <rFont val="Tahoma"/>
            <family val="2"/>
          </rPr>
          <t xml:space="preserve">
- HS 3,00 từ 01/9/2015
- HS 3,33 từ 01/9/2017 (NL trước hạn 2017)
- HS 3,66 từ 01/9/2020</t>
        </r>
      </text>
    </comment>
    <comment ref="V111" authorId="0" shapeId="0">
      <text>
        <r>
          <rPr>
            <b/>
            <sz val="9"/>
            <color indexed="81"/>
            <rFont val="Tahoma"/>
            <family val="2"/>
          </rPr>
          <t>User:</t>
        </r>
        <r>
          <rPr>
            <sz val="9"/>
            <color indexed="81"/>
            <rFont val="Tahoma"/>
            <family val="2"/>
          </rPr>
          <t xml:space="preserve">
- QĐ Bổ nhiệm Phó TK LL Chính trị từ 01/7/2015</t>
        </r>
      </text>
    </comment>
    <comment ref="W111"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12"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12" authorId="3" shapeId="0">
      <text>
        <r>
          <rPr>
            <b/>
            <sz val="8"/>
            <color indexed="81"/>
            <rFont val="Tahoma"/>
            <family val="2"/>
          </rPr>
          <t>- QĐ Bổ nhiệm Phó Trưởng khoa Lý luận chính trị từ 01/10/2015
- QĐ BN lại từ 01/10/2020</t>
        </r>
      </text>
    </comment>
    <comment ref="W112" authorId="3"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t>
        </r>
      </text>
    </comment>
    <comment ref="Q113" authorId="0" shapeId="0">
      <text>
        <r>
          <rPr>
            <b/>
            <sz val="9"/>
            <color indexed="81"/>
            <rFont val="Tahoma"/>
            <family val="2"/>
          </rPr>
          <t>User:</t>
        </r>
        <r>
          <rPr>
            <sz val="9"/>
            <color indexed="81"/>
            <rFont val="Tahoma"/>
            <family val="2"/>
          </rPr>
          <t xml:space="preserve">
- HS 3,00 từ 01/09/2015
- HS 3,33 từ 01/09/2018</t>
        </r>
      </text>
    </comment>
    <comment ref="V113" authorId="4"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W1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14" authorId="2" shapeId="0">
      <text>
        <r>
          <rPr>
            <b/>
            <sz val="9"/>
            <color indexed="81"/>
            <rFont val="Tahoma"/>
            <family val="2"/>
          </rPr>
          <t>Admin:</t>
        </r>
        <r>
          <rPr>
            <sz val="9"/>
            <color indexed="81"/>
            <rFont val="Tahoma"/>
            <family val="2"/>
          </rPr>
          <t xml:space="preserve">
- HS 3,33 từ 01/9/2015 (Nâng lương trước hạn)
- HS 3,66 từ 01/9/2018</t>
        </r>
      </text>
    </comment>
    <comment ref="V114" authorId="3" shapeId="0">
      <text>
        <r>
          <rPr>
            <b/>
            <sz val="9"/>
            <color indexed="81"/>
            <rFont val="Tahoma"/>
            <family val="2"/>
          </rPr>
          <t>user:</t>
        </r>
        <r>
          <rPr>
            <sz val="9"/>
            <color indexed="81"/>
            <rFont val="Tahoma"/>
            <family val="2"/>
          </rPr>
          <t xml:space="preserve">
- QĐ BN Phó TP Khảo thí từ 01/8/2020</t>
        </r>
      </text>
    </comment>
    <comment ref="W114" authorId="2" shapeId="0">
      <text>
        <r>
          <rPr>
            <b/>
            <sz val="9"/>
            <color indexed="81"/>
            <rFont val="Tahoma"/>
            <family val="2"/>
          </rPr>
          <t>Admin:</t>
        </r>
        <r>
          <rPr>
            <sz val="9"/>
            <color indexed="81"/>
            <rFont val="Tahoma"/>
            <family val="2"/>
          </rPr>
          <t xml:space="preserve">
- 5% từ 01/9/2017
- 6% từ 01/9/2018
- 7% từ 01/9/2019
- 8% từ 01/9/2020</t>
        </r>
      </text>
    </comment>
    <comment ref="Q115" authorId="3" shapeId="0">
      <text>
        <r>
          <rPr>
            <b/>
            <sz val="9"/>
            <color indexed="81"/>
            <rFont val="Tahoma"/>
            <family val="2"/>
          </rPr>
          <t>user:</t>
        </r>
        <r>
          <rPr>
            <sz val="9"/>
            <color indexed="81"/>
            <rFont val="Tahoma"/>
            <family val="2"/>
          </rPr>
          <t xml:space="preserve">
- HS 3,33 từ 01/9/2019</t>
        </r>
      </text>
    </comment>
    <comment ref="V115" authorId="4"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W115" authorId="1" shapeId="0">
      <text>
        <r>
          <rPr>
            <b/>
            <sz val="9"/>
            <color indexed="81"/>
            <rFont val="Tahoma"/>
            <family val="2"/>
          </rPr>
          <t>Quynh:</t>
        </r>
        <r>
          <rPr>
            <sz val="9"/>
            <color indexed="81"/>
            <rFont val="Tahoma"/>
            <family val="2"/>
          </rPr>
          <t xml:space="preserve">
+ 5% từ 01/6/2018
+ 6% từ 01/6/2019
+ 7% từ 01/06/2020</t>
        </r>
      </text>
    </comment>
    <comment ref="Q116" authorId="3" shapeId="0">
      <text>
        <r>
          <rPr>
            <b/>
            <sz val="9"/>
            <color indexed="81"/>
            <rFont val="Tahoma"/>
            <family val="2"/>
          </rPr>
          <t>user:</t>
        </r>
        <r>
          <rPr>
            <sz val="9"/>
            <color indexed="81"/>
            <rFont val="Tahoma"/>
            <family val="2"/>
          </rPr>
          <t xml:space="preserve">
- HS 3,33 từ 01/02/2020</t>
        </r>
      </text>
    </comment>
    <comment ref="V116" authorId="1" shapeId="0">
      <text>
        <r>
          <rPr>
            <b/>
            <sz val="9"/>
            <color indexed="81"/>
            <rFont val="Tahoma"/>
            <family val="2"/>
          </rPr>
          <t>Quynh:</t>
        </r>
        <r>
          <rPr>
            <sz val="9"/>
            <color indexed="81"/>
            <rFont val="Tahoma"/>
            <family val="2"/>
          </rPr>
          <t xml:space="preserve">
- Bổ nhiệm Phó Trưởng khoa từ 01/5/2019</t>
        </r>
      </text>
    </comment>
    <comment ref="W116" authorId="3" shapeId="0">
      <text>
        <r>
          <rPr>
            <b/>
            <sz val="9"/>
            <color indexed="81"/>
            <rFont val="Tahoma"/>
            <family val="2"/>
          </rPr>
          <t>user:</t>
        </r>
        <r>
          <rPr>
            <sz val="9"/>
            <color indexed="81"/>
            <rFont val="Tahoma"/>
            <family val="2"/>
          </rPr>
          <t xml:space="preserve">
+ 8% từ 01/02/2019
+ 9% từ 01/02/2020
</t>
        </r>
      </text>
    </comment>
    <comment ref="Q117" authorId="1" shapeId="0">
      <text>
        <r>
          <rPr>
            <b/>
            <sz val="9"/>
            <color indexed="81"/>
            <rFont val="Tahoma"/>
            <family val="2"/>
          </rPr>
          <t>Quynh:</t>
        </r>
        <r>
          <rPr>
            <sz val="9"/>
            <color indexed="81"/>
            <rFont val="Tahoma"/>
            <family val="2"/>
          </rPr>
          <t xml:space="preserve">
- HS 3,33 từ 01/3/19</t>
        </r>
      </text>
    </comment>
    <comment ref="V117" authorId="3" shapeId="0">
      <text>
        <r>
          <rPr>
            <b/>
            <sz val="9"/>
            <color indexed="81"/>
            <rFont val="Tahoma"/>
            <family val="2"/>
          </rPr>
          <t>user:</t>
        </r>
        <r>
          <rPr>
            <sz val="9"/>
            <color indexed="81"/>
            <rFont val="Tahoma"/>
            <family val="2"/>
          </rPr>
          <t xml:space="preserve">
- QĐ BN Phó TK CNTT từ 01/9/2020</t>
        </r>
      </text>
    </comment>
    <comment ref="W117" authorId="3" shapeId="0">
      <text>
        <r>
          <rPr>
            <b/>
            <sz val="9"/>
            <color indexed="81"/>
            <rFont val="Tahoma"/>
            <family val="2"/>
          </rPr>
          <t>user:</t>
        </r>
        <r>
          <rPr>
            <sz val="9"/>
            <color indexed="81"/>
            <rFont val="Tahoma"/>
            <family val="2"/>
          </rPr>
          <t xml:space="preserve">
+ 15% từ 01/5/2019
+ 16% từ 01/5/2020</t>
        </r>
      </text>
    </comment>
    <comment ref="Q118"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t>
        </r>
      </text>
    </comment>
    <comment ref="V118" authorId="0"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W118" authorId="3" shapeId="0">
      <text>
        <r>
          <rPr>
            <b/>
            <sz val="9"/>
            <color indexed="81"/>
            <rFont val="Tahoma"/>
            <family val="2"/>
          </rPr>
          <t>user:</t>
        </r>
        <r>
          <rPr>
            <sz val="9"/>
            <color indexed="81"/>
            <rFont val="Tahoma"/>
            <family val="2"/>
          </rPr>
          <t xml:space="preserve">
- 6% từ 01/9/2020</t>
        </r>
      </text>
    </comment>
    <comment ref="Q119" authorId="2" shapeId="0">
      <text>
        <r>
          <rPr>
            <b/>
            <sz val="9"/>
            <color indexed="81"/>
            <rFont val="Tahoma"/>
            <family val="2"/>
          </rPr>
          <t>Admin:</t>
        </r>
        <r>
          <rPr>
            <sz val="9"/>
            <color indexed="81"/>
            <rFont val="Tahoma"/>
            <family val="2"/>
          </rPr>
          <t xml:space="preserve">
- HS 2,67 từ 01/9/2016
- HS 3,00 từ 01/9/2019</t>
        </r>
      </text>
    </comment>
    <comment ref="V119" authorId="3" shapeId="0">
      <text>
        <r>
          <rPr>
            <b/>
            <sz val="9"/>
            <color indexed="81"/>
            <rFont val="Tahoma"/>
            <family val="2"/>
          </rPr>
          <t>user:</t>
        </r>
        <r>
          <rPr>
            <sz val="9"/>
            <color indexed="81"/>
            <rFont val="Tahoma"/>
            <family val="2"/>
          </rPr>
          <t xml:space="preserve">
- QĐ Bổ nhiệm Trưởng khoa CN May từ 01/11/2020</t>
        </r>
      </text>
    </comment>
    <comment ref="W119" authorId="3" shapeId="0">
      <text>
        <r>
          <rPr>
            <b/>
            <sz val="9"/>
            <color indexed="81"/>
            <rFont val="Tahoma"/>
            <family val="2"/>
          </rPr>
          <t>user:</t>
        </r>
        <r>
          <rPr>
            <sz val="9"/>
            <color indexed="81"/>
            <rFont val="Tahoma"/>
            <family val="2"/>
          </rPr>
          <t xml:space="preserve">
- 5% từ 01/9/2018
- 6% từ 01/9/2019
- 7% từ 01/9/2020</t>
        </r>
      </text>
    </comment>
    <comment ref="Q120" authorId="2" shapeId="0">
      <text>
        <r>
          <rPr>
            <b/>
            <sz val="9"/>
            <color indexed="81"/>
            <rFont val="Tahoma"/>
            <family val="2"/>
          </rPr>
          <t>Admin:</t>
        </r>
        <r>
          <rPr>
            <sz val="9"/>
            <color indexed="81"/>
            <rFont val="Tahoma"/>
            <family val="2"/>
          </rPr>
          <t xml:space="preserve">
- HS 2,67 từ 01/09/2017
- HS 3,00 từ 01/09/2019 (NL trước hạn)</t>
        </r>
      </text>
    </comment>
    <comment ref="Q121" authorId="2" shapeId="0">
      <text>
        <r>
          <rPr>
            <b/>
            <sz val="9"/>
            <color indexed="81"/>
            <rFont val="Tahoma"/>
            <family val="2"/>
          </rPr>
          <t>Admin:</t>
        </r>
        <r>
          <rPr>
            <sz val="9"/>
            <color indexed="81"/>
            <rFont val="Tahoma"/>
            <family val="2"/>
          </rPr>
          <t xml:space="preserve">
- HS 3,33 từ 01/9/2016 (NL trước hạn)
- HS 3,66 từ 01/9/2019</t>
        </r>
      </text>
    </comment>
    <comment ref="V121" authorId="1" shapeId="0">
      <text>
        <r>
          <rPr>
            <b/>
            <sz val="9"/>
            <color indexed="81"/>
            <rFont val="Tahoma"/>
            <family val="2"/>
          </rPr>
          <t>Quynh:</t>
        </r>
        <r>
          <rPr>
            <sz val="9"/>
            <color indexed="81"/>
            <rFont val="Tahoma"/>
            <family val="2"/>
          </rPr>
          <t xml:space="preserve">
- BN Trưởng BM QT-KD từ 01/01/2019
- QĐ BN Phó Trưởng phòng QT-DV từ ngày 01/10/2020</t>
        </r>
      </text>
    </comment>
    <comment ref="W121" authorId="2" shapeId="0">
      <text>
        <r>
          <rPr>
            <b/>
            <sz val="9"/>
            <color indexed="81"/>
            <rFont val="Tahoma"/>
            <family val="2"/>
          </rPr>
          <t>Admin:</t>
        </r>
        <r>
          <rPr>
            <sz val="9"/>
            <color indexed="81"/>
            <rFont val="Tahoma"/>
            <family val="2"/>
          </rPr>
          <t xml:space="preserve">
- 9% từ 01/03/2016
- 10% từ 01/03/2017
- 11% từ 01/03/2018
- 12% từ 01/03/2019
- 13% từ 01/03/2020</t>
        </r>
      </text>
    </comment>
    <comment ref="Q122"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22" authorId="0" shapeId="0">
      <text>
        <r>
          <rPr>
            <b/>
            <sz val="9"/>
            <color indexed="81"/>
            <rFont val="Tahoma"/>
            <family val="2"/>
          </rPr>
          <t>User:</t>
        </r>
        <r>
          <rPr>
            <sz val="9"/>
            <color indexed="81"/>
            <rFont val="Tahoma"/>
            <family val="2"/>
          </rPr>
          <t xml:space="preserve">
- QĐ Bổ nhiệm Trưởng bộ môn Thiết bị điện từ 01/9/2015</t>
        </r>
      </text>
    </comment>
    <comment ref="W122"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t>
        </r>
      </text>
    </comment>
    <comment ref="Q123" authorId="2" shapeId="0">
      <text>
        <r>
          <rPr>
            <b/>
            <sz val="9"/>
            <color indexed="81"/>
            <rFont val="Tahoma"/>
            <family val="2"/>
          </rPr>
          <t>Admin:</t>
        </r>
        <r>
          <rPr>
            <sz val="9"/>
            <color indexed="81"/>
            <rFont val="Tahoma"/>
            <family val="2"/>
          </rPr>
          <t xml:space="preserve">
- HS 3,66 từ 01/9/15- Nâng lương trước hạn
- HS 399 từ 01/9/2018</t>
        </r>
      </text>
    </comment>
    <comment ref="V123" authorId="2" shapeId="0">
      <text>
        <r>
          <rPr>
            <b/>
            <sz val="9"/>
            <color indexed="81"/>
            <rFont val="Tahoma"/>
            <family val="2"/>
          </rPr>
          <t>Admin:</t>
        </r>
        <r>
          <rPr>
            <sz val="9"/>
            <color indexed="81"/>
            <rFont val="Tahoma"/>
            <family val="2"/>
          </rPr>
          <t xml:space="preserve">
+ QĐ BN Trưởng bộ môn Công nghệ chế tạo từ 15/5/2016</t>
        </r>
      </text>
    </comment>
    <comment ref="W123" authorId="2" shapeId="0">
      <text>
        <r>
          <rPr>
            <b/>
            <sz val="9"/>
            <color indexed="81"/>
            <rFont val="Tahoma"/>
            <family val="2"/>
          </rPr>
          <t>Admin:</t>
        </r>
        <r>
          <rPr>
            <sz val="9"/>
            <color indexed="81"/>
            <rFont val="Tahoma"/>
            <family val="2"/>
          </rPr>
          <t xml:space="preserve">
+ 12% từ 01/9/2017
+ 13% từ 01/9/2018
+ 14% từ 01/9/2019
+ 15% từ 01/9/2020</t>
        </r>
      </text>
    </comment>
    <comment ref="Q124" authorId="2" shapeId="0">
      <text>
        <r>
          <rPr>
            <b/>
            <sz val="9"/>
            <color indexed="81"/>
            <rFont val="Tahoma"/>
            <family val="2"/>
          </rPr>
          <t>Admin:</t>
        </r>
        <r>
          <rPr>
            <sz val="9"/>
            <color indexed="81"/>
            <rFont val="Tahoma"/>
            <family val="2"/>
          </rPr>
          <t xml:space="preserve">
- HS 3,33 từ 01/9/2015 (NL trước hạn)
- HS 3,66 từ 01/9/2018</t>
        </r>
      </text>
    </comment>
    <comment ref="V124" authorId="3" shapeId="0">
      <text>
        <r>
          <rPr>
            <sz val="8"/>
            <color indexed="81"/>
            <rFont val="Tahoma"/>
            <family val="2"/>
          </rPr>
          <t>QĐ bổ nhiệmTTCM từ 01/09/2012
- Bổ nhiệm Trưởng bộ môn Gầm - Ô tô từ 01/9/2015</t>
        </r>
      </text>
    </comment>
    <comment ref="W124"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25" authorId="0" shapeId="0">
      <text>
        <r>
          <rPr>
            <b/>
            <sz val="9"/>
            <color indexed="81"/>
            <rFont val="Tahoma"/>
            <family val="2"/>
          </rPr>
          <t>User:</t>
        </r>
        <r>
          <rPr>
            <sz val="9"/>
            <color indexed="81"/>
            <rFont val="Tahoma"/>
            <family val="2"/>
          </rPr>
          <t xml:space="preserve">
- HS 3,00 từ 01/9/2014
- HS 3,33 từ 01/9/2016 (NL trước hạn 2016)
- HS 3,66 từ 01/9/2019</t>
        </r>
      </text>
    </comment>
    <comment ref="V125" authorId="3" shapeId="0">
      <text>
        <r>
          <rPr>
            <b/>
            <sz val="9"/>
            <color indexed="81"/>
            <rFont val="Tahoma"/>
            <family val="2"/>
          </rPr>
          <t>user:</t>
        </r>
        <r>
          <rPr>
            <sz val="9"/>
            <color indexed="81"/>
            <rFont val="Tahoma"/>
            <family val="2"/>
          </rPr>
          <t xml:space="preserve">
- BN Trưởng BM Động cơ Ô tô từ T9/2020</t>
        </r>
      </text>
    </comment>
    <comment ref="W125" authorId="0" shapeId="0">
      <text>
        <r>
          <rPr>
            <b/>
            <sz val="9"/>
            <color indexed="81"/>
            <rFont val="Tahoma"/>
            <family val="2"/>
          </rPr>
          <t>User:</t>
        </r>
        <r>
          <rPr>
            <sz val="9"/>
            <color indexed="81"/>
            <rFont val="Tahoma"/>
            <family val="2"/>
          </rPr>
          <t xml:space="preserve">
- 6% từ 01/9/15
- 7% từ 01/9/2016
- 8% từ 01/9/2017
- 9% từ 01/9/2018
- 10% từ 01/9/2019
- 11% từ 01/9/2020</t>
        </r>
      </text>
    </comment>
    <comment ref="Q126" authorId="0" shapeId="0">
      <text>
        <r>
          <rPr>
            <b/>
            <sz val="9"/>
            <color indexed="81"/>
            <rFont val="Tahoma"/>
            <family val="2"/>
          </rPr>
          <t>User:</t>
        </r>
        <r>
          <rPr>
            <sz val="9"/>
            <color indexed="81"/>
            <rFont val="Tahoma"/>
            <family val="2"/>
          </rPr>
          <t xml:space="preserve">
- HS 3,00 từ 01/9/2015
- HS 3,33 từ 01/9/2018</t>
        </r>
      </text>
    </comment>
    <comment ref="V126" authorId="0" shapeId="0">
      <text>
        <r>
          <rPr>
            <b/>
            <sz val="9"/>
            <color indexed="81"/>
            <rFont val="Tahoma"/>
            <family val="2"/>
          </rPr>
          <t>User:</t>
        </r>
        <r>
          <rPr>
            <sz val="9"/>
            <color indexed="81"/>
            <rFont val="Tahoma"/>
            <family val="2"/>
          </rPr>
          <t xml:space="preserve">
- Bổ nhiệm Trưởng BM Công nghệ phần mềm từ 01/9/2015</t>
        </r>
      </text>
    </comment>
    <comment ref="W12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27" authorId="0" shapeId="0">
      <text>
        <r>
          <rPr>
            <b/>
            <sz val="9"/>
            <color indexed="81"/>
            <rFont val="Tahoma"/>
            <family val="2"/>
          </rPr>
          <t>User:</t>
        </r>
        <r>
          <rPr>
            <sz val="9"/>
            <color indexed="81"/>
            <rFont val="Tahoma"/>
            <family val="2"/>
          </rPr>
          <t xml:space="preserve">
- HS 3,33 từ 01/9/2015
- HS 3,66 từ 01/9/2018</t>
        </r>
      </text>
    </comment>
    <comment ref="V127" authorId="2" shapeId="0">
      <text>
        <r>
          <rPr>
            <b/>
            <sz val="9"/>
            <color indexed="81"/>
            <rFont val="Tahoma"/>
            <family val="2"/>
          </rPr>
          <t>Admin:</t>
        </r>
        <r>
          <rPr>
            <sz val="9"/>
            <color indexed="81"/>
            <rFont val="Tahoma"/>
            <family val="2"/>
          </rPr>
          <t xml:space="preserve">
QĐ Bổ nhiệm Trưởng bộ môn Giáo dục thể chất từ 03/5/2017
</t>
        </r>
      </text>
    </comment>
    <comment ref="W127" authorId="3"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t>
        </r>
      </text>
    </comment>
    <comment ref="Q128" authorId="2" shapeId="0">
      <text>
        <r>
          <rPr>
            <b/>
            <sz val="9"/>
            <color indexed="81"/>
            <rFont val="Tahoma"/>
            <family val="2"/>
          </rPr>
          <t>Admin:</t>
        </r>
        <r>
          <rPr>
            <sz val="9"/>
            <color indexed="81"/>
            <rFont val="Tahoma"/>
            <family val="2"/>
          </rPr>
          <t xml:space="preserve">
- HS 3,00 từ 01/9/2015 (NL trước hạn)
- HS 3,33 từ 01/9/2018</t>
        </r>
      </text>
    </comment>
    <comment ref="V128" authorId="0" shapeId="0">
      <text>
        <r>
          <rPr>
            <b/>
            <sz val="9"/>
            <color indexed="81"/>
            <rFont val="Tahoma"/>
            <family val="2"/>
          </rPr>
          <t>User:</t>
        </r>
        <r>
          <rPr>
            <sz val="9"/>
            <color indexed="81"/>
            <rFont val="Tahoma"/>
            <family val="2"/>
          </rPr>
          <t xml:space="preserve">
- QĐ Bổ nhiệm Trưởng bộ môn Mạng máy tính từ 01/9/2015</t>
        </r>
      </text>
    </comment>
    <comment ref="W12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29" authorId="0" shapeId="0">
      <text>
        <r>
          <rPr>
            <b/>
            <sz val="9"/>
            <color indexed="81"/>
            <rFont val="Tahoma"/>
            <family val="2"/>
          </rPr>
          <t>User:</t>
        </r>
        <r>
          <rPr>
            <sz val="9"/>
            <color indexed="81"/>
            <rFont val="Tahoma"/>
            <family val="2"/>
          </rPr>
          <t xml:space="preserve">
- HS 2.67 từ 01/09/2013 (NL trước hạn)
- HS 3,00 từ 01/9/2016
- HS 3,33 từ 01/9/2019</t>
        </r>
      </text>
    </comment>
    <comment ref="V129" authorId="3" shapeId="0">
      <text>
        <r>
          <rPr>
            <b/>
            <sz val="9"/>
            <color indexed="81"/>
            <rFont val="Tahoma"/>
            <family val="2"/>
          </rPr>
          <t>user:</t>
        </r>
        <r>
          <rPr>
            <sz val="9"/>
            <color indexed="81"/>
            <rFont val="Tahoma"/>
            <family val="2"/>
          </rPr>
          <t xml:space="preserve">
- QĐ BN Trưởng BM Khoa học máy tính từ 05/11/2020</t>
        </r>
      </text>
    </comment>
    <comment ref="W129"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130" authorId="2" shapeId="0">
      <text>
        <r>
          <rPr>
            <b/>
            <sz val="9"/>
            <color indexed="81"/>
            <rFont val="Tahoma"/>
            <family val="2"/>
          </rPr>
          <t>Admin:</t>
        </r>
        <r>
          <rPr>
            <sz val="9"/>
            <color indexed="81"/>
            <rFont val="Tahoma"/>
            <family val="2"/>
          </rPr>
          <t xml:space="preserve">
'- HS 3,00 từ 01/12/16
- HS 3,33 từ 01/12/2019</t>
        </r>
      </text>
    </comment>
    <comment ref="V130" authorId="1" shapeId="0">
      <text>
        <r>
          <rPr>
            <b/>
            <sz val="9"/>
            <color indexed="81"/>
            <rFont val="Tahoma"/>
            <family val="2"/>
          </rPr>
          <t>Quynh:</t>
        </r>
        <r>
          <rPr>
            <sz val="9"/>
            <color indexed="81"/>
            <rFont val="Tahoma"/>
            <family val="2"/>
          </rPr>
          <t xml:space="preserve">
- BN Trưởng bộ môn Kế toán - Tài chính từ 01/01/2019</t>
        </r>
      </text>
    </comment>
    <comment ref="W130" authorId="2" shapeId="0">
      <text>
        <r>
          <rPr>
            <b/>
            <sz val="9"/>
            <color indexed="81"/>
            <rFont val="Tahoma"/>
            <family val="2"/>
          </rPr>
          <t>Admin:</t>
        </r>
        <r>
          <rPr>
            <sz val="9"/>
            <color indexed="81"/>
            <rFont val="Tahoma"/>
            <family val="2"/>
          </rPr>
          <t xml:space="preserve">
- 6% từ 01/12/2016
- 7% từ 01/12/2017
- 8% từ 01/12/2018
- 9% từ 01/12/2019
- 10% từ 01/12/2020</t>
        </r>
      </text>
    </comment>
    <comment ref="V131" authorId="1" shapeId="0">
      <text>
        <r>
          <rPr>
            <b/>
            <sz val="9"/>
            <color indexed="81"/>
            <rFont val="Tahoma"/>
            <family val="2"/>
          </rPr>
          <t>Quynh:</t>
        </r>
        <r>
          <rPr>
            <sz val="9"/>
            <color indexed="81"/>
            <rFont val="Tahoma"/>
            <family val="2"/>
          </rPr>
          <t xml:space="preserve">
BN Trưởng BM Cơ sở ngành từ 01/01/2019</t>
        </r>
      </text>
    </comment>
    <comment ref="W131" authorId="2" shapeId="0">
      <text>
        <r>
          <rPr>
            <b/>
            <sz val="9"/>
            <color indexed="81"/>
            <rFont val="Tahoma"/>
            <family val="2"/>
          </rPr>
          <t>Admin:</t>
        </r>
        <r>
          <rPr>
            <sz val="9"/>
            <color indexed="81"/>
            <rFont val="Tahoma"/>
            <family val="2"/>
          </rPr>
          <t xml:space="preserve">
- 5% từ 01/12/2015
- 6% từ 01/12/2016
- 7% từ 01/12/2017
- 8% từ 01/12/2018
- 9% từ 01/12/2019
- 10% từ 01/12/2020</t>
        </r>
      </text>
    </comment>
    <comment ref="Q132" authorId="2" shapeId="0">
      <text>
        <r>
          <rPr>
            <b/>
            <sz val="9"/>
            <color indexed="81"/>
            <rFont val="Tahoma"/>
            <family val="2"/>
          </rPr>
          <t>Admin:</t>
        </r>
        <r>
          <rPr>
            <sz val="9"/>
            <color indexed="81"/>
            <rFont val="Tahoma"/>
            <family val="2"/>
          </rPr>
          <t xml:space="preserve">
- HS 2,67 từ 01/9/2016
- HS 3,00 từ 01/9/2019</t>
        </r>
      </text>
    </comment>
    <comment ref="V132" authorId="0"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W132" authorId="3" shapeId="0">
      <text>
        <r>
          <rPr>
            <b/>
            <sz val="9"/>
            <color indexed="81"/>
            <rFont val="Tahoma"/>
            <family val="2"/>
          </rPr>
          <t>user:</t>
        </r>
        <r>
          <rPr>
            <sz val="9"/>
            <color indexed="81"/>
            <rFont val="Tahoma"/>
            <family val="2"/>
          </rPr>
          <t xml:space="preserve">
- 5% từ 01/9/2018
- 6% từ 01/9/2019
- 7% từ 01/9/2020</t>
        </r>
      </text>
    </comment>
    <comment ref="Q133" authorId="0" shapeId="0">
      <text>
        <r>
          <rPr>
            <b/>
            <sz val="9"/>
            <color indexed="81"/>
            <rFont val="Tahoma"/>
            <family val="2"/>
          </rPr>
          <t>User:</t>
        </r>
        <r>
          <rPr>
            <sz val="9"/>
            <color indexed="81"/>
            <rFont val="Tahoma"/>
            <family val="2"/>
          </rPr>
          <t xml:space="preserve">
+ hệ số 2,34 từ 1/9/2014
+ HS 2,67 từ 01/9/2016 (NL trước hạn 2016)
+ HS 3,00 từ 01/9/2019</t>
        </r>
      </text>
    </comment>
    <comment ref="V133" authorId="1" shapeId="0">
      <text>
        <r>
          <rPr>
            <b/>
            <sz val="9"/>
            <color indexed="81"/>
            <rFont val="Tahoma"/>
            <family val="2"/>
          </rPr>
          <t>Quynh:</t>
        </r>
        <r>
          <rPr>
            <sz val="9"/>
            <color indexed="81"/>
            <rFont val="Tahoma"/>
            <family val="2"/>
          </rPr>
          <t xml:space="preserve">
- BN Trưởng bộ môn Điện Ô tô từ 01/01/2019
</t>
        </r>
      </text>
    </comment>
    <comment ref="W133" authorId="3" shapeId="0">
      <text>
        <r>
          <rPr>
            <b/>
            <sz val="9"/>
            <color indexed="81"/>
            <rFont val="Tahoma"/>
            <family val="2"/>
          </rPr>
          <t>user:</t>
        </r>
        <r>
          <rPr>
            <sz val="9"/>
            <color indexed="81"/>
            <rFont val="Tahoma"/>
            <family val="2"/>
          </rPr>
          <t xml:space="preserve">
- 5% từ 01/9/2019
- 6% từ 01/9/2020</t>
        </r>
      </text>
    </comment>
    <comment ref="Q134" authorId="2" shapeId="0">
      <text>
        <r>
          <rPr>
            <b/>
            <sz val="9"/>
            <color indexed="81"/>
            <rFont val="Tahoma"/>
            <family val="2"/>
          </rPr>
          <t>Admin:</t>
        </r>
        <r>
          <rPr>
            <sz val="9"/>
            <color indexed="81"/>
            <rFont val="Tahoma"/>
            <family val="2"/>
          </rPr>
          <t xml:space="preserve">
- HS 2,67 từ 01/09/2016
- HS 3,00 từ 01/09/2019</t>
        </r>
      </text>
    </comment>
    <comment ref="V134" authorId="3" shapeId="0">
      <text>
        <r>
          <rPr>
            <b/>
            <sz val="9"/>
            <color indexed="81"/>
            <rFont val="Tahoma"/>
            <family val="2"/>
          </rPr>
          <t>user:</t>
        </r>
        <r>
          <rPr>
            <sz val="9"/>
            <color indexed="81"/>
            <rFont val="Tahoma"/>
            <family val="2"/>
          </rPr>
          <t xml:space="preserve">
Trưởng BM Cơ điện tử và Tự động hóa từ 01/01/2019</t>
        </r>
      </text>
    </comment>
    <comment ref="W134" authorId="3" shapeId="0">
      <text>
        <r>
          <rPr>
            <b/>
            <sz val="9"/>
            <color indexed="81"/>
            <rFont val="Tahoma"/>
            <family val="2"/>
          </rPr>
          <t>user:</t>
        </r>
        <r>
          <rPr>
            <sz val="9"/>
            <color indexed="81"/>
            <rFont val="Tahoma"/>
            <family val="2"/>
          </rPr>
          <t xml:space="preserve">
+ 11% từ 01/9/2019
+ 12% từ 01/9/2020</t>
        </r>
      </text>
    </comment>
    <comment ref="Q135" authorId="0"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t>
        </r>
      </text>
    </comment>
    <comment ref="V135" authorId="0" shapeId="0">
      <text>
        <r>
          <rPr>
            <b/>
            <sz val="9"/>
            <color indexed="81"/>
            <rFont val="Tahoma"/>
            <family val="2"/>
          </rPr>
          <t>User:</t>
        </r>
        <r>
          <rPr>
            <sz val="9"/>
            <color indexed="81"/>
            <rFont val="Tahoma"/>
            <family val="2"/>
          </rPr>
          <t xml:space="preserve">
+ BN Tổ trưởng từ 01/11/2013</t>
        </r>
      </text>
    </comment>
    <comment ref="Q136" authorId="0"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t>
        </r>
      </text>
    </comment>
    <comment ref="V136" authorId="0"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D137" authorId="2" shapeId="0">
      <text>
        <r>
          <rPr>
            <b/>
            <sz val="9"/>
            <color indexed="81"/>
            <rFont val="Tahoma"/>
            <family val="2"/>
          </rPr>
          <t>Admin:</t>
        </r>
        <r>
          <rPr>
            <sz val="9"/>
            <color indexed="81"/>
            <rFont val="Tahoma"/>
            <family val="2"/>
          </rPr>
          <t xml:space="preserve">
Chuyển về Tổ Thanh tra - Pháp chế từ 01/8/2017</t>
        </r>
      </text>
    </comment>
    <comment ref="Q137" authorId="0" shapeId="0">
      <text>
        <r>
          <rPr>
            <b/>
            <sz val="9"/>
            <color indexed="81"/>
            <rFont val="Tahoma"/>
            <family val="2"/>
          </rPr>
          <t>User:</t>
        </r>
        <r>
          <rPr>
            <sz val="9"/>
            <color indexed="81"/>
            <rFont val="Tahoma"/>
            <family val="2"/>
          </rPr>
          <t xml:space="preserve">
BN CDNN từ 01/8/14 
- Mốc nâng lương 01/3/2012
- HS 3,99 từ 01/3/18</t>
        </r>
      </text>
    </comment>
    <comment ref="Q138" authorId="0" shapeId="0">
      <text>
        <r>
          <rPr>
            <b/>
            <sz val="9"/>
            <color indexed="81"/>
            <rFont val="Tahoma"/>
            <family val="2"/>
          </rPr>
          <t>User:</t>
        </r>
        <r>
          <rPr>
            <sz val="9"/>
            <color indexed="81"/>
            <rFont val="Tahoma"/>
            <family val="2"/>
          </rPr>
          <t xml:space="preserve">
- HS 3.00 từ 01/01/2013 (NL trước hạn)
- HS 3.33 từ 01/01/2016
- HS 3,66 từ 01/01/2019</t>
        </r>
      </text>
    </comment>
    <comment ref="Q139" authorId="0"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t>
        </r>
      </text>
    </comment>
    <comment ref="Q140" authorId="0" shapeId="0">
      <text>
        <r>
          <rPr>
            <b/>
            <sz val="9"/>
            <color indexed="81"/>
            <rFont val="Tahoma"/>
            <family val="2"/>
          </rPr>
          <t>User:</t>
        </r>
        <r>
          <rPr>
            <sz val="9"/>
            <color indexed="81"/>
            <rFont val="Tahoma"/>
            <family val="2"/>
          </rPr>
          <t xml:space="preserve">
+ HS 2,67 từ 01/12/2012
+ HS 3,00 từ 01/12/2015
+ HS 3,33 từ 01/12/2018</t>
        </r>
      </text>
    </comment>
    <comment ref="Q141" authorId="0" shapeId="0">
      <text>
        <r>
          <rPr>
            <b/>
            <sz val="9"/>
            <color indexed="81"/>
            <rFont val="Tahoma"/>
            <family val="2"/>
          </rPr>
          <t>User:</t>
        </r>
        <r>
          <rPr>
            <sz val="9"/>
            <color indexed="81"/>
            <rFont val="Tahoma"/>
            <family val="2"/>
          </rPr>
          <t xml:space="preserve">
- HS 2,67 từ 01/11/2015
- HS 3,00 từ 01/11/2018</t>
        </r>
      </text>
    </comment>
    <comment ref="Q142" authorId="0" shapeId="0">
      <text>
        <r>
          <rPr>
            <b/>
            <sz val="9"/>
            <color indexed="81"/>
            <rFont val="Tahoma"/>
            <family val="2"/>
          </rPr>
          <t>User:</t>
        </r>
        <r>
          <rPr>
            <sz val="9"/>
            <color indexed="81"/>
            <rFont val="Tahoma"/>
            <family val="2"/>
          </rPr>
          <t xml:space="preserve">
- HS 2,34 từ 01/11/2011
- HS 2,67 từ 01/11/2014
- HS 3,00 từ 01/11/2017</t>
        </r>
      </text>
    </comment>
    <comment ref="Q143" authorId="0" shapeId="0">
      <text>
        <r>
          <rPr>
            <b/>
            <sz val="9"/>
            <color indexed="81"/>
            <rFont val="Tahoma"/>
            <family val="2"/>
          </rPr>
          <t>User:</t>
        </r>
        <r>
          <rPr>
            <sz val="9"/>
            <color indexed="81"/>
            <rFont val="Tahoma"/>
            <family val="2"/>
          </rPr>
          <t xml:space="preserve">
+ HS 2,34 từ 01/11/2011
+ HS 2,67 từ 01/11/2014
+ HS 3,00 từ 01/11/2016 (NL trước hạn 2016)
+ HS 3,33 từ 01/11/2019</t>
        </r>
      </text>
    </comment>
    <comment ref="Q144" authorId="1" shapeId="0">
      <text>
        <r>
          <rPr>
            <b/>
            <sz val="9"/>
            <color indexed="81"/>
            <rFont val="Tahoma"/>
            <family val="2"/>
          </rPr>
          <t>Quynh:</t>
        </r>
        <r>
          <rPr>
            <sz val="9"/>
            <color indexed="81"/>
            <rFont val="Tahoma"/>
            <family val="2"/>
          </rPr>
          <t xml:space="preserve">
- HS 2,10 từ 01/04/2019
</t>
        </r>
      </text>
    </comment>
    <comment ref="Q145" authorId="0" shapeId="0">
      <text>
        <r>
          <rPr>
            <b/>
            <sz val="9"/>
            <color indexed="81"/>
            <rFont val="Tahoma"/>
            <family val="2"/>
          </rPr>
          <t>User:</t>
        </r>
        <r>
          <rPr>
            <sz val="9"/>
            <color indexed="81"/>
            <rFont val="Tahoma"/>
            <family val="2"/>
          </rPr>
          <t xml:space="preserve">
+ HS 2,34 từ 01/2/2013
+ HS 2.67 từ 01/2/2016
+ HS 3,00 từ 01/2/2019</t>
        </r>
      </text>
    </comment>
    <comment ref="Q146" authorId="0" shapeId="0">
      <text>
        <r>
          <rPr>
            <b/>
            <sz val="9"/>
            <color indexed="81"/>
            <rFont val="Tahoma"/>
            <family val="2"/>
          </rPr>
          <t>User:</t>
        </r>
        <r>
          <rPr>
            <sz val="9"/>
            <color indexed="81"/>
            <rFont val="Tahoma"/>
            <family val="2"/>
          </rPr>
          <t xml:space="preserve">
- QĐ BN Chứcdanh NN 2,34 từ 01/4/2014
- HS 2,67 từ 01/4/2016
- HS 3,00 từ 01/4/2019</t>
        </r>
      </text>
    </comment>
    <comment ref="Q147" authorId="2" shapeId="0">
      <text>
        <r>
          <rPr>
            <b/>
            <sz val="9"/>
            <color indexed="81"/>
            <rFont val="Tahoma"/>
            <family val="2"/>
          </rPr>
          <t>Admin:</t>
        </r>
        <r>
          <rPr>
            <sz val="9"/>
            <color indexed="81"/>
            <rFont val="Tahoma"/>
            <family val="2"/>
          </rPr>
          <t xml:space="preserve">
- HS 2.72 từ 01/1/2016</t>
        </r>
      </text>
    </comment>
    <comment ref="D148" authorId="2" shapeId="0">
      <text>
        <r>
          <rPr>
            <b/>
            <sz val="9"/>
            <color indexed="81"/>
            <rFont val="Tahoma"/>
            <family val="2"/>
          </rPr>
          <t>Admin:</t>
        </r>
        <r>
          <rPr>
            <sz val="9"/>
            <color indexed="81"/>
            <rFont val="Tahoma"/>
            <family val="2"/>
          </rPr>
          <t xml:space="preserve">
Chuyển lên khối chuyên nghiệp từ 01/06/2016</t>
        </r>
      </text>
    </comment>
    <comment ref="Q148" authorId="2" shapeId="0">
      <text>
        <r>
          <rPr>
            <b/>
            <sz val="9"/>
            <color indexed="81"/>
            <rFont val="Tahoma"/>
            <family val="2"/>
          </rPr>
          <t>Admin:</t>
        </r>
        <r>
          <rPr>
            <sz val="9"/>
            <color indexed="81"/>
            <rFont val="Tahoma"/>
            <family val="2"/>
          </rPr>
          <t xml:space="preserve">
- Hưởng từ 01/11/2011
- HS 2.41 từ 01/11/2014
- HS 2,72 từ 01/11/2017</t>
        </r>
      </text>
    </comment>
    <comment ref="Q149" authorId="0" shapeId="0">
      <text>
        <r>
          <rPr>
            <b/>
            <sz val="9"/>
            <color indexed="81"/>
            <rFont val="Tahoma"/>
            <family val="2"/>
          </rPr>
          <t>User:</t>
        </r>
        <r>
          <rPr>
            <sz val="9"/>
            <color indexed="81"/>
            <rFont val="Tahoma"/>
            <family val="2"/>
          </rPr>
          <t xml:space="preserve">
+ HS 2,10 từ 01/8/2013
+ HS 2,41 từ 01/8/2015 (NL trước hạn)
+ HS 2,72 từ 01/8/2018</t>
        </r>
      </text>
    </comment>
    <comment ref="Q150" authorId="0" shapeId="0">
      <text>
        <r>
          <rPr>
            <b/>
            <sz val="9"/>
            <color indexed="81"/>
            <rFont val="Tahoma"/>
            <family val="2"/>
          </rPr>
          <t>User:</t>
        </r>
        <r>
          <rPr>
            <sz val="9"/>
            <color indexed="81"/>
            <rFont val="Tahoma"/>
            <family val="2"/>
          </rPr>
          <t xml:space="preserve">
+ HS 2,10 từ 01/11/2013
+ HS 2,41 từ 01/11/2015 (NL trước hạn)
+ HS 2,72 từ 01/11/2018</t>
        </r>
      </text>
    </comment>
    <comment ref="Q151" authorId="0" shapeId="0">
      <text>
        <r>
          <rPr>
            <b/>
            <sz val="9"/>
            <color indexed="81"/>
            <rFont val="Tahoma"/>
            <family val="2"/>
          </rPr>
          <t>User:</t>
        </r>
        <r>
          <rPr>
            <sz val="9"/>
            <color indexed="81"/>
            <rFont val="Tahoma"/>
            <family val="2"/>
          </rPr>
          <t xml:space="preserve">
- HS 2,10 từ 01/4/2014
- HS 2,41 từ 01/04/2017
- HS 2,72 từ 01/04/2020</t>
        </r>
      </text>
    </comment>
    <comment ref="Q152" authorId="2" shapeId="0">
      <text>
        <r>
          <rPr>
            <b/>
            <sz val="9"/>
            <color indexed="81"/>
            <rFont val="Tahoma"/>
            <family val="2"/>
          </rPr>
          <t>Admin:</t>
        </r>
        <r>
          <rPr>
            <sz val="9"/>
            <color indexed="81"/>
            <rFont val="Tahoma"/>
            <family val="2"/>
          </rPr>
          <t xml:space="preserve">
- HS 2,86 từ 01/1/2015 (NL trước hạn)
 - HS 3,06 từ 01/01/2017
- HS 3,66 từ 01/7/2019 (NL trước han)</t>
        </r>
      </text>
    </comment>
    <comment ref="Q153" authorId="3" shapeId="0">
      <text>
        <r>
          <rPr>
            <b/>
            <sz val="9"/>
            <color indexed="81"/>
            <rFont val="Tahoma"/>
            <family val="2"/>
          </rPr>
          <t>user:</t>
        </r>
        <r>
          <rPr>
            <sz val="9"/>
            <color indexed="81"/>
            <rFont val="Tahoma"/>
            <family val="2"/>
          </rPr>
          <t xml:space="preserve">
- HS 3,00 từ 01/9/2019</t>
        </r>
      </text>
    </comment>
    <comment ref="D154" authorId="2" shapeId="0">
      <text>
        <r>
          <rPr>
            <b/>
            <sz val="9"/>
            <color indexed="81"/>
            <rFont val="Tahoma"/>
            <family val="2"/>
          </rPr>
          <t>Admin:</t>
        </r>
        <r>
          <rPr>
            <sz val="9"/>
            <color indexed="81"/>
            <rFont val="Tahoma"/>
            <family val="2"/>
          </rPr>
          <t xml:space="preserve">
Chuyển về phòng TS - ĐT từ ngày 01/8/2017</t>
        </r>
      </text>
    </comment>
    <comment ref="Q154" authorId="3" shapeId="0">
      <text>
        <r>
          <rPr>
            <b/>
            <sz val="9"/>
            <color indexed="81"/>
            <rFont val="Tahoma"/>
            <family val="2"/>
          </rPr>
          <t>user:</t>
        </r>
        <r>
          <rPr>
            <sz val="9"/>
            <color indexed="81"/>
            <rFont val="Tahoma"/>
            <family val="2"/>
          </rPr>
          <t xml:space="preserve">
- HS 3,46 từ 01/01/2020</t>
        </r>
      </text>
    </comment>
    <comment ref="Q155" authorId="2" shapeId="0">
      <text>
        <r>
          <rPr>
            <b/>
            <sz val="9"/>
            <color indexed="81"/>
            <rFont val="Tahoma"/>
            <family val="2"/>
          </rPr>
          <t>Admin:</t>
        </r>
        <r>
          <rPr>
            <sz val="9"/>
            <color indexed="81"/>
            <rFont val="Tahoma"/>
            <family val="2"/>
          </rPr>
          <t xml:space="preserve">
- HS 3,06 từ 01/7/2017
- HS 3,26 từ 01/7/2019</t>
        </r>
      </text>
    </comment>
    <comment ref="Q156" authorId="0" shapeId="0">
      <text>
        <r>
          <rPr>
            <b/>
            <sz val="9"/>
            <color indexed="81"/>
            <rFont val="Tahoma"/>
            <family val="2"/>
          </rPr>
          <t>User:</t>
        </r>
        <r>
          <rPr>
            <sz val="9"/>
            <color indexed="81"/>
            <rFont val="Tahoma"/>
            <family val="2"/>
          </rPr>
          <t xml:space="preserve">
- HS 2,66 từ 01/4/2014 (Nâng lương trước hạn năm 2015)
- HS 2.86 từ 01/04/2016
- HS 3,06 từ 01/01/2019</t>
        </r>
      </text>
    </comment>
    <comment ref="Q157" authorId="0"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t>
        </r>
      </text>
    </comment>
    <comment ref="Q158" authorId="3"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t>
        </r>
      </text>
    </comment>
    <comment ref="Q159" authorId="2" shapeId="0">
      <text>
        <r>
          <rPr>
            <b/>
            <sz val="9"/>
            <color indexed="81"/>
            <rFont val="Tahoma"/>
            <family val="2"/>
          </rPr>
          <t>Admin:</t>
        </r>
        <r>
          <rPr>
            <sz val="9"/>
            <color indexed="81"/>
            <rFont val="Tahoma"/>
            <family val="2"/>
          </rPr>
          <t xml:space="preserve">
- HS 2.66 từ 01/4/2016
- HS 2,86 từ 01/04/2018
- HS 3,06 từ 01/04/2020</t>
        </r>
      </text>
    </comment>
    <comment ref="Q160" authorId="0" shapeId="0">
      <text>
        <r>
          <rPr>
            <b/>
            <sz val="9"/>
            <color indexed="81"/>
            <rFont val="Tahoma"/>
            <family val="2"/>
          </rPr>
          <t>User:</t>
        </r>
        <r>
          <rPr>
            <sz val="9"/>
            <color indexed="81"/>
            <rFont val="Tahoma"/>
            <family val="2"/>
          </rPr>
          <t xml:space="preserve">
- HS 2,46
- HS 2,66 từ 01/11/16
- HS 2,86 từ 01/11/2018</t>
        </r>
      </text>
    </comment>
    <comment ref="Q161" authorId="3"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t>
        </r>
      </text>
    </comment>
    <comment ref="Q162" authorId="0" shapeId="0">
      <text>
        <r>
          <rPr>
            <b/>
            <sz val="9"/>
            <color indexed="81"/>
            <rFont val="Tahoma"/>
            <family val="2"/>
          </rPr>
          <t>User:</t>
        </r>
        <r>
          <rPr>
            <sz val="9"/>
            <color indexed="81"/>
            <rFont val="Tahoma"/>
            <family val="2"/>
          </rPr>
          <t xml:space="preserve">
- HS 1,86 từ 01/4/2014
- HS 2,06 từ 01/10/2016
- HS 2,26 từ 01/10/2018
- HS 2,46 từ 01/10/2019 (NL trước hạn)</t>
        </r>
      </text>
    </comment>
    <comment ref="Q163" authorId="0" shapeId="0">
      <text>
        <r>
          <rPr>
            <b/>
            <sz val="9"/>
            <color indexed="81"/>
            <rFont val="Tahoma"/>
            <family val="2"/>
          </rPr>
          <t>User:</t>
        </r>
        <r>
          <rPr>
            <sz val="9"/>
            <color indexed="81"/>
            <rFont val="Tahoma"/>
            <family val="2"/>
          </rPr>
          <t xml:space="preserve">
+ QĐ BN Chức danh nghề nghiệp từ 01/8/2014
- HS 3,00 từ 01/04/2016
- HS 3,33 từ 01/04/2019</t>
        </r>
      </text>
    </comment>
    <comment ref="Q164" authorId="0" shapeId="0">
      <text>
        <r>
          <rPr>
            <b/>
            <sz val="9"/>
            <color indexed="81"/>
            <rFont val="Tahoma"/>
            <family val="2"/>
          </rPr>
          <t>User:</t>
        </r>
        <r>
          <rPr>
            <sz val="9"/>
            <color indexed="81"/>
            <rFont val="Tahoma"/>
            <family val="2"/>
          </rPr>
          <t xml:space="preserve">
+ QĐ BN Chức danh nghề nghiệp từ 01/8/14
+ HS 3,00 từ 01/8/2017
+ HS 3,33 từ 01/8/2020</t>
        </r>
      </text>
    </comment>
    <comment ref="Q165" authorId="0"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t>
        </r>
      </text>
    </comment>
    <comment ref="Q166" authorId="0"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t>
        </r>
      </text>
    </comment>
    <comment ref="Q167" authorId="0" shapeId="0">
      <text>
        <r>
          <rPr>
            <b/>
            <sz val="9"/>
            <color indexed="81"/>
            <rFont val="Tahoma"/>
            <family val="2"/>
          </rPr>
          <t>User:</t>
        </r>
        <r>
          <rPr>
            <sz val="9"/>
            <color indexed="81"/>
            <rFont val="Tahoma"/>
            <family val="2"/>
          </rPr>
          <t xml:space="preserve">
- Bậc 4, HS 2,46 từ 01/10/2014
- HS 2,66 từ 01/10/2015
- HS 3,06 từ 01/10/2018
- HS 3,26 từ 01/10/2020</t>
        </r>
      </text>
    </comment>
    <comment ref="Q168" authorId="2" shapeId="0">
      <text>
        <r>
          <rPr>
            <b/>
            <sz val="9"/>
            <color indexed="81"/>
            <rFont val="Tahoma"/>
            <family val="2"/>
          </rPr>
          <t>Admin:</t>
        </r>
        <r>
          <rPr>
            <sz val="9"/>
            <color indexed="81"/>
            <rFont val="Tahoma"/>
            <family val="2"/>
          </rPr>
          <t xml:space="preserve">
- HS 2.66 từ 01/4/2016
- HS 2,86 từ 01/04/2018
- HS 3,06 từ 01/04/2020</t>
        </r>
      </text>
    </comment>
    <comment ref="Q169" authorId="0" shapeId="0">
      <text>
        <r>
          <rPr>
            <b/>
            <sz val="9"/>
            <color indexed="81"/>
            <rFont val="Tahoma"/>
            <family val="2"/>
          </rPr>
          <t>User:</t>
        </r>
        <r>
          <rPr>
            <sz val="9"/>
            <color indexed="81"/>
            <rFont val="Tahoma"/>
            <family val="2"/>
          </rPr>
          <t xml:space="preserve">
+ HS 2,46 từ 01/4/2015
+ HS 2,66 từ 01/4/2017
+ HS 2,86 từ 01/4/2019</t>
        </r>
      </text>
    </comment>
    <comment ref="Q170" authorId="2"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t>
        </r>
      </text>
    </comment>
    <comment ref="E171" authorId="3" shapeId="0">
      <text>
        <r>
          <rPr>
            <b/>
            <sz val="9"/>
            <color indexed="81"/>
            <rFont val="Tahoma"/>
            <family val="2"/>
          </rPr>
          <t>user:</t>
        </r>
        <r>
          <rPr>
            <sz val="9"/>
            <color indexed="81"/>
            <rFont val="Tahoma"/>
            <family val="2"/>
          </rPr>
          <t xml:space="preserve">
- NV TT ĐH từ 05/11/2020</t>
        </r>
      </text>
    </comment>
    <comment ref="Q171" authorId="2" shapeId="0">
      <text>
        <r>
          <rPr>
            <b/>
            <sz val="9"/>
            <color indexed="81"/>
            <rFont val="Tahoma"/>
            <family val="2"/>
          </rPr>
          <t>Admin:</t>
        </r>
        <r>
          <rPr>
            <sz val="9"/>
            <color indexed="81"/>
            <rFont val="Tahoma"/>
            <family val="2"/>
          </rPr>
          <t xml:space="preserve">
- HS 2,46 từ 01/04/2015 (NL trước hạn)
- HS 2,66 từ 01/04/2017
- HS 2,86 từ 01/4/2019</t>
        </r>
      </text>
    </comment>
    <comment ref="Q172" authorId="3" shapeId="0">
      <text>
        <r>
          <rPr>
            <b/>
            <sz val="9"/>
            <color indexed="81"/>
            <rFont val="Tahoma"/>
            <family val="2"/>
          </rPr>
          <t>user:</t>
        </r>
        <r>
          <rPr>
            <sz val="9"/>
            <color indexed="81"/>
            <rFont val="Tahoma"/>
            <family val="2"/>
          </rPr>
          <t xml:space="preserve">
- HS 2,67 từ 01/2/2019 (NL trước hạn)</t>
        </r>
      </text>
    </comment>
    <comment ref="Q173" authorId="3" shapeId="0">
      <text>
        <r>
          <rPr>
            <b/>
            <sz val="9"/>
            <color indexed="81"/>
            <rFont val="Tahoma"/>
            <family val="2"/>
          </rPr>
          <t>user:</t>
        </r>
        <r>
          <rPr>
            <sz val="9"/>
            <color indexed="81"/>
            <rFont val="Tahoma"/>
            <family val="2"/>
          </rPr>
          <t xml:space="preserve">
- HS 3,99 từ 01/9/2019
</t>
        </r>
      </text>
    </comment>
    <comment ref="W173" authorId="2" shapeId="0">
      <text>
        <r>
          <rPr>
            <b/>
            <sz val="9"/>
            <color indexed="81"/>
            <rFont val="Tahoma"/>
            <family val="2"/>
          </rPr>
          <t>Admin:</t>
        </r>
        <r>
          <rPr>
            <sz val="9"/>
            <color indexed="81"/>
            <rFont val="Tahoma"/>
            <family val="2"/>
          </rPr>
          <t xml:space="preserve">
+ 12% từ 01/9/2017
+ 13% từ 01/9/2018
+ 14% từ 01/9/2019
+ 15% từ 01/9/2020</t>
        </r>
      </text>
    </comment>
    <comment ref="Q174" authorId="3" shapeId="0">
      <text>
        <r>
          <rPr>
            <b/>
            <sz val="9"/>
            <color indexed="81"/>
            <rFont val="Tahoma"/>
            <family val="2"/>
          </rPr>
          <t>user:</t>
        </r>
        <r>
          <rPr>
            <sz val="9"/>
            <color indexed="81"/>
            <rFont val="Tahoma"/>
            <family val="2"/>
          </rPr>
          <t xml:space="preserve">
- HS 3,99 từ 01/9/2019</t>
        </r>
      </text>
    </comment>
    <comment ref="W174" authorId="3"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t>
        </r>
      </text>
    </comment>
    <comment ref="Q175" authorId="2" shapeId="0">
      <text>
        <r>
          <rPr>
            <b/>
            <sz val="9"/>
            <color indexed="81"/>
            <rFont val="Tahoma"/>
            <family val="2"/>
          </rPr>
          <t>Admin:</t>
        </r>
        <r>
          <rPr>
            <sz val="9"/>
            <color indexed="81"/>
            <rFont val="Tahoma"/>
            <family val="2"/>
          </rPr>
          <t xml:space="preserve">
- HS 3,66 từ 01/9/2016
- HS 3,99 từ 01/9/2019</t>
        </r>
      </text>
    </comment>
    <comment ref="W175"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6" authorId="2" shapeId="0">
      <text>
        <r>
          <rPr>
            <b/>
            <sz val="9"/>
            <color indexed="81"/>
            <rFont val="Tahoma"/>
            <family val="2"/>
          </rPr>
          <t>Admin:</t>
        </r>
        <r>
          <rPr>
            <sz val="9"/>
            <color indexed="81"/>
            <rFont val="Tahoma"/>
            <family val="2"/>
          </rPr>
          <t xml:space="preserve">
- HS 3,66 từ 01/9/2016
- HS 3,99 từ 01/9/2019</t>
        </r>
      </text>
    </comment>
    <comment ref="W176" authorId="2" shapeId="0">
      <text>
        <r>
          <rPr>
            <b/>
            <sz val="9"/>
            <color indexed="81"/>
            <rFont val="Tahoma"/>
            <family val="2"/>
          </rPr>
          <t>Admin:</t>
        </r>
        <r>
          <rPr>
            <sz val="9"/>
            <color indexed="81"/>
            <rFont val="Tahoma"/>
            <family val="2"/>
          </rPr>
          <t xml:space="preserve">
+ 13% từ 01/11/16
+ 14% từ 01/11/2017
+ 15% từ 01/11/2018
+ 16% từ 01/11/2019
+ 17% từ 01/11/2020</t>
        </r>
      </text>
    </comment>
    <comment ref="Q177" authorId="0" shapeId="0">
      <text>
        <r>
          <rPr>
            <b/>
            <sz val="9"/>
            <color indexed="81"/>
            <rFont val="Tahoma"/>
            <family val="2"/>
          </rPr>
          <t>User:</t>
        </r>
        <r>
          <rPr>
            <sz val="9"/>
            <color indexed="81"/>
            <rFont val="Tahoma"/>
            <family val="2"/>
          </rPr>
          <t xml:space="preserve">
- HS 3.33 từ 01/09/2013 (NL trước hạn)
- HS 3,66 từ 01/9/2016
- HS 3,99 từ 01/9/2019</t>
        </r>
      </text>
    </comment>
    <comment ref="V177" authorId="0" shapeId="0">
      <text>
        <r>
          <rPr>
            <b/>
            <sz val="9"/>
            <color indexed="81"/>
            <rFont val="Tahoma"/>
            <family val="2"/>
          </rPr>
          <t>User:</t>
        </r>
        <r>
          <rPr>
            <sz val="9"/>
            <color indexed="81"/>
            <rFont val="Tahoma"/>
            <family val="2"/>
          </rPr>
          <t xml:space="preserve">
- Miễn nhiệm Tưởng BM Tin học ứng dụng từ 01/9/2015</t>
        </r>
      </text>
    </comment>
    <comment ref="W177"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8" authorId="0" shapeId="0">
      <text>
        <r>
          <rPr>
            <b/>
            <sz val="9"/>
            <color indexed="81"/>
            <rFont val="Tahoma"/>
            <family val="2"/>
          </rPr>
          <t>User:</t>
        </r>
        <r>
          <rPr>
            <sz val="9"/>
            <color indexed="81"/>
            <rFont val="Tahoma"/>
            <family val="2"/>
          </rPr>
          <t xml:space="preserve">
- HS 3,33 từ 1/9/2014
- HS 3,66 từ 01/9/2017</t>
        </r>
      </text>
    </comment>
    <comment ref="W178" authorId="4"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t>
        </r>
      </text>
    </comment>
    <comment ref="Q179" authorId="0" shapeId="0">
      <text>
        <r>
          <rPr>
            <b/>
            <sz val="9"/>
            <color indexed="81"/>
            <rFont val="Tahoma"/>
            <family val="2"/>
          </rPr>
          <t>User:</t>
        </r>
        <r>
          <rPr>
            <sz val="9"/>
            <color indexed="81"/>
            <rFont val="Tahoma"/>
            <family val="2"/>
          </rPr>
          <t xml:space="preserve">
- HS 3,33 từ 01/9/2014 (Nâng lương trước hạn năm 2015)
- HS 3,66 từ 01/9/2017
- HS 3,99 từ 01/9/2020</t>
        </r>
      </text>
    </comment>
    <comment ref="W179"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0" authorId="0" shapeId="0">
      <text>
        <r>
          <rPr>
            <b/>
            <sz val="9"/>
            <color indexed="81"/>
            <rFont val="Tahoma"/>
            <family val="2"/>
          </rPr>
          <t>User:</t>
        </r>
        <r>
          <rPr>
            <sz val="9"/>
            <color indexed="81"/>
            <rFont val="Tahoma"/>
            <family val="2"/>
          </rPr>
          <t xml:space="preserve">
- HS 3,33 từ 01/9/2015
- HS 3,66 từ 01/9/2018</t>
        </r>
      </text>
    </comment>
    <comment ref="W180"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1" authorId="0" shapeId="0">
      <text>
        <r>
          <rPr>
            <b/>
            <sz val="9"/>
            <color indexed="81"/>
            <rFont val="Tahoma"/>
            <family val="2"/>
          </rPr>
          <t>User:</t>
        </r>
        <r>
          <rPr>
            <sz val="9"/>
            <color indexed="81"/>
            <rFont val="Tahoma"/>
            <family val="2"/>
          </rPr>
          <t xml:space="preserve">
HS 3,33 từ 01/9/2015
- HS 3,66 từ 01/9/2018</t>
        </r>
      </text>
    </comment>
    <comment ref="W181"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2" authorId="0" shapeId="0">
      <text>
        <r>
          <rPr>
            <b/>
            <sz val="9"/>
            <color indexed="81"/>
            <rFont val="Tahoma"/>
            <family val="2"/>
          </rPr>
          <t>User:</t>
        </r>
        <r>
          <rPr>
            <sz val="9"/>
            <color indexed="81"/>
            <rFont val="Tahoma"/>
            <family val="2"/>
          </rPr>
          <t xml:space="preserve">
HS 3,33 từ 01/9/2015
- HS 3,66 từ 01/9/2017 (Nâng lương trước hạn 2017)
- HS 3,99 từ 01/9/2020</t>
        </r>
      </text>
    </comment>
    <comment ref="W182"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3" authorId="0" shapeId="0">
      <text>
        <r>
          <rPr>
            <b/>
            <sz val="9"/>
            <color indexed="81"/>
            <rFont val="Tahoma"/>
            <family val="2"/>
          </rPr>
          <t>User:</t>
        </r>
        <r>
          <rPr>
            <sz val="9"/>
            <color indexed="81"/>
            <rFont val="Tahoma"/>
            <family val="2"/>
          </rPr>
          <t xml:space="preserve">
- HS 3,33 từ 01/9/2015
- HS 3,66 từ 01/9/2018</t>
        </r>
      </text>
    </comment>
    <comment ref="W18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84"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W184"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185" authorId="2" shapeId="0">
      <text>
        <r>
          <rPr>
            <b/>
            <sz val="9"/>
            <color indexed="81"/>
            <rFont val="Tahoma"/>
            <family val="2"/>
          </rPr>
          <t>Admin:</t>
        </r>
        <r>
          <rPr>
            <sz val="9"/>
            <color indexed="81"/>
            <rFont val="Tahoma"/>
            <family val="2"/>
          </rPr>
          <t xml:space="preserve">
- HS 3,33 NL truoc hạn từ 01/9/2015
- HS 3,66 từ 01/9/2018</t>
        </r>
      </text>
    </comment>
    <comment ref="W185"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86"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86" authorId="3"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W186" authorId="4"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t>
        </r>
      </text>
    </comment>
    <comment ref="Q187" authorId="2" shapeId="0">
      <text>
        <r>
          <rPr>
            <b/>
            <sz val="9"/>
            <color indexed="81"/>
            <rFont val="Tahoma"/>
            <family val="2"/>
          </rPr>
          <t>Admin:</t>
        </r>
        <r>
          <rPr>
            <sz val="9"/>
            <color indexed="81"/>
            <rFont val="Tahoma"/>
            <family val="2"/>
          </rPr>
          <t xml:space="preserve">
- HS 3,33 từ 01/9/2015 (NL trước hạn)
- HS 3,66 từ 01/9/18</t>
        </r>
      </text>
    </comment>
    <comment ref="Q188" authorId="2" shapeId="0">
      <text>
        <r>
          <rPr>
            <b/>
            <sz val="9"/>
            <color indexed="81"/>
            <rFont val="Tahoma"/>
            <family val="2"/>
          </rPr>
          <t>Admin:</t>
        </r>
        <r>
          <rPr>
            <sz val="9"/>
            <color indexed="81"/>
            <rFont val="Tahoma"/>
            <family val="2"/>
          </rPr>
          <t xml:space="preserve">
- 3,33 từ 01/12/2015 (NL trước hạn)
- HS 3,66 từ 01/12/2018</t>
        </r>
      </text>
    </comment>
    <comment ref="W188" authorId="4"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t>
        </r>
      </text>
    </comment>
    <comment ref="Q189"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V189" authorId="0"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W189"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0" authorId="0" shapeId="0">
      <text>
        <r>
          <rPr>
            <b/>
            <sz val="9"/>
            <color indexed="81"/>
            <rFont val="Tahoma"/>
            <family val="2"/>
          </rPr>
          <t>User:</t>
        </r>
        <r>
          <rPr>
            <sz val="9"/>
            <color indexed="81"/>
            <rFont val="Tahoma"/>
            <family val="2"/>
          </rPr>
          <t xml:space="preserve">
- HS 3,00 từ 01/9/2015
- HS 3,33 từ 01/9/2018</t>
        </r>
      </text>
    </comment>
    <comment ref="W19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1" authorId="0" shapeId="0">
      <text>
        <r>
          <rPr>
            <b/>
            <sz val="9"/>
            <color indexed="81"/>
            <rFont val="Tahoma"/>
            <family val="2"/>
          </rPr>
          <t>User:</t>
        </r>
        <r>
          <rPr>
            <sz val="9"/>
            <color indexed="81"/>
            <rFont val="Tahoma"/>
            <family val="2"/>
          </rPr>
          <t xml:space="preserve">
- HS 3,00 từ 1/9/2014
- HS 3,33 từ 01/9/2016 (NL trước hạn năm 2016)
- HS 3,66 từ 01/9/2019</t>
        </r>
      </text>
    </comment>
    <comment ref="W19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2" authorId="3" shapeId="0">
      <text>
        <r>
          <rPr>
            <b/>
            <sz val="8"/>
            <color indexed="81"/>
            <rFont val="Tahoma"/>
            <family val="2"/>
          </rPr>
          <t>user:</t>
        </r>
        <r>
          <rPr>
            <sz val="8"/>
            <color indexed="81"/>
            <rFont val="Tahoma"/>
            <family val="2"/>
          </rPr>
          <t xml:space="preserve">
QĐ chuyển ngạch từ 01a.003 sang ngạch 15.111 từ 01/5/2012
- HS 3,33 từ 01/10/2016
- HS 3,66 từ 01/10/2019</t>
        </r>
      </text>
    </comment>
    <comment ref="W192" authorId="2" shapeId="0">
      <text>
        <r>
          <rPr>
            <b/>
            <sz val="9"/>
            <color indexed="81"/>
            <rFont val="Tahoma"/>
            <family val="2"/>
          </rPr>
          <t>Admin:</t>
        </r>
        <r>
          <rPr>
            <sz val="9"/>
            <color indexed="81"/>
            <rFont val="Tahoma"/>
            <family val="2"/>
          </rPr>
          <t xml:space="preserve">
- 5% từ 01/5/2017
- 6% từ 01/5/2018
- 7% từ 01/5/2019
- 8% từ 01/5/2020</t>
        </r>
      </text>
    </comment>
    <comment ref="Q193"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93" authorId="0" shapeId="0">
      <text>
        <r>
          <rPr>
            <b/>
            <sz val="9"/>
            <color indexed="81"/>
            <rFont val="Tahoma"/>
            <family val="2"/>
          </rPr>
          <t>User:</t>
        </r>
        <r>
          <rPr>
            <sz val="9"/>
            <color indexed="81"/>
            <rFont val="Tahoma"/>
            <family val="2"/>
          </rPr>
          <t xml:space="preserve">
- Miễn nhiệm trưởng BM Mạng và phần cứng từ 01/9/15</t>
        </r>
      </text>
    </comment>
    <comment ref="W193"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4" authorId="0" shapeId="0">
      <text>
        <r>
          <rPr>
            <b/>
            <sz val="9"/>
            <color indexed="81"/>
            <rFont val="Tahoma"/>
            <family val="2"/>
          </rPr>
          <t>User:</t>
        </r>
        <r>
          <rPr>
            <sz val="9"/>
            <color indexed="81"/>
            <rFont val="Tahoma"/>
            <family val="2"/>
          </rPr>
          <t xml:space="preserve">
- HS 3.00 từ 01/09/2013 (NL trước hạn)
- HS 3,33 từ 01/9/2016
- HS 3,66 từ 01/9/2018</t>
        </r>
      </text>
    </comment>
    <comment ref="V194" authorId="3"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W194" authorId="4"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t>
        </r>
      </text>
    </comment>
    <comment ref="Q195" authorId="0" shapeId="0">
      <text>
        <r>
          <rPr>
            <b/>
            <sz val="9"/>
            <color indexed="81"/>
            <rFont val="Tahoma"/>
            <family val="2"/>
          </rPr>
          <t>User:</t>
        </r>
        <r>
          <rPr>
            <sz val="9"/>
            <color indexed="81"/>
            <rFont val="Tahoma"/>
            <family val="2"/>
          </rPr>
          <t xml:space="preserve">
- HS 3,00 từ 01/9/2015
- HS 3,33 từ 01/9/2018</t>
        </r>
      </text>
    </comment>
    <comment ref="V195" authorId="0"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W19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96"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V196" authorId="0"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W196" authorId="4" shapeId="0">
      <text>
        <r>
          <rPr>
            <b/>
            <sz val="8"/>
            <color indexed="81"/>
            <rFont val="Tahoma"/>
            <family val="2"/>
          </rPr>
          <t>admin:</t>
        </r>
        <r>
          <rPr>
            <sz val="8"/>
            <color indexed="81"/>
            <rFont val="Tahoma"/>
            <family val="2"/>
          </rPr>
          <t xml:space="preserve">
+ 7% từ 01/05/2014
+ 8% từ 01/05/2015
+ 9% từ 01/05/2016
+ 10% từ 01/05/2017
+ 11% từ 01/5/2018
+ 12% từ 01/5/2019
+ 13% từ 01/5/2020</t>
        </r>
      </text>
    </comment>
    <comment ref="Q197" authorId="2" shapeId="0">
      <text>
        <r>
          <rPr>
            <b/>
            <sz val="9"/>
            <color indexed="81"/>
            <rFont val="Tahoma"/>
            <family val="2"/>
          </rPr>
          <t>Admin:</t>
        </r>
        <r>
          <rPr>
            <sz val="9"/>
            <color indexed="81"/>
            <rFont val="Tahoma"/>
            <family val="2"/>
          </rPr>
          <t xml:space="preserve">
- 3,00 từ 01/11/2016
- 3,33 từ 01/11/2019
</t>
        </r>
      </text>
    </comment>
    <comment ref="W197" authorId="3" shapeId="0">
      <text>
        <r>
          <rPr>
            <b/>
            <sz val="9"/>
            <color indexed="81"/>
            <rFont val="Tahoma"/>
            <family val="2"/>
          </rPr>
          <t>user:</t>
        </r>
        <r>
          <rPr>
            <sz val="9"/>
            <color indexed="81"/>
            <rFont val="Tahoma"/>
            <family val="2"/>
          </rPr>
          <t xml:space="preserve">
- 5% từ 01/11/2018
- 6% từ 01/11/2019
- 7% từ 01/11/2020
</t>
        </r>
      </text>
    </comment>
    <comment ref="Q198" authorId="2" shapeId="0">
      <text>
        <r>
          <rPr>
            <b/>
            <sz val="9"/>
            <color indexed="81"/>
            <rFont val="Tahoma"/>
            <family val="2"/>
          </rPr>
          <t>Admin:</t>
        </r>
        <r>
          <rPr>
            <sz val="9"/>
            <color indexed="81"/>
            <rFont val="Tahoma"/>
            <family val="2"/>
          </rPr>
          <t xml:space="preserve">
- 3,00 từ 01/10/2015
- 3,33 từ 01/10/2018</t>
        </r>
      </text>
    </comment>
    <comment ref="W198" authorId="2" shapeId="0">
      <text>
        <r>
          <rPr>
            <b/>
            <sz val="9"/>
            <color indexed="81"/>
            <rFont val="Tahoma"/>
            <family val="2"/>
          </rPr>
          <t>Admin:</t>
        </r>
        <r>
          <rPr>
            <sz val="9"/>
            <color indexed="81"/>
            <rFont val="Tahoma"/>
            <family val="2"/>
          </rPr>
          <t xml:space="preserve">
- 7% từ 01/10/2016
- 8% từ 01/10/2017
- 9% từ 01/10/2018
- 10% từ 01/10/2019
- 11% từ 01/10/2020</t>
        </r>
      </text>
    </comment>
    <comment ref="C199" authorId="1" shapeId="0">
      <text>
        <r>
          <rPr>
            <b/>
            <sz val="9"/>
            <color indexed="81"/>
            <rFont val="Tahoma"/>
            <family val="2"/>
          </rPr>
          <t>Quynh:</t>
        </r>
        <r>
          <rPr>
            <sz val="9"/>
            <color indexed="81"/>
            <rFont val="Tahoma"/>
            <family val="2"/>
          </rPr>
          <t xml:space="preserve">
</t>
        </r>
      </text>
    </comment>
    <comment ref="Q199" authorId="2" shapeId="0">
      <text>
        <r>
          <rPr>
            <b/>
            <sz val="9"/>
            <color indexed="81"/>
            <rFont val="Tahoma"/>
            <family val="2"/>
          </rPr>
          <t>Admin:</t>
        </r>
        <r>
          <rPr>
            <sz val="9"/>
            <color indexed="81"/>
            <rFont val="Tahoma"/>
            <family val="2"/>
          </rPr>
          <t xml:space="preserve">
- 3,00 từ 01/9/2016
- 3,33 từ 01/9/2019</t>
        </r>
      </text>
    </comment>
    <comment ref="W199" authorId="2" shapeId="0">
      <text>
        <r>
          <rPr>
            <b/>
            <sz val="9"/>
            <color indexed="81"/>
            <rFont val="Tahoma"/>
            <family val="2"/>
          </rPr>
          <t>Admin:</t>
        </r>
        <r>
          <rPr>
            <sz val="9"/>
            <color indexed="81"/>
            <rFont val="Tahoma"/>
            <family val="2"/>
          </rPr>
          <t xml:space="preserve">
- 10% từ 01/03/2016
- 11% từ 01/03/2017
- 12% từ 01/03/2018
- 13% từ 01/03/2019
- 14% từ 01/03/2020</t>
        </r>
      </text>
    </comment>
    <comment ref="Q200" authorId="0" shapeId="0">
      <text>
        <r>
          <rPr>
            <b/>
            <sz val="9"/>
            <color indexed="81"/>
            <rFont val="Tahoma"/>
            <family val="2"/>
          </rPr>
          <t>User:</t>
        </r>
        <r>
          <rPr>
            <sz val="9"/>
            <color indexed="81"/>
            <rFont val="Tahoma"/>
            <family val="2"/>
          </rPr>
          <t xml:space="preserve">
- HS 3,00 từ 01/9/2014
- HS 3,33 từ 01/9/2017
- HS 3,66 từ 01/9/2020</t>
        </r>
      </text>
    </comment>
    <comment ref="V200" authorId="0" shapeId="0">
      <text>
        <r>
          <rPr>
            <b/>
            <sz val="9"/>
            <color indexed="81"/>
            <rFont val="Tahoma"/>
            <family val="2"/>
          </rPr>
          <t>User:</t>
        </r>
        <r>
          <rPr>
            <sz val="9"/>
            <color indexed="81"/>
            <rFont val="Tahoma"/>
            <family val="2"/>
          </rPr>
          <t xml:space="preserve">
- Miễn nhiệm tổ phó Anh văn từ 01/9/2015 (Bảo lưu đến hết 29/2/2016)</t>
        </r>
      </text>
    </comment>
    <comment ref="W200" authorId="4" shapeId="0">
      <text>
        <r>
          <rPr>
            <b/>
            <sz val="8"/>
            <color indexed="81"/>
            <rFont val="Tahoma"/>
            <family val="2"/>
          </rPr>
          <t>admin:</t>
        </r>
        <r>
          <rPr>
            <sz val="8"/>
            <color indexed="81"/>
            <rFont val="Tahoma"/>
            <family val="2"/>
          </rPr>
          <t xml:space="preserve">
+ 5% từ 1/6/2014
+ 6% từ 1/6/2015
+ 7% từ 1/6/2016
+ 8% từ 1/6/2017
+ 9% từ 1/6/2018
+ 10% từ 01/6/2019
+ 11% từ 01/6/2020</t>
        </r>
      </text>
    </comment>
    <comment ref="Q201" authorId="0" shapeId="0">
      <text>
        <r>
          <rPr>
            <b/>
            <sz val="9"/>
            <color indexed="81"/>
            <rFont val="Tahoma"/>
            <family val="2"/>
          </rPr>
          <t>User:</t>
        </r>
        <r>
          <rPr>
            <sz val="9"/>
            <color indexed="81"/>
            <rFont val="Tahoma"/>
            <family val="2"/>
          </rPr>
          <t xml:space="preserve">
- HS 3,00 từ 01/9/2014
- HS 3,33 từ 01/9/2017
- HS 3,66 từ 01/9/2020</t>
        </r>
      </text>
    </comment>
    <comment ref="W201"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2" authorId="0" shapeId="0">
      <text>
        <r>
          <rPr>
            <b/>
            <sz val="9"/>
            <color indexed="81"/>
            <rFont val="Tahoma"/>
            <family val="2"/>
          </rPr>
          <t>User:</t>
        </r>
        <r>
          <rPr>
            <sz val="9"/>
            <color indexed="81"/>
            <rFont val="Tahoma"/>
            <family val="2"/>
          </rPr>
          <t xml:space="preserve">
- HS 3,00 từ 01/9/2014
- HS 3,33 từ 01/9/2017
- HS 3,66 từ 01/9/2020</t>
        </r>
      </text>
    </comment>
    <comment ref="V202" authorId="0" shapeId="0">
      <text>
        <r>
          <rPr>
            <b/>
            <sz val="9"/>
            <color indexed="81"/>
            <rFont val="Tahoma"/>
            <family val="2"/>
          </rPr>
          <t>User:</t>
        </r>
        <r>
          <rPr>
            <sz val="9"/>
            <color indexed="81"/>
            <rFont val="Tahoma"/>
            <family val="2"/>
          </rPr>
          <t xml:space="preserve">
- Miễn nhiệm Trưởng bộ môn Công nghệ phần mềm từ 01/9/2015</t>
        </r>
      </text>
    </comment>
    <comment ref="W202" authorId="3"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t>
        </r>
      </text>
    </comment>
    <comment ref="Q203" authorId="0" shapeId="0">
      <text>
        <r>
          <rPr>
            <b/>
            <sz val="9"/>
            <color indexed="81"/>
            <rFont val="Tahoma"/>
            <family val="2"/>
          </rPr>
          <t>User:</t>
        </r>
        <r>
          <rPr>
            <sz val="9"/>
            <color indexed="81"/>
            <rFont val="Tahoma"/>
            <family val="2"/>
          </rPr>
          <t xml:space="preserve">
- HS 3,00 từ 01/9/2014
- HS 3,33 từ 01/9/2017
- HS 3,66 từ 01/9/2020</t>
        </r>
      </text>
    </comment>
    <comment ref="W203"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4" authorId="0" shapeId="0">
      <text>
        <r>
          <rPr>
            <b/>
            <sz val="9"/>
            <color indexed="81"/>
            <rFont val="Tahoma"/>
            <family val="2"/>
          </rPr>
          <t>User:</t>
        </r>
        <r>
          <rPr>
            <sz val="9"/>
            <color indexed="81"/>
            <rFont val="Tahoma"/>
            <family val="2"/>
          </rPr>
          <t xml:space="preserve">
- HS 3,00 từ 1/9/2014
- HS 3,33 từ 01/3/2018 (lùi 6 tháng)</t>
        </r>
      </text>
    </comment>
    <comment ref="W204" authorId="3"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t>
        </r>
      </text>
    </comment>
    <comment ref="Q205" authorId="0" shapeId="0">
      <text>
        <r>
          <rPr>
            <b/>
            <sz val="9"/>
            <color indexed="81"/>
            <rFont val="Tahoma"/>
            <family val="2"/>
          </rPr>
          <t>User:</t>
        </r>
        <r>
          <rPr>
            <sz val="9"/>
            <color indexed="81"/>
            <rFont val="Tahoma"/>
            <family val="2"/>
          </rPr>
          <t xml:space="preserve">
- Bậc 3, HS 3,00 từ 01/12/2014</t>
        </r>
      </text>
    </comment>
    <comment ref="W205" authorId="4"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01/06/2019</t>
        </r>
      </text>
    </comment>
    <comment ref="Q206" authorId="0" shapeId="0">
      <text>
        <r>
          <rPr>
            <b/>
            <sz val="9"/>
            <color indexed="81"/>
            <rFont val="Tahoma"/>
            <family val="2"/>
          </rPr>
          <t>User:</t>
        </r>
        <r>
          <rPr>
            <sz val="9"/>
            <color indexed="81"/>
            <rFont val="Tahoma"/>
            <family val="2"/>
          </rPr>
          <t xml:space="preserve">
- HS 3,00 từ 01/9/2015
- HS 3,33 từ 01/9/2018</t>
        </r>
      </text>
    </comment>
    <comment ref="W20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7" authorId="0" shapeId="0">
      <text>
        <r>
          <rPr>
            <b/>
            <sz val="9"/>
            <color indexed="81"/>
            <rFont val="Tahoma"/>
            <family val="2"/>
          </rPr>
          <t>User:</t>
        </r>
        <r>
          <rPr>
            <sz val="9"/>
            <color indexed="81"/>
            <rFont val="Tahoma"/>
            <family val="2"/>
          </rPr>
          <t xml:space="preserve">
- HS 3,00 từ 01/09/2015
- HS 3,33 từ 01/09/2018</t>
        </r>
      </text>
    </comment>
    <comment ref="W207"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8" authorId="0" shapeId="0">
      <text>
        <r>
          <rPr>
            <b/>
            <sz val="9"/>
            <color indexed="81"/>
            <rFont val="Tahoma"/>
            <family val="2"/>
          </rPr>
          <t>User:</t>
        </r>
        <r>
          <rPr>
            <sz val="9"/>
            <color indexed="81"/>
            <rFont val="Tahoma"/>
            <family val="2"/>
          </rPr>
          <t xml:space="preserve">
- HS 3,00 từ 01/9/2015
- HS 3,33 từ 01/9/2018</t>
        </r>
      </text>
    </comment>
    <comment ref="W208" authorId="0" shapeId="0">
      <text>
        <r>
          <rPr>
            <b/>
            <sz val="9"/>
            <color indexed="81"/>
            <rFont val="Tahoma"/>
            <family val="2"/>
          </rPr>
          <t>User:</t>
        </r>
        <r>
          <rPr>
            <sz val="9"/>
            <color indexed="81"/>
            <rFont val="Tahoma"/>
            <family val="2"/>
          </rPr>
          <t xml:space="preserve">
- 6% từ 1/9/2015
- 7% từ 019/2016
- 8% từ 01/9/2017
- 9% từ 01/9/2018
- 10% từ 01/9/2019
- 11% từ 01/9/2020</t>
        </r>
      </text>
    </comment>
    <comment ref="Q209" authorId="0" shapeId="0">
      <text>
        <r>
          <rPr>
            <b/>
            <sz val="9"/>
            <color indexed="81"/>
            <rFont val="Tahoma"/>
            <family val="2"/>
          </rPr>
          <t>User:</t>
        </r>
        <r>
          <rPr>
            <sz val="9"/>
            <color indexed="81"/>
            <rFont val="Tahoma"/>
            <family val="2"/>
          </rPr>
          <t xml:space="preserve">
- HS 3,00 từ 01/9/2015
- HS 3,33 từ 01/9/2018</t>
        </r>
      </text>
    </comment>
    <comment ref="W209"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0" authorId="0" shapeId="0">
      <text>
        <r>
          <rPr>
            <b/>
            <sz val="9"/>
            <color indexed="81"/>
            <rFont val="Tahoma"/>
            <family val="2"/>
          </rPr>
          <t>User:</t>
        </r>
        <r>
          <rPr>
            <sz val="9"/>
            <color indexed="81"/>
            <rFont val="Tahoma"/>
            <family val="2"/>
          </rPr>
          <t xml:space="preserve">
- HS 3,00 từ 01/09/2015
- HS 3,33 từ 01/09/2018</t>
        </r>
      </text>
    </comment>
    <comment ref="W21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1" authorId="0"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t>
        </r>
      </text>
    </comment>
    <comment ref="W21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2" authorId="0" shapeId="0">
      <text>
        <r>
          <rPr>
            <b/>
            <sz val="9"/>
            <color indexed="81"/>
            <rFont val="Tahoma"/>
            <family val="2"/>
          </rPr>
          <t>User:</t>
        </r>
        <r>
          <rPr>
            <sz val="9"/>
            <color indexed="81"/>
            <rFont val="Tahoma"/>
            <family val="2"/>
          </rPr>
          <t xml:space="preserve">
- HS 3,00 từ 01/9/2015
- HS 3,33 từ 01/9/2018</t>
        </r>
      </text>
    </comment>
    <comment ref="W212"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3"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4" authorId="0" shapeId="0">
      <text>
        <r>
          <rPr>
            <b/>
            <sz val="9"/>
            <color indexed="81"/>
            <rFont val="Tahoma"/>
            <family val="2"/>
          </rPr>
          <t>User:</t>
        </r>
        <r>
          <rPr>
            <sz val="9"/>
            <color indexed="81"/>
            <rFont val="Tahoma"/>
            <family val="2"/>
          </rPr>
          <t xml:space="preserve">
- 3,00 từ 01/10/2015
- 3,33 từ 01/10/2018</t>
        </r>
      </text>
    </comment>
    <comment ref="W214" authorId="0" shapeId="0">
      <text>
        <r>
          <rPr>
            <b/>
            <sz val="9"/>
            <color indexed="81"/>
            <rFont val="Tahoma"/>
            <family val="2"/>
          </rPr>
          <t>User:</t>
        </r>
        <r>
          <rPr>
            <sz val="9"/>
            <color indexed="81"/>
            <rFont val="Tahoma"/>
            <family val="2"/>
          </rPr>
          <t xml:space="preserve">
- 6% từ 01/10/2015
- 7% từ 01/10/2016
- 8% từ 01/10/2017
- 9% từ 01/10/2018
- 10% từ 01/10/2019
- 11% từ 01/10/2020</t>
        </r>
      </text>
    </comment>
    <comment ref="Q215"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5" authorId="3"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t>
        </r>
      </text>
    </comment>
    <comment ref="Q216" authorId="0" shapeId="0">
      <text>
        <r>
          <rPr>
            <b/>
            <sz val="9"/>
            <color indexed="81"/>
            <rFont val="Tahoma"/>
            <family val="2"/>
          </rPr>
          <t>User:</t>
        </r>
        <r>
          <rPr>
            <sz val="9"/>
            <color indexed="81"/>
            <rFont val="Tahoma"/>
            <family val="2"/>
          </rPr>
          <t xml:space="preserve">
+ HS 3,00 từ 01/9/2015
+ HS 3,33 từ 01/9/2018</t>
        </r>
      </text>
    </comment>
    <comment ref="W21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7"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7"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7" authorId="2" shapeId="0">
      <text>
        <r>
          <rPr>
            <b/>
            <sz val="9"/>
            <color indexed="81"/>
            <rFont val="Tahoma"/>
            <family val="2"/>
          </rPr>
          <t>Admin:</t>
        </r>
        <r>
          <rPr>
            <sz val="9"/>
            <color indexed="81"/>
            <rFont val="Tahoma"/>
            <family val="2"/>
          </rPr>
          <t xml:space="preserve">
Thôi giữ CV Phó BT Đoàn TN từ 05/4/2018</t>
        </r>
      </text>
    </comment>
    <comment ref="Q218" authorId="2" shapeId="0">
      <text>
        <r>
          <rPr>
            <b/>
            <sz val="9"/>
            <color indexed="81"/>
            <rFont val="Tahoma"/>
            <family val="2"/>
          </rPr>
          <t>Admin:</t>
        </r>
        <r>
          <rPr>
            <sz val="9"/>
            <color indexed="81"/>
            <rFont val="Tahoma"/>
            <family val="2"/>
          </rPr>
          <t xml:space="preserve">
- HS 3,00 từ 01/9/2016
- HS 3,33 từ 01/9/2019</t>
        </r>
      </text>
    </comment>
    <comment ref="V218" authorId="3"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W21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9" authorId="2" shapeId="0">
      <text>
        <r>
          <rPr>
            <b/>
            <sz val="9"/>
            <color indexed="81"/>
            <rFont val="Tahoma"/>
            <family val="2"/>
          </rPr>
          <t>Admin:</t>
        </r>
        <r>
          <rPr>
            <sz val="9"/>
            <color indexed="81"/>
            <rFont val="Tahoma"/>
            <family val="2"/>
          </rPr>
          <t xml:space="preserve">
- HS 3,00 từ 01/9/2015 (NL trước hạn)
- HS 3,33 từ 01/9/2018</t>
        </r>
      </text>
    </comment>
    <comment ref="W219"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9" authorId="3"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Q220" authorId="2" shapeId="0">
      <text>
        <r>
          <rPr>
            <b/>
            <sz val="9"/>
            <color indexed="81"/>
            <rFont val="Tahoma"/>
            <family val="2"/>
          </rPr>
          <t>Admin:</t>
        </r>
        <r>
          <rPr>
            <sz val="9"/>
            <color indexed="81"/>
            <rFont val="Tahoma"/>
            <family val="2"/>
          </rPr>
          <t xml:space="preserve">
- HS 3,00 từ 01/9/2016
- HS 3,33 từ 01/9/2019</t>
        </r>
      </text>
    </comment>
    <comment ref="W22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1" authorId="2" shapeId="0">
      <text>
        <r>
          <rPr>
            <b/>
            <sz val="9"/>
            <color indexed="81"/>
            <rFont val="Tahoma"/>
            <family val="2"/>
          </rPr>
          <t>Admin:</t>
        </r>
        <r>
          <rPr>
            <sz val="9"/>
            <color indexed="81"/>
            <rFont val="Tahoma"/>
            <family val="2"/>
          </rPr>
          <t xml:space="preserve">
- HS 3,00 từ 01/9/2016
- HS 3,33 từ 01/9/2019</t>
        </r>
      </text>
    </comment>
    <comment ref="W221" authorId="0" shapeId="0">
      <text>
        <r>
          <rPr>
            <b/>
            <sz val="9"/>
            <color indexed="81"/>
            <rFont val="Tahoma"/>
            <family val="2"/>
          </rPr>
          <t>User:</t>
        </r>
        <r>
          <rPr>
            <sz val="9"/>
            <color indexed="81"/>
            <rFont val="Tahoma"/>
            <family val="2"/>
          </rPr>
          <t xml:space="preserve">
- 6% từ 01/9/2016
- 7% từ 01/9/2017
- 8% từ 01/9/2018
- 9% từ 01/9/2019
- 10% từ 01/9/2020</t>
        </r>
      </text>
    </comment>
    <comment ref="Q222" authorId="2" shapeId="0">
      <text>
        <r>
          <rPr>
            <b/>
            <sz val="9"/>
            <color indexed="81"/>
            <rFont val="Tahoma"/>
            <family val="2"/>
          </rPr>
          <t>Admin:</t>
        </r>
        <r>
          <rPr>
            <sz val="9"/>
            <color indexed="81"/>
            <rFont val="Tahoma"/>
            <family val="2"/>
          </rPr>
          <t xml:space="preserve">
- HS 3,00 từ 01/9/2015 (NL trước hạn)
- HS 3,33 từ 01/9/2018</t>
        </r>
      </text>
    </comment>
    <comment ref="W222" authorId="0" shapeId="0">
      <text>
        <r>
          <rPr>
            <b/>
            <sz val="9"/>
            <color indexed="81"/>
            <rFont val="Tahoma"/>
            <family val="2"/>
          </rPr>
          <t>User:</t>
        </r>
        <r>
          <rPr>
            <sz val="9"/>
            <color indexed="81"/>
            <rFont val="Tahoma"/>
            <family val="2"/>
          </rPr>
          <t xml:space="preserve">
- 5% từ 01/9/2015
- 6% từ 01/9/2016
- 7% từ 01/9/2017
- 8% từ 01/9/2018
- 9% từ 01/9/2019
- 10% từ 01/9/2020
</t>
        </r>
      </text>
    </comment>
    <comment ref="Q223" authorId="2" shapeId="0">
      <text>
        <r>
          <rPr>
            <b/>
            <sz val="9"/>
            <color indexed="81"/>
            <rFont val="Tahoma"/>
            <family val="2"/>
          </rPr>
          <t>Admin:</t>
        </r>
        <r>
          <rPr>
            <sz val="9"/>
            <color indexed="81"/>
            <rFont val="Tahoma"/>
            <family val="2"/>
          </rPr>
          <t xml:space="preserve">
- HS 3,00 từ 01/9/2016
- HS 3,33 từ 01/9/2019</t>
        </r>
      </text>
    </comment>
    <comment ref="W22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4" authorId="2" shapeId="0">
      <text>
        <r>
          <rPr>
            <b/>
            <sz val="9"/>
            <color indexed="81"/>
            <rFont val="Tahoma"/>
            <family val="2"/>
          </rPr>
          <t>Admin:</t>
        </r>
        <r>
          <rPr>
            <sz val="9"/>
            <color indexed="81"/>
            <rFont val="Tahoma"/>
            <family val="2"/>
          </rPr>
          <t xml:space="preserve">
- HS 3,00 từ 01/9/2016
- HS 3,33 từ 01/9/2019</t>
        </r>
      </text>
    </comment>
    <comment ref="W224"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5" authorId="2" shapeId="0">
      <text>
        <r>
          <rPr>
            <b/>
            <sz val="9"/>
            <color indexed="81"/>
            <rFont val="Tahoma"/>
            <family val="2"/>
          </rPr>
          <t>Admin:</t>
        </r>
        <r>
          <rPr>
            <sz val="9"/>
            <color indexed="81"/>
            <rFont val="Tahoma"/>
            <family val="2"/>
          </rPr>
          <t xml:space="preserve">
- HS 3,00 từ 01/9/15 (NL trước hạn)
- HS 3,33 từ 01/9/18</t>
        </r>
      </text>
    </comment>
    <comment ref="W22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6" authorId="2" shapeId="0">
      <text>
        <r>
          <rPr>
            <b/>
            <sz val="9"/>
            <color indexed="81"/>
            <rFont val="Tahoma"/>
            <family val="2"/>
          </rPr>
          <t>Admin:</t>
        </r>
        <r>
          <rPr>
            <sz val="9"/>
            <color indexed="81"/>
            <rFont val="Tahoma"/>
            <family val="2"/>
          </rPr>
          <t xml:space="preserve">
- 3,00 từ 01/9/2016
- 3,33 từ 01/9/2019</t>
        </r>
      </text>
    </comment>
    <comment ref="W22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7" authorId="2" shapeId="0">
      <text>
        <r>
          <rPr>
            <b/>
            <sz val="9"/>
            <color indexed="81"/>
            <rFont val="Tahoma"/>
            <family val="2"/>
          </rPr>
          <t>Admin:</t>
        </r>
        <r>
          <rPr>
            <sz val="9"/>
            <color indexed="81"/>
            <rFont val="Tahoma"/>
            <family val="2"/>
          </rPr>
          <t xml:space="preserve">
- HS 3,00 từ 01/4/2016 (NL trước hạn)
- HS 3,33 từ 01/4/2019</t>
        </r>
      </text>
    </comment>
    <comment ref="W227" authorId="0" shapeId="0">
      <text>
        <r>
          <rPr>
            <b/>
            <sz val="9"/>
            <color indexed="81"/>
            <rFont val="Tahoma"/>
            <family val="2"/>
          </rPr>
          <t>User:</t>
        </r>
        <r>
          <rPr>
            <sz val="9"/>
            <color indexed="81"/>
            <rFont val="Tahoma"/>
            <family val="2"/>
          </rPr>
          <t xml:space="preserve">
+ 5% từ 01/04/2016
+ 6% từ 01/04/2017
+ 7% từ 01/4/218
+ 8% từ 01/4/2019
+ 9% từ 01/4/2020</t>
        </r>
      </text>
    </comment>
    <comment ref="Q228" authorId="2" shapeId="0">
      <text>
        <r>
          <rPr>
            <b/>
            <sz val="9"/>
            <color indexed="81"/>
            <rFont val="Tahoma"/>
            <family val="2"/>
          </rPr>
          <t>Admin:</t>
        </r>
        <r>
          <rPr>
            <sz val="9"/>
            <color indexed="81"/>
            <rFont val="Tahoma"/>
            <family val="2"/>
          </rPr>
          <t xml:space="preserve">
- HS 3,00 từ 01/10/2016
- HS 3,33 từ 01/10/2019</t>
        </r>
      </text>
    </comment>
    <comment ref="W228" authorId="2" shapeId="0">
      <text>
        <r>
          <rPr>
            <b/>
            <sz val="9"/>
            <color indexed="81"/>
            <rFont val="Tahoma"/>
            <family val="2"/>
          </rPr>
          <t>Admin:</t>
        </r>
        <r>
          <rPr>
            <sz val="9"/>
            <color indexed="81"/>
            <rFont val="Tahoma"/>
            <family val="2"/>
          </rPr>
          <t xml:space="preserve">
+ 8% từ 01/8/2018
+ 9% từ 01/8/2019
+ 10% từ 01/8/2020</t>
        </r>
      </text>
    </comment>
    <comment ref="Q229" authorId="2" shapeId="0">
      <text>
        <r>
          <rPr>
            <b/>
            <sz val="9"/>
            <color indexed="81"/>
            <rFont val="Tahoma"/>
            <family val="2"/>
          </rPr>
          <t>Admin:</t>
        </r>
        <r>
          <rPr>
            <sz val="9"/>
            <color indexed="81"/>
            <rFont val="Tahoma"/>
            <family val="2"/>
          </rPr>
          <t xml:space="preserve">
- HS 3,00 từ 01/9/2016
- HS 3,33 từ 01/9/2019</t>
        </r>
      </text>
    </comment>
    <comment ref="Q230" authorId="3" shapeId="0">
      <text>
        <r>
          <rPr>
            <b/>
            <sz val="9"/>
            <color indexed="81"/>
            <rFont val="Tahoma"/>
            <family val="2"/>
          </rPr>
          <t>user:</t>
        </r>
        <r>
          <rPr>
            <sz val="9"/>
            <color indexed="81"/>
            <rFont val="Tahoma"/>
            <family val="2"/>
          </rPr>
          <t xml:space="preserve">
- HS 3,33 từ 01/11/2019</t>
        </r>
      </text>
    </comment>
    <comment ref="Q231" authorId="3"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t>
        </r>
      </text>
    </comment>
    <comment ref="W231" authorId="0" shapeId="0">
      <text>
        <r>
          <rPr>
            <b/>
            <sz val="9"/>
            <color indexed="81"/>
            <rFont val="Tahoma"/>
            <family val="2"/>
          </rPr>
          <t>User:</t>
        </r>
        <r>
          <rPr>
            <sz val="9"/>
            <color indexed="81"/>
            <rFont val="Tahoma"/>
            <family val="2"/>
          </rPr>
          <t xml:space="preserve">
- 6% từ 01/09/2015
+ 7% từ 01/9/2016
+ 8% từ 01/9/2017
+ 9% từ 01/9/2018
+ 10% từ 01/9/2019
+ 11% từ 01/9/2020</t>
        </r>
      </text>
    </comment>
    <comment ref="Q232" authorId="3" shapeId="0">
      <text>
        <r>
          <rPr>
            <b/>
            <sz val="9"/>
            <color indexed="81"/>
            <rFont val="Tahoma"/>
            <family val="2"/>
          </rPr>
          <t>user:</t>
        </r>
        <r>
          <rPr>
            <sz val="9"/>
            <color indexed="81"/>
            <rFont val="Tahoma"/>
            <family val="2"/>
          </rPr>
          <t xml:space="preserve">
- BNCDNN từ 01/10/2019
- HS 3,33 từ 01/12/2019</t>
        </r>
      </text>
    </comment>
    <comment ref="Q233" authorId="3" shapeId="0">
      <text>
        <r>
          <rPr>
            <b/>
            <sz val="9"/>
            <color indexed="81"/>
            <rFont val="Tahoma"/>
            <family val="2"/>
          </rPr>
          <t>user:</t>
        </r>
        <r>
          <rPr>
            <sz val="9"/>
            <color indexed="81"/>
            <rFont val="Tahoma"/>
            <family val="2"/>
          </rPr>
          <t xml:space="preserve">
- HS 3,33 từ 01/9/2019 (NL trước hạn)</t>
        </r>
      </text>
    </comment>
    <comment ref="W233"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4" authorId="0" shapeId="0">
      <text>
        <r>
          <rPr>
            <b/>
            <sz val="9"/>
            <color indexed="81"/>
            <rFont val="Tahoma"/>
            <family val="2"/>
          </rPr>
          <t>User:</t>
        </r>
        <r>
          <rPr>
            <sz val="9"/>
            <color indexed="81"/>
            <rFont val="Tahoma"/>
            <family val="2"/>
          </rPr>
          <t xml:space="preserve">
- HS 2,67 từ 01/9/2014
- HS 3,00 từ 01/9/2017
- HS 3,33 từ 01/9/2020</t>
        </r>
      </text>
    </comment>
    <comment ref="W234"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5" authorId="0" shapeId="0">
      <text>
        <r>
          <rPr>
            <b/>
            <sz val="9"/>
            <color indexed="81"/>
            <rFont val="Tahoma"/>
            <family val="2"/>
          </rPr>
          <t>User:</t>
        </r>
        <r>
          <rPr>
            <sz val="9"/>
            <color indexed="81"/>
            <rFont val="Tahoma"/>
            <family val="2"/>
          </rPr>
          <t xml:space="preserve">
- HS 2,67 từ 01/9/2014
- HS 3,00 từ 01/9/2017
- HS 3,33 từ 01/9/2019 (NL trước hạn)</t>
        </r>
      </text>
    </comment>
    <comment ref="W235" authorId="0" shapeId="0">
      <text>
        <r>
          <rPr>
            <b/>
            <sz val="9"/>
            <color indexed="81"/>
            <rFont val="Tahoma"/>
            <family val="2"/>
          </rPr>
          <t>User:</t>
        </r>
        <r>
          <rPr>
            <sz val="9"/>
            <color indexed="81"/>
            <rFont val="Tahoma"/>
            <family val="2"/>
          </rPr>
          <t xml:space="preserve">
- 5% từ 01/5/2015
- 6% từ 01/5/2016
- 7% từ 01/05/2017
- 8% từ 01/5/2018
- 9% từ 01/5/2019
- 10% từ 01/5/2020</t>
        </r>
      </text>
    </comment>
    <comment ref="Q236" authorId="0" shapeId="0">
      <text>
        <r>
          <rPr>
            <b/>
            <sz val="9"/>
            <color indexed="81"/>
            <rFont val="Tahoma"/>
            <family val="2"/>
          </rPr>
          <t>User:</t>
        </r>
        <r>
          <rPr>
            <sz val="9"/>
            <color indexed="81"/>
            <rFont val="Tahoma"/>
            <family val="2"/>
          </rPr>
          <t xml:space="preserve">
- HS 2,67 từ 1/9/2014
- HS 3,00 từ 01/9/2017
- HS 3,33 từ 01/9/2020</t>
        </r>
      </text>
    </comment>
    <comment ref="V236" authorId="0"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W236"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7" authorId="0" shapeId="0">
      <text>
        <r>
          <rPr>
            <b/>
            <sz val="9"/>
            <color indexed="81"/>
            <rFont val="Tahoma"/>
            <family val="2"/>
          </rPr>
          <t>User:</t>
        </r>
        <r>
          <rPr>
            <sz val="9"/>
            <color indexed="81"/>
            <rFont val="Tahoma"/>
            <family val="2"/>
          </rPr>
          <t xml:space="preserve">
- HS 2,67 từ 01/9/2014
- HS 3,00 từ 01/9/2017
- HS 3,33 từ 01/9/2020</t>
        </r>
      </text>
    </comment>
    <comment ref="W237" authorId="2" shapeId="0">
      <text>
        <r>
          <rPr>
            <b/>
            <sz val="9"/>
            <color indexed="81"/>
            <rFont val="Tahoma"/>
            <family val="2"/>
          </rPr>
          <t>Admin:</t>
        </r>
        <r>
          <rPr>
            <sz val="9"/>
            <color indexed="81"/>
            <rFont val="Tahoma"/>
            <family val="2"/>
          </rPr>
          <t xml:space="preserve">
+ 5% từ 01/5/2016
+ 6% từ 01/5/2017
+ 7% từ 01/5/2018
+ 8% từ 01/5/2019
+ 9% từ 01/5/2020</t>
        </r>
      </text>
    </comment>
    <comment ref="Q238" authorId="0" shapeId="0">
      <text>
        <r>
          <rPr>
            <b/>
            <sz val="9"/>
            <color indexed="81"/>
            <rFont val="Tahoma"/>
            <family val="2"/>
          </rPr>
          <t>User:</t>
        </r>
        <r>
          <rPr>
            <sz val="9"/>
            <color indexed="81"/>
            <rFont val="Tahoma"/>
            <family val="2"/>
          </rPr>
          <t xml:space="preserve">
- Bậc 2, HS 2,67 từ 01/03/2015
- HS 3,00 từ 01/03/2018</t>
        </r>
      </text>
    </comment>
    <comment ref="W238" authorId="1" shapeId="0">
      <text>
        <r>
          <rPr>
            <b/>
            <sz val="9"/>
            <color indexed="81"/>
            <rFont val="Tahoma"/>
            <family val="2"/>
          </rPr>
          <t>Quynh:</t>
        </r>
        <r>
          <rPr>
            <sz val="9"/>
            <color indexed="81"/>
            <rFont val="Tahoma"/>
            <family val="2"/>
          </rPr>
          <t xml:space="preserve">
+ 7% từ 01/3/2019
+ 8% từ 01/03/2020</t>
        </r>
      </text>
    </comment>
    <comment ref="W239" authorId="3" shapeId="0">
      <text>
        <r>
          <rPr>
            <b/>
            <sz val="9"/>
            <color indexed="81"/>
            <rFont val="Tahoma"/>
            <family val="2"/>
          </rPr>
          <t>user:</t>
        </r>
        <r>
          <rPr>
            <sz val="9"/>
            <color indexed="81"/>
            <rFont val="Tahoma"/>
            <family val="2"/>
          </rPr>
          <t xml:space="preserve">
+ 7% từ 01/5/2019
+ 8% từ 01/5/2020</t>
        </r>
      </text>
    </comment>
    <comment ref="Q240" authorId="2" shapeId="0">
      <text>
        <r>
          <rPr>
            <b/>
            <sz val="9"/>
            <color indexed="81"/>
            <rFont val="Tahoma"/>
            <family val="2"/>
          </rPr>
          <t>Admin:</t>
        </r>
        <r>
          <rPr>
            <sz val="9"/>
            <color indexed="81"/>
            <rFont val="Tahoma"/>
            <family val="2"/>
          </rPr>
          <t xml:space="preserve">
- 3,00 từ 01/9/2016
- 3,33 từ 01/3/2019 (kéo dài thời gian NL do sinh con thứ 3)</t>
        </r>
      </text>
    </comment>
    <comment ref="W24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41" authorId="2" shapeId="0">
      <text>
        <r>
          <rPr>
            <b/>
            <sz val="9"/>
            <color indexed="81"/>
            <rFont val="Tahoma"/>
            <family val="2"/>
          </rPr>
          <t>Admin:</t>
        </r>
        <r>
          <rPr>
            <sz val="9"/>
            <color indexed="81"/>
            <rFont val="Tahoma"/>
            <family val="2"/>
          </rPr>
          <t xml:space="preserve">
- HS 2,67 từ 01/9/2016
- HS 3,00 từ 01/9/2019</t>
        </r>
      </text>
    </comment>
    <comment ref="W241" authorId="3" shapeId="0">
      <text>
        <r>
          <rPr>
            <b/>
            <sz val="9"/>
            <color indexed="81"/>
            <rFont val="Tahoma"/>
            <family val="2"/>
          </rPr>
          <t>user:</t>
        </r>
        <r>
          <rPr>
            <sz val="9"/>
            <color indexed="81"/>
            <rFont val="Tahoma"/>
            <family val="2"/>
          </rPr>
          <t xml:space="preserve">
- 5% từ 01/9/2018
- 6% từ 01/9/2019
- 7% từ 01/9/2020</t>
        </r>
      </text>
    </comment>
    <comment ref="Q242" authorId="2" shapeId="0">
      <text>
        <r>
          <rPr>
            <b/>
            <sz val="9"/>
            <color indexed="81"/>
            <rFont val="Tahoma"/>
            <family val="2"/>
          </rPr>
          <t>Admin:</t>
        </r>
        <r>
          <rPr>
            <sz val="9"/>
            <color indexed="81"/>
            <rFont val="Tahoma"/>
            <family val="2"/>
          </rPr>
          <t xml:space="preserve">
- HS 2,67 từ 01/9/15 (NL trước hạn)
- HS 3,00 từ 01/9/2018</t>
        </r>
      </text>
    </comment>
    <comment ref="W242" authorId="3" shapeId="0">
      <text>
        <r>
          <rPr>
            <b/>
            <sz val="9"/>
            <color indexed="81"/>
            <rFont val="Tahoma"/>
            <family val="2"/>
          </rPr>
          <t>user:</t>
        </r>
        <r>
          <rPr>
            <sz val="9"/>
            <color indexed="81"/>
            <rFont val="Tahoma"/>
            <family val="2"/>
          </rPr>
          <t xml:space="preserve">
- 5% từ 01/9/2018
- 6% từ 01/9/2019
- 7% từ 01/9/2020</t>
        </r>
      </text>
    </comment>
    <comment ref="Q243" authorId="2" shapeId="0">
      <text>
        <r>
          <rPr>
            <b/>
            <sz val="9"/>
            <color indexed="81"/>
            <rFont val="Tahoma"/>
            <family val="2"/>
          </rPr>
          <t>Admin:</t>
        </r>
        <r>
          <rPr>
            <sz val="9"/>
            <color indexed="81"/>
            <rFont val="Tahoma"/>
            <family val="2"/>
          </rPr>
          <t xml:space="preserve">
- HS 2,67 từ 01/9/2016
- HS 3,00 từ 01/9/2019</t>
        </r>
      </text>
    </comment>
    <comment ref="W243" authorId="3" shapeId="0">
      <text>
        <r>
          <rPr>
            <b/>
            <sz val="9"/>
            <color indexed="81"/>
            <rFont val="Tahoma"/>
            <family val="2"/>
          </rPr>
          <t>user:</t>
        </r>
        <r>
          <rPr>
            <sz val="9"/>
            <color indexed="81"/>
            <rFont val="Tahoma"/>
            <family val="2"/>
          </rPr>
          <t xml:space="preserve">
- 5% từ 01/9/2018
- 6% từ 01/9/2019
- 7% từ 01/9/2020</t>
        </r>
      </text>
    </comment>
    <comment ref="Q244" authorId="2" shapeId="0">
      <text>
        <r>
          <rPr>
            <b/>
            <sz val="9"/>
            <color indexed="81"/>
            <rFont val="Tahoma"/>
            <family val="2"/>
          </rPr>
          <t>Admin:</t>
        </r>
        <r>
          <rPr>
            <sz val="9"/>
            <color indexed="81"/>
            <rFont val="Tahoma"/>
            <family val="2"/>
          </rPr>
          <t xml:space="preserve">
- HS 2,67 từ 01/10/2016
- HS 3,00 từ 01/10/2019</t>
        </r>
      </text>
    </comment>
    <comment ref="W244" authorId="3" shapeId="0">
      <text>
        <r>
          <rPr>
            <b/>
            <sz val="9"/>
            <color indexed="81"/>
            <rFont val="Tahoma"/>
            <family val="2"/>
          </rPr>
          <t>user:</t>
        </r>
        <r>
          <rPr>
            <sz val="9"/>
            <color indexed="81"/>
            <rFont val="Tahoma"/>
            <family val="2"/>
          </rPr>
          <t xml:space="preserve">
- 5% từ 01/10/2018
- 6% từ 01/10/2019
- 7% từ 01/10/2020</t>
        </r>
      </text>
    </comment>
    <comment ref="Q245" authorId="2" shapeId="0">
      <text>
        <r>
          <rPr>
            <b/>
            <sz val="9"/>
            <color indexed="81"/>
            <rFont val="Tahoma"/>
            <family val="2"/>
          </rPr>
          <t>Admin:</t>
        </r>
        <r>
          <rPr>
            <sz val="9"/>
            <color indexed="81"/>
            <rFont val="Tahoma"/>
            <family val="2"/>
          </rPr>
          <t xml:space="preserve">
- HS 2,67 từ 01/10/2015 (NL trước hạn)
- 3,00 từ 01/10/2018</t>
        </r>
      </text>
    </comment>
    <comment ref="W245" authorId="3" shapeId="0">
      <text>
        <r>
          <rPr>
            <b/>
            <sz val="9"/>
            <color indexed="81"/>
            <rFont val="Tahoma"/>
            <family val="2"/>
          </rPr>
          <t>user:</t>
        </r>
        <r>
          <rPr>
            <sz val="9"/>
            <color indexed="81"/>
            <rFont val="Tahoma"/>
            <family val="2"/>
          </rPr>
          <t xml:space="preserve">
- 5% từ 01/10/2018
- 6% từ 01/10/2019
- 7% từ 01/10/2020</t>
        </r>
      </text>
    </comment>
    <comment ref="Q246" authorId="2" shapeId="0">
      <text>
        <r>
          <rPr>
            <b/>
            <sz val="9"/>
            <color indexed="81"/>
            <rFont val="Tahoma"/>
            <family val="2"/>
          </rPr>
          <t>Admin:</t>
        </r>
        <r>
          <rPr>
            <sz val="9"/>
            <color indexed="81"/>
            <rFont val="Tahoma"/>
            <family val="2"/>
          </rPr>
          <t xml:space="preserve">
- HS 2,67 từ 01/10/2016
- HS 3,00 từ 01/10/2019</t>
        </r>
      </text>
    </comment>
    <comment ref="W246" authorId="3" shapeId="0">
      <text>
        <r>
          <rPr>
            <b/>
            <sz val="9"/>
            <color indexed="81"/>
            <rFont val="Tahoma"/>
            <family val="2"/>
          </rPr>
          <t>user:</t>
        </r>
        <r>
          <rPr>
            <sz val="9"/>
            <color indexed="81"/>
            <rFont val="Tahoma"/>
            <family val="2"/>
          </rPr>
          <t xml:space="preserve">
- 6% từ 01/10/2019
- 7% từ 01/10/2020</t>
        </r>
      </text>
    </comment>
    <comment ref="Q247" authorId="2" shapeId="0">
      <text>
        <r>
          <rPr>
            <b/>
            <sz val="9"/>
            <color indexed="81"/>
            <rFont val="Tahoma"/>
            <family val="2"/>
          </rPr>
          <t>Admin:</t>
        </r>
        <r>
          <rPr>
            <sz val="9"/>
            <color indexed="81"/>
            <rFont val="Tahoma"/>
            <family val="2"/>
          </rPr>
          <t xml:space="preserve">
- HS 2,67 từ 01/09/2016
- HS 3,00 từ 01/09/2019</t>
        </r>
      </text>
    </comment>
    <comment ref="Q248" authorId="2" shapeId="0">
      <text>
        <r>
          <rPr>
            <b/>
            <sz val="9"/>
            <color indexed="81"/>
            <rFont val="Tahoma"/>
            <family val="2"/>
          </rPr>
          <t>Admin:</t>
        </r>
        <r>
          <rPr>
            <sz val="9"/>
            <color indexed="81"/>
            <rFont val="Tahoma"/>
            <family val="2"/>
          </rPr>
          <t xml:space="preserve">
- HS 2,67 từ 01/09/2016
- HS 3,00 từ 01/09/2019</t>
        </r>
      </text>
    </comment>
    <comment ref="W248" authorId="3" shapeId="0">
      <text>
        <r>
          <rPr>
            <b/>
            <sz val="9"/>
            <color indexed="81"/>
            <rFont val="Tahoma"/>
            <family val="2"/>
          </rPr>
          <t>user:</t>
        </r>
        <r>
          <rPr>
            <sz val="9"/>
            <color indexed="81"/>
            <rFont val="Tahoma"/>
            <family val="2"/>
          </rPr>
          <t xml:space="preserve">
+ 5% từ 01/7/2019
+ 6% từ 01/7/2020</t>
        </r>
      </text>
    </comment>
    <comment ref="Q249" authorId="2" shapeId="0">
      <text>
        <r>
          <rPr>
            <b/>
            <sz val="9"/>
            <color indexed="81"/>
            <rFont val="Tahoma"/>
            <family val="2"/>
          </rPr>
          <t>Admin:</t>
        </r>
        <r>
          <rPr>
            <sz val="9"/>
            <color indexed="81"/>
            <rFont val="Tahoma"/>
            <family val="2"/>
          </rPr>
          <t xml:space="preserve">
- HS 2,67 từ 01/09/2016
- HS 3,00 từ 01/9/2019
</t>
        </r>
      </text>
    </comment>
    <comment ref="Q250" authorId="2" shapeId="0">
      <text>
        <r>
          <rPr>
            <b/>
            <sz val="9"/>
            <color indexed="81"/>
            <rFont val="Tahoma"/>
            <family val="2"/>
          </rPr>
          <t>Admin:</t>
        </r>
        <r>
          <rPr>
            <sz val="9"/>
            <color indexed="81"/>
            <rFont val="Tahoma"/>
            <family val="2"/>
          </rPr>
          <t xml:space="preserve">
- HS 2,67 từ 01/09/2016
- HS 3,00 từ 01/9/2019</t>
        </r>
      </text>
    </comment>
    <comment ref="Q251" authorId="2" shapeId="0">
      <text>
        <r>
          <rPr>
            <b/>
            <sz val="9"/>
            <color indexed="81"/>
            <rFont val="Tahoma"/>
            <family val="2"/>
          </rPr>
          <t>Admin:</t>
        </r>
        <r>
          <rPr>
            <sz val="9"/>
            <color indexed="81"/>
            <rFont val="Tahoma"/>
            <family val="2"/>
          </rPr>
          <t xml:space="preserve">
+ HS 3,00 từ 01/3/2017
+ HS 3,33 từ 01/3/2020</t>
        </r>
      </text>
    </comment>
    <comment ref="W251" authorId="0" shapeId="0">
      <text>
        <r>
          <rPr>
            <b/>
            <sz val="9"/>
            <color indexed="81"/>
            <rFont val="Tahoma"/>
            <family val="2"/>
          </rPr>
          <t>User:</t>
        </r>
        <r>
          <rPr>
            <sz val="9"/>
            <color indexed="81"/>
            <rFont val="Tahoma"/>
            <family val="2"/>
          </rPr>
          <t xml:space="preserve">
- 5% từ 01/9/2015
- 6% từ 01/09/2016
- 7% từ 01/09/2017
- 8% từ 01/09/2018
- 9% từ 01/9/2019
- 10% từ 01/9/2020</t>
        </r>
      </text>
    </comment>
    <comment ref="Q252"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t>
        </r>
      </text>
    </comment>
    <comment ref="W252" authorId="3" shapeId="0">
      <text>
        <r>
          <rPr>
            <b/>
            <sz val="9"/>
            <color indexed="81"/>
            <rFont val="Tahoma"/>
            <family val="2"/>
          </rPr>
          <t>user:</t>
        </r>
        <r>
          <rPr>
            <sz val="9"/>
            <color indexed="81"/>
            <rFont val="Tahoma"/>
            <family val="2"/>
          </rPr>
          <t xml:space="preserve">
+ 5% từ 01/9/2019
+ 6% từ 01/9/2020</t>
        </r>
      </text>
    </comment>
    <comment ref="D254" authorId="2" shapeId="0">
      <text>
        <r>
          <rPr>
            <b/>
            <sz val="9"/>
            <color indexed="81"/>
            <rFont val="Tahoma"/>
            <family val="2"/>
          </rPr>
          <t>Admin:</t>
        </r>
        <r>
          <rPr>
            <sz val="9"/>
            <color indexed="81"/>
            <rFont val="Tahoma"/>
            <family val="2"/>
          </rPr>
          <t xml:space="preserve">
Chuyển về khối Chuyên nghiệp từ 01/8/2016 (Làm nhân viên)
</t>
        </r>
      </text>
    </comment>
    <comment ref="Q254" authorId="2" shapeId="0">
      <text>
        <r>
          <rPr>
            <b/>
            <sz val="9"/>
            <color indexed="81"/>
            <rFont val="Tahoma"/>
            <family val="2"/>
          </rPr>
          <t>Admin:</t>
        </r>
        <r>
          <rPr>
            <sz val="9"/>
            <color indexed="81"/>
            <rFont val="Tahoma"/>
            <family val="2"/>
          </rPr>
          <t xml:space="preserve">
- HS 3,00 từ 01/12/2016
- HS 3,33 từ 01/12/2019</t>
        </r>
      </text>
    </comment>
    <comment ref="Q256" authorId="0" shapeId="0">
      <text>
        <r>
          <rPr>
            <b/>
            <sz val="9"/>
            <color indexed="81"/>
            <rFont val="Tahoma"/>
            <family val="2"/>
          </rPr>
          <t>User:</t>
        </r>
        <r>
          <rPr>
            <sz val="9"/>
            <color indexed="81"/>
            <rFont val="Tahoma"/>
            <family val="2"/>
          </rPr>
          <t xml:space="preserve">
+ hệ số 2,34 từ 1/9/2014
- HS 2,67 từ 01/9/2017
- HS 3,00 từ 01/9/2020</t>
        </r>
      </text>
    </comment>
    <comment ref="W256" authorId="3" shapeId="0">
      <text>
        <r>
          <rPr>
            <b/>
            <sz val="9"/>
            <color indexed="81"/>
            <rFont val="Tahoma"/>
            <family val="2"/>
          </rPr>
          <t>user:</t>
        </r>
        <r>
          <rPr>
            <sz val="9"/>
            <color indexed="81"/>
            <rFont val="Tahoma"/>
            <family val="2"/>
          </rPr>
          <t xml:space="preserve">
+ 5% từ 01/9/2019
+ 6% từ 01/9/2020</t>
        </r>
      </text>
    </comment>
    <comment ref="Q257" authorId="0" shapeId="0">
      <text>
        <r>
          <rPr>
            <b/>
            <sz val="9"/>
            <color indexed="81"/>
            <rFont val="Tahoma"/>
            <family val="2"/>
          </rPr>
          <t>User:</t>
        </r>
        <r>
          <rPr>
            <sz val="9"/>
            <color indexed="81"/>
            <rFont val="Tahoma"/>
            <family val="2"/>
          </rPr>
          <t xml:space="preserve">
+ hệ số 2,34 từ 1/9/2014
+ HS 3,00 từ 01/9/2020</t>
        </r>
      </text>
    </comment>
    <comment ref="W257" authorId="1" shapeId="0">
      <text>
        <r>
          <rPr>
            <b/>
            <sz val="9"/>
            <color indexed="81"/>
            <rFont val="Tahoma"/>
            <family val="2"/>
          </rPr>
          <t>Quynh:</t>
        </r>
        <r>
          <rPr>
            <sz val="9"/>
            <color indexed="81"/>
            <rFont val="Tahoma"/>
            <family val="2"/>
          </rPr>
          <t xml:space="preserve">
- 9% từ 01/6/2019
- 10% từ 01/6/2020</t>
        </r>
      </text>
    </comment>
    <comment ref="Q258" authorId="0" shapeId="0">
      <text>
        <r>
          <rPr>
            <b/>
            <sz val="9"/>
            <color indexed="81"/>
            <rFont val="Tahoma"/>
            <family val="2"/>
          </rPr>
          <t>User:</t>
        </r>
        <r>
          <rPr>
            <sz val="9"/>
            <color indexed="81"/>
            <rFont val="Tahoma"/>
            <family val="2"/>
          </rPr>
          <t xml:space="preserve">
+ hệ số 2,34 từ 1/9/2014
- HS 2,67 từ 01/9/2017
- HS 3,00 từ 01/9/2020</t>
        </r>
      </text>
    </comment>
    <comment ref="W258" authorId="3" shapeId="0">
      <text>
        <r>
          <rPr>
            <b/>
            <sz val="9"/>
            <color indexed="81"/>
            <rFont val="Tahoma"/>
            <family val="2"/>
          </rPr>
          <t>user:</t>
        </r>
        <r>
          <rPr>
            <sz val="9"/>
            <color indexed="81"/>
            <rFont val="Tahoma"/>
            <family val="2"/>
          </rPr>
          <t xml:space="preserve">
+ 5% từ 01/9/2019</t>
        </r>
      </text>
    </comment>
    <comment ref="Q262" authorId="1" shapeId="0">
      <text>
        <r>
          <rPr>
            <b/>
            <sz val="9"/>
            <color indexed="81"/>
            <rFont val="Tahoma"/>
            <family val="2"/>
          </rPr>
          <t>Quynh:</t>
        </r>
        <r>
          <rPr>
            <sz val="9"/>
            <color indexed="81"/>
            <rFont val="Tahoma"/>
            <family val="2"/>
          </rPr>
          <t xml:space="preserve">
- HS 2,67 từ 01/4/2019</t>
        </r>
      </text>
    </comment>
    <comment ref="Q263" authorId="1" shapeId="0">
      <text>
        <r>
          <rPr>
            <b/>
            <sz val="9"/>
            <color indexed="81"/>
            <rFont val="Tahoma"/>
            <family val="2"/>
          </rPr>
          <t>Quynh:</t>
        </r>
        <r>
          <rPr>
            <sz val="9"/>
            <color indexed="81"/>
            <rFont val="Tahoma"/>
            <family val="2"/>
          </rPr>
          <t xml:space="preserve">
- HS 2,67 từ 01,4/2019</t>
        </r>
      </text>
    </comment>
    <comment ref="W263" authorId="3" shapeId="0">
      <text>
        <r>
          <rPr>
            <b/>
            <sz val="9"/>
            <color indexed="81"/>
            <rFont val="Tahoma"/>
            <family val="2"/>
          </rPr>
          <t>user:</t>
        </r>
        <r>
          <rPr>
            <sz val="9"/>
            <color indexed="81"/>
            <rFont val="Tahoma"/>
            <family val="2"/>
          </rPr>
          <t xml:space="preserve">
+ 7% từ 01/12/2019
+ 8% từ 01/12/2020</t>
        </r>
      </text>
    </comment>
    <comment ref="Q264" authorId="2" shapeId="0">
      <text>
        <r>
          <rPr>
            <b/>
            <sz val="9"/>
            <color indexed="81"/>
            <rFont val="Tahoma"/>
            <family val="2"/>
          </rPr>
          <t>Admin:</t>
        </r>
        <r>
          <rPr>
            <sz val="9"/>
            <color indexed="81"/>
            <rFont val="Tahoma"/>
            <family val="2"/>
          </rPr>
          <t xml:space="preserve">
- HS 2,34 từ 01/09/2016
- HS 2,67 từ 01/9/2019</t>
        </r>
      </text>
    </comment>
    <comment ref="Q265" authorId="2" shapeId="0">
      <text>
        <r>
          <rPr>
            <b/>
            <sz val="9"/>
            <color indexed="81"/>
            <rFont val="Tahoma"/>
            <family val="2"/>
          </rPr>
          <t>Admin:</t>
        </r>
        <r>
          <rPr>
            <sz val="9"/>
            <color indexed="81"/>
            <rFont val="Tahoma"/>
            <family val="2"/>
          </rPr>
          <t xml:space="preserve">
- HS 2,34 từ 01/09/2016
- HS 2,67 từ 01/09/2019</t>
        </r>
      </text>
    </comment>
    <comment ref="Q266" authorId="2" shapeId="0">
      <text>
        <r>
          <rPr>
            <b/>
            <sz val="9"/>
            <color indexed="81"/>
            <rFont val="Tahoma"/>
            <family val="2"/>
          </rPr>
          <t>Admin:</t>
        </r>
        <r>
          <rPr>
            <sz val="9"/>
            <color indexed="81"/>
            <rFont val="Tahoma"/>
            <family val="2"/>
          </rPr>
          <t xml:space="preserve">
- HS 2,34 từ 01/09/2016
- HS 2,67 từ 01/9/2019</t>
        </r>
      </text>
    </comment>
    <comment ref="Q267" authorId="2" shapeId="0">
      <text>
        <r>
          <rPr>
            <b/>
            <sz val="9"/>
            <color indexed="81"/>
            <rFont val="Tahoma"/>
            <family val="2"/>
          </rPr>
          <t>Admin:</t>
        </r>
        <r>
          <rPr>
            <sz val="9"/>
            <color indexed="81"/>
            <rFont val="Tahoma"/>
            <family val="2"/>
          </rPr>
          <t xml:space="preserve">
- HS 2,34 từ 01/09/2016
- HS 2,67 từ 01/09/2019</t>
        </r>
      </text>
    </comment>
    <comment ref="Q268" authorId="3" shapeId="0">
      <text>
        <r>
          <rPr>
            <b/>
            <sz val="9"/>
            <color indexed="81"/>
            <rFont val="Tahoma"/>
            <family val="2"/>
          </rPr>
          <t>user:</t>
        </r>
        <r>
          <rPr>
            <sz val="9"/>
            <color indexed="81"/>
            <rFont val="Tahoma"/>
            <family val="2"/>
          </rPr>
          <t xml:space="preserve">
- BN CDNN từ 01/10/2019 (HS 2,67)</t>
        </r>
      </text>
    </comment>
    <comment ref="Q269" authorId="3" shapeId="0">
      <text>
        <r>
          <rPr>
            <b/>
            <sz val="9"/>
            <color indexed="81"/>
            <rFont val="Tahoma"/>
            <family val="2"/>
          </rPr>
          <t>user:</t>
        </r>
        <r>
          <rPr>
            <sz val="9"/>
            <color indexed="81"/>
            <rFont val="Tahoma"/>
            <family val="2"/>
          </rPr>
          <t xml:space="preserve">
- BN CDNN từ 01/10/2019 (HS 2,67)</t>
        </r>
      </text>
    </comment>
    <comment ref="Q270" authorId="3" shapeId="0">
      <text>
        <r>
          <rPr>
            <b/>
            <sz val="9"/>
            <color indexed="81"/>
            <rFont val="Tahoma"/>
            <family val="2"/>
          </rPr>
          <t>user:</t>
        </r>
        <r>
          <rPr>
            <sz val="9"/>
            <color indexed="81"/>
            <rFont val="Tahoma"/>
            <family val="2"/>
          </rPr>
          <t xml:space="preserve">
- BN CDNN từ 01/10/2019 (HS 2,67)</t>
        </r>
      </text>
    </comment>
    <comment ref="Q271" authorId="3" shapeId="0">
      <text>
        <r>
          <rPr>
            <b/>
            <sz val="9"/>
            <color indexed="81"/>
            <rFont val="Tahoma"/>
            <family val="2"/>
          </rPr>
          <t>user:</t>
        </r>
        <r>
          <rPr>
            <sz val="9"/>
            <color indexed="81"/>
            <rFont val="Tahoma"/>
            <family val="2"/>
          </rPr>
          <t xml:space="preserve">
- HS 2,67 từ 01/01/2020</t>
        </r>
      </text>
    </comment>
    <comment ref="Q272" authorId="1" shapeId="0">
      <text>
        <r>
          <rPr>
            <b/>
            <sz val="9"/>
            <color indexed="81"/>
            <rFont val="Tahoma"/>
            <family val="2"/>
          </rPr>
          <t>Quynh:</t>
        </r>
        <r>
          <rPr>
            <sz val="9"/>
            <color indexed="81"/>
            <rFont val="Tahoma"/>
            <family val="2"/>
          </rPr>
          <t xml:space="preserve">
- HS 2,269 (Tuyển dụng 1/4/19)
- HS 2,67 từ 01/04/2020</t>
        </r>
      </text>
    </comment>
    <comment ref="Q273" authorId="3" shapeId="0">
      <text>
        <r>
          <rPr>
            <b/>
            <sz val="9"/>
            <color indexed="81"/>
            <rFont val="Tahoma"/>
            <family val="2"/>
          </rPr>
          <t>user:</t>
        </r>
        <r>
          <rPr>
            <sz val="9"/>
            <color indexed="81"/>
            <rFont val="Tahoma"/>
            <family val="2"/>
          </rPr>
          <t xml:space="preserve">
- 2,67 từ 01/5/2020</t>
        </r>
      </text>
    </comment>
    <comment ref="Q274" authorId="1" shapeId="0">
      <text>
        <r>
          <rPr>
            <b/>
            <sz val="9"/>
            <color indexed="81"/>
            <rFont val="Tahoma"/>
            <family val="2"/>
          </rPr>
          <t>Quynh:</t>
        </r>
        <r>
          <rPr>
            <sz val="9"/>
            <color indexed="81"/>
            <rFont val="Tahoma"/>
            <family val="2"/>
          </rPr>
          <t xml:space="preserve">
- HS 2,34 từ 01/4/2019</t>
        </r>
      </text>
    </comment>
    <comment ref="Q275" authorId="3" shapeId="0">
      <text>
        <r>
          <rPr>
            <b/>
            <sz val="9"/>
            <color indexed="81"/>
            <rFont val="Tahoma"/>
            <family val="2"/>
          </rPr>
          <t>user:</t>
        </r>
        <r>
          <rPr>
            <sz val="9"/>
            <color indexed="81"/>
            <rFont val="Tahoma"/>
            <family val="2"/>
          </rPr>
          <t xml:space="preserve">
- BN CDNN từ 01/10/2019 (HS 2,34)</t>
        </r>
      </text>
    </comment>
    <comment ref="Q276" authorId="3" shapeId="0">
      <text>
        <r>
          <rPr>
            <b/>
            <sz val="9"/>
            <color indexed="81"/>
            <rFont val="Tahoma"/>
            <family val="2"/>
          </rPr>
          <t>user:</t>
        </r>
        <r>
          <rPr>
            <sz val="9"/>
            <color indexed="81"/>
            <rFont val="Tahoma"/>
            <family val="2"/>
          </rPr>
          <t xml:space="preserve">
- BN CDNN từ 01/10/2019 (HS 2,34)</t>
        </r>
      </text>
    </comment>
    <comment ref="Q277" authorId="3" shapeId="0">
      <text>
        <r>
          <rPr>
            <b/>
            <sz val="9"/>
            <color indexed="81"/>
            <rFont val="Tahoma"/>
            <family val="2"/>
          </rPr>
          <t>user:</t>
        </r>
        <r>
          <rPr>
            <sz val="9"/>
            <color indexed="81"/>
            <rFont val="Tahoma"/>
            <family val="2"/>
          </rPr>
          <t xml:space="preserve">
- HS 2,34 từ 01/01/2020</t>
        </r>
      </text>
    </comment>
    <comment ref="Q278" authorId="1" shapeId="0">
      <text>
        <r>
          <rPr>
            <b/>
            <sz val="9"/>
            <color indexed="81"/>
            <rFont val="Tahoma"/>
            <family val="2"/>
          </rPr>
          <t>Quynh:</t>
        </r>
        <r>
          <rPr>
            <sz val="9"/>
            <color indexed="81"/>
            <rFont val="Tahoma"/>
            <family val="2"/>
          </rPr>
          <t xml:space="preserve">
- HS 1,989 (Tuyển dụng 01/4/19)
- HS 2,34 từ 01/04/2020</t>
        </r>
      </text>
    </comment>
    <comment ref="E279" authorId="1" shapeId="0">
      <text>
        <r>
          <rPr>
            <b/>
            <sz val="9"/>
            <color indexed="81"/>
            <rFont val="Tahoma"/>
            <family val="2"/>
          </rPr>
          <t>Quynh:</t>
        </r>
        <r>
          <rPr>
            <sz val="9"/>
            <color indexed="81"/>
            <rFont val="Tahoma"/>
            <family val="2"/>
          </rPr>
          <t xml:space="preserve">
- Nhân viên phòng Quản trị - Dịch vụ từ 23/4/2019
- TT QHDN từ 01/10/2019</t>
        </r>
      </text>
    </comment>
    <comment ref="Q279" authorId="0" shapeId="0">
      <text>
        <r>
          <rPr>
            <b/>
            <sz val="9"/>
            <color indexed="81"/>
            <rFont val="Tahoma"/>
            <family val="2"/>
          </rPr>
          <t>User:</t>
        </r>
        <r>
          <rPr>
            <sz val="9"/>
            <color indexed="81"/>
            <rFont val="Tahoma"/>
            <family val="2"/>
          </rPr>
          <t xml:space="preserve">
+ HS 3,33 từ 01/9/2015
+ HS 3,66 từ 01/9/2018</t>
        </r>
      </text>
    </comment>
    <comment ref="W279" authorId="4"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Q280" authorId="2" shapeId="0">
      <text>
        <r>
          <rPr>
            <b/>
            <sz val="9"/>
            <color indexed="81"/>
            <rFont val="Tahoma"/>
            <family val="2"/>
          </rPr>
          <t>Admin:</t>
        </r>
        <r>
          <rPr>
            <sz val="9"/>
            <color indexed="81"/>
            <rFont val="Tahoma"/>
            <family val="2"/>
          </rPr>
          <t xml:space="preserve">
- HS 2.86 từ 01/4/2016
- HS 3,06 từ 01/4/2018
- HS 3,26 từ 01/4/2019 (NL trước hạn)</t>
        </r>
      </text>
    </comment>
  </commentList>
</comments>
</file>

<file path=xl/comments2.xml><?xml version="1.0" encoding="utf-8"?>
<comments xmlns="http://schemas.openxmlformats.org/spreadsheetml/2006/main">
  <authors>
    <author>User</author>
    <author>Admin</author>
  </authors>
  <commentList>
    <comment ref="Q14" authorId="0" shapeId="0">
      <text>
        <r>
          <rPr>
            <b/>
            <sz val="9"/>
            <color indexed="81"/>
            <rFont val="Tahoma"/>
            <family val="2"/>
          </rPr>
          <t>User:</t>
        </r>
        <r>
          <rPr>
            <sz val="9"/>
            <color indexed="81"/>
            <rFont val="Tahoma"/>
            <family val="2"/>
          </rPr>
          <t xml:space="preserve">
- 2,22 từ 01/10/2015
- 2,58 từ 01/10/2019</t>
        </r>
      </text>
    </comment>
    <comment ref="Q15" authorId="0" shapeId="0">
      <text>
        <r>
          <rPr>
            <b/>
            <sz val="9"/>
            <color indexed="81"/>
            <rFont val="Tahoma"/>
            <family val="2"/>
          </rPr>
          <t>User:</t>
        </r>
        <r>
          <rPr>
            <sz val="9"/>
            <color indexed="81"/>
            <rFont val="Tahoma"/>
            <family val="2"/>
          </rPr>
          <t xml:space="preserve">
- HS 2,55 từ 01/10/2014 (Nâng lương trước hạn năm 2015)
- HS 2,73 từ 01/10/2016
- HS 2,91 từ 01/10/2018
- HS 3,09 từ 01/10/2020</t>
        </r>
      </text>
    </comment>
    <comment ref="Q16" authorId="1" shapeId="0">
      <text>
        <r>
          <rPr>
            <b/>
            <sz val="9"/>
            <color indexed="81"/>
            <rFont val="Tahoma"/>
            <family val="2"/>
          </rPr>
          <t>Admin:</t>
        </r>
        <r>
          <rPr>
            <sz val="9"/>
            <color indexed="81"/>
            <rFont val="Tahoma"/>
            <family val="2"/>
          </rPr>
          <t xml:space="preserve">
- HS 2.25 từ 01/2/16
- HS 2,61 từ 01/2/2020</t>
        </r>
      </text>
    </comment>
    <comment ref="S17" authorId="0" shapeId="0">
      <text>
        <r>
          <rPr>
            <b/>
            <sz val="9"/>
            <color indexed="81"/>
            <rFont val="Tahoma"/>
            <family val="2"/>
          </rPr>
          <t>User:</t>
        </r>
        <r>
          <rPr>
            <sz val="9"/>
            <color indexed="81"/>
            <rFont val="Tahoma"/>
            <family val="2"/>
          </rPr>
          <t xml:space="preserve">
+ 8% từ 01/01/2015
+ 9% từ 01/07/2016
+ 10% từ 01/7/2017
+ 11% từ 01/7/2018
+ 12% từ 01/7/2019
+ 13% từ 01/7/2020</t>
        </r>
      </text>
    </comment>
    <comment ref="S18" authorId="0" shapeId="0">
      <text>
        <r>
          <rPr>
            <b/>
            <sz val="9"/>
            <color indexed="81"/>
            <rFont val="Tahoma"/>
            <family val="2"/>
          </rPr>
          <t>User:</t>
        </r>
        <r>
          <rPr>
            <sz val="9"/>
            <color indexed="81"/>
            <rFont val="Tahoma"/>
            <family val="2"/>
          </rPr>
          <t xml:space="preserve">
+ 8% từ 01/01/2015
+ 9% từ 01/01/2016
+ 10% từ 01/01/2017
+ 12% từ 01/01/2019
+ 13% từ 01/01/2020
+ 14% từ 01/01/2021</t>
        </r>
      </text>
    </comment>
  </commentList>
</comments>
</file>

<file path=xl/comments3.xml><?xml version="1.0" encoding="utf-8"?>
<comments xmlns="http://schemas.openxmlformats.org/spreadsheetml/2006/main">
  <authors>
    <author>Windows User</author>
    <author>User</author>
    <author>huynh-panda</author>
    <author>Quynh</author>
    <author>Admin</author>
    <author>hapham</author>
    <author>user</author>
    <author>admin</author>
    <author>Minh</author>
  </authors>
  <commentList>
    <comment ref="R14" authorId="0" shapeId="0">
      <text>
        <r>
          <rPr>
            <b/>
            <sz val="9"/>
            <color indexed="81"/>
            <rFont val="Tahoma"/>
            <family val="2"/>
          </rPr>
          <t>Windows User:</t>
        </r>
        <r>
          <rPr>
            <sz val="9"/>
            <color indexed="81"/>
            <rFont val="Tahoma"/>
            <family val="2"/>
          </rPr>
          <t xml:space="preserve">
- HS 5,76 từ 23/11/2022 (Thi nâng ngạch)</t>
        </r>
      </text>
    </comment>
    <comment ref="T14" authorId="1" shapeId="0">
      <text>
        <r>
          <rPr>
            <b/>
            <sz val="9"/>
            <color indexed="81"/>
            <rFont val="Tahoma"/>
            <family val="2"/>
          </rPr>
          <t>User:</t>
        </r>
        <r>
          <rPr>
            <sz val="9"/>
            <color indexed="81"/>
            <rFont val="Tahoma"/>
            <family val="2"/>
          </rPr>
          <t xml:space="preserve">
+ 6% từ 01/8/2015
+ 7% từ 01/8/2016
+ 8% từ 01/8/2017
+ 9% từ 01/8/2018
+ 10% từ 01/8/2019
+ 11% từ 01/8/2020
+ 12% từ 01/8/2021
+ 13% từ 01/8/2022</t>
        </r>
      </text>
    </comment>
    <comment ref="W14" authorId="2" shapeId="0">
      <text>
        <r>
          <rPr>
            <b/>
            <sz val="9"/>
            <color indexed="81"/>
            <rFont val="Tahoma"/>
            <family val="2"/>
          </rPr>
          <t>huynh-panda:</t>
        </r>
        <r>
          <rPr>
            <sz val="9"/>
            <color indexed="81"/>
            <rFont val="Tahoma"/>
            <family val="2"/>
          </rPr>
          <t xml:space="preserve">
9/2014</t>
        </r>
      </text>
    </comment>
    <comment ref="X14" authorId="3" shapeId="0">
      <text>
        <r>
          <rPr>
            <b/>
            <sz val="9"/>
            <color indexed="81"/>
            <rFont val="Tahoma"/>
            <family val="2"/>
          </rPr>
          <t>Quynh:</t>
        </r>
        <r>
          <rPr>
            <sz val="9"/>
            <color indexed="81"/>
            <rFont val="Tahoma"/>
            <family val="2"/>
          </rPr>
          <t xml:space="preserve">
- 32% từ 01/12/2018
- 33% từ 01/12/2019
- 34% từ 01/12/2020
- 35% từ 01/12/2021
- 36% từ 01/12/2022
- 37% từ 01/12/2023</t>
        </r>
      </text>
    </comment>
    <comment ref="R15" authorId="4" shapeId="0">
      <text>
        <r>
          <rPr>
            <b/>
            <sz val="9"/>
            <color indexed="81"/>
            <rFont val="Tahoma"/>
            <family val="2"/>
          </rPr>
          <t>Admin:</t>
        </r>
        <r>
          <rPr>
            <sz val="9"/>
            <color indexed="81"/>
            <rFont val="Tahoma"/>
            <family val="2"/>
          </rPr>
          <t xml:space="preserve">
- HS 4,65 từ 01/12/2015 (Nâng lương trước hạn)
- HS 4,98 từ 01/12/2018</t>
        </r>
      </text>
    </comment>
    <comment ref="T15" authorId="5" shapeId="0">
      <text>
        <r>
          <rPr>
            <b/>
            <sz val="9"/>
            <color indexed="81"/>
            <rFont val="Tahoma"/>
            <family val="2"/>
          </rPr>
          <t>hapham:</t>
        </r>
        <r>
          <rPr>
            <sz val="9"/>
            <color indexed="81"/>
            <rFont val="Tahoma"/>
            <family val="2"/>
          </rPr>
          <t xml:space="preserve">
- 5% từ 01/12/2021
- 6% từ 01/12/2022
- 7% từ 01/12/2023</t>
        </r>
      </text>
    </comment>
    <comment ref="X15" authorId="1"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
- 20% từ 01/10/2021
- 21% từ 01/10/2022
- 22% từ 01/10/2023</t>
        </r>
      </text>
    </comment>
    <comment ref="R16" authorId="1" shapeId="0">
      <text>
        <r>
          <rPr>
            <b/>
            <sz val="9"/>
            <color indexed="81"/>
            <rFont val="Tahoma"/>
            <family val="2"/>
          </rPr>
          <t>User:</t>
        </r>
        <r>
          <rPr>
            <sz val="9"/>
            <color indexed="81"/>
            <rFont val="Tahoma"/>
            <family val="2"/>
          </rPr>
          <t xml:space="preserve">
- HS 4,65 từ 01/10/2015
- HS 4,98 từ 01/10/2017 (Nâng lương trước hạn 2017)</t>
        </r>
      </text>
    </comment>
    <comment ref="T16" authorId="6" shapeId="0">
      <text>
        <r>
          <rPr>
            <b/>
            <sz val="9"/>
            <color indexed="81"/>
            <rFont val="Tahoma"/>
            <family val="2"/>
          </rPr>
          <t>user:</t>
        </r>
        <r>
          <rPr>
            <sz val="9"/>
            <color indexed="81"/>
            <rFont val="Tahoma"/>
            <family val="2"/>
          </rPr>
          <t xml:space="preserve">
- 5% từ 01/10/2020
- 6% từ 01/10/2021
- 7% từ 01/10/2022
- 8% từ 01/10/2023</t>
        </r>
      </text>
    </comment>
    <comment ref="R17" authorId="4" shapeId="0">
      <text>
        <r>
          <rPr>
            <b/>
            <sz val="9"/>
            <color indexed="81"/>
            <rFont val="Tahoma"/>
            <family val="2"/>
          </rPr>
          <t>Admin:</t>
        </r>
        <r>
          <rPr>
            <sz val="9"/>
            <color indexed="81"/>
            <rFont val="Tahoma"/>
            <family val="2"/>
          </rPr>
          <t xml:space="preserve">
- HS 3,99 từ 01/4/2016 (NL trước hạn năm 2016)
- HS 4,32 từ 01/04/2019
- HS 4,65 từ 01/4/2021 (NL trước hạn)</t>
        </r>
      </text>
    </comment>
    <comment ref="W17" authorId="1" shapeId="0">
      <text>
        <r>
          <rPr>
            <b/>
            <sz val="9"/>
            <color indexed="81"/>
            <rFont val="Tahoma"/>
            <family val="2"/>
          </rPr>
          <t>User:</t>
        </r>
        <r>
          <rPr>
            <sz val="9"/>
            <color indexed="81"/>
            <rFont val="Tahoma"/>
            <family val="2"/>
          </rPr>
          <t xml:space="preserve">
+ QĐ Bổ nhiệm Trưởng khoa Điện - Điện tử từ 08/01/2015</t>
        </r>
      </text>
    </comment>
    <comment ref="X17" authorId="1"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
- 19% từ 01/9/2021
- 20% từ 01/9/2022
- 21% từ 01/9/2023</t>
        </r>
      </text>
    </comment>
    <comment ref="AK17" authorId="6" shapeId="0">
      <text>
        <r>
          <rPr>
            <b/>
            <sz val="9"/>
            <color indexed="81"/>
            <rFont val="Tahoma"/>
            <family val="2"/>
          </rPr>
          <t>user:</t>
        </r>
        <r>
          <rPr>
            <sz val="9"/>
            <color indexed="81"/>
            <rFont val="Tahoma"/>
            <family val="2"/>
          </rPr>
          <t xml:space="preserve">
UV BCH Đảng bộ Trường từ 13/4/2020. NK(2020-2025)</t>
        </r>
      </text>
    </comment>
    <comment ref="E18" authorId="3" shapeId="0">
      <text>
        <r>
          <rPr>
            <b/>
            <sz val="9"/>
            <color indexed="81"/>
            <rFont val="Tahoma"/>
            <family val="2"/>
          </rPr>
          <t>Quynh:</t>
        </r>
        <r>
          <rPr>
            <sz val="9"/>
            <color indexed="81"/>
            <rFont val="Tahoma"/>
            <family val="2"/>
          </rPr>
          <t xml:space="preserve">
TP. TC-HC-TH từ 01/01/2019</t>
        </r>
      </text>
    </comment>
    <comment ref="R18" authorId="1"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T18" authorId="0" shapeId="0">
      <text>
        <r>
          <rPr>
            <b/>
            <sz val="9"/>
            <color indexed="81"/>
            <rFont val="Tahoma"/>
            <family val="2"/>
          </rPr>
          <t>Windows User:</t>
        </r>
        <r>
          <rPr>
            <sz val="9"/>
            <color indexed="81"/>
            <rFont val="Tahoma"/>
            <family val="2"/>
          </rPr>
          <t xml:space="preserve">
- VK 5% từ 01/9/2023</t>
        </r>
      </text>
    </comment>
    <comment ref="W18" authorId="1" shapeId="0">
      <text>
        <r>
          <rPr>
            <b/>
            <sz val="9"/>
            <color indexed="81"/>
            <rFont val="Tahoma"/>
            <family val="2"/>
          </rPr>
          <t>User:</t>
        </r>
        <r>
          <rPr>
            <sz val="9"/>
            <color indexed="81"/>
            <rFont val="Tahoma"/>
            <family val="2"/>
          </rPr>
          <t xml:space="preserve">
QĐ Bổ nhiệm Trưởng phòng Thiết bị vật tư từ 15/7/15
</t>
        </r>
      </text>
    </comment>
    <comment ref="X18" authorId="1" shapeId="0">
      <text>
        <r>
          <rPr>
            <b/>
            <sz val="9"/>
            <color indexed="81"/>
            <rFont val="Tahoma"/>
            <family val="2"/>
          </rPr>
          <t>User:</t>
        </r>
        <r>
          <rPr>
            <sz val="9"/>
            <color indexed="81"/>
            <rFont val="Tahoma"/>
            <family val="2"/>
          </rPr>
          <t xml:space="preserve">
- 14% từ 01/09/2015
- 15% từ 01/9/2016
- 16% từ 01/9/2017
- 17% từ 01/9/2018
- 18% từ 01/9/2019
- 19% từ 01/9/2020
- 20% từ 01/9/2021
- 21% từ 01/9/2022
- 22% từ 01/9/2023</t>
        </r>
      </text>
    </comment>
    <comment ref="AK18" authorId="6" shapeId="0">
      <text>
        <r>
          <rPr>
            <b/>
            <sz val="9"/>
            <color indexed="81"/>
            <rFont val="Tahoma"/>
            <family val="2"/>
          </rPr>
          <t>user:</t>
        </r>
        <r>
          <rPr>
            <sz val="9"/>
            <color indexed="81"/>
            <rFont val="Tahoma"/>
            <family val="2"/>
          </rPr>
          <t xml:space="preserve">
- UV BCH Đảng bộ Trường từ 13/4/2020 (NK 2020 - 2025)</t>
        </r>
      </text>
    </comment>
    <comment ref="R19" authorId="1"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T19" authorId="0" shapeId="0">
      <text>
        <r>
          <rPr>
            <b/>
            <sz val="9"/>
            <color indexed="81"/>
            <rFont val="Tahoma"/>
            <family val="2"/>
          </rPr>
          <t>Windows User:</t>
        </r>
        <r>
          <rPr>
            <sz val="9"/>
            <color indexed="81"/>
            <rFont val="Tahoma"/>
            <family val="2"/>
          </rPr>
          <t xml:space="preserve">
- VK 5% từ 01/9/2023</t>
        </r>
      </text>
    </comment>
    <comment ref="W19" authorId="1" shapeId="0">
      <text>
        <r>
          <rPr>
            <b/>
            <sz val="9"/>
            <color indexed="81"/>
            <rFont val="Tahoma"/>
            <family val="2"/>
          </rPr>
          <t>User:</t>
        </r>
        <r>
          <rPr>
            <sz val="9"/>
            <color indexed="81"/>
            <rFont val="Tahoma"/>
            <family val="2"/>
          </rPr>
          <t xml:space="preserve">
+ QĐ Bổ nhiệm Trưởng phòng QT CSVC từ 08/1/2015</t>
        </r>
      </text>
    </comment>
    <comment ref="X19" authorId="1" shapeId="0">
      <text>
        <r>
          <rPr>
            <b/>
            <sz val="9"/>
            <color indexed="81"/>
            <rFont val="Tahoma"/>
            <family val="2"/>
          </rPr>
          <t>User:</t>
        </r>
        <r>
          <rPr>
            <sz val="9"/>
            <color indexed="81"/>
            <rFont val="Tahoma"/>
            <family val="2"/>
          </rPr>
          <t xml:space="preserve">
-7% từ 01/5/2011
+ 16% từ 01/9/2016
+ 17% từ 01/9/2017
+ 18% từ 01/9/2018
+ 19% từ 01/9/2019
+ 20% từ 01/9/2020
+ 21% từ 01/9/2021
+ 22% từ 01/9/2022
+ 23% từ 01/9/2023</t>
        </r>
      </text>
    </comment>
    <comment ref="R20" authorId="4" shapeId="0">
      <text>
        <r>
          <rPr>
            <b/>
            <sz val="9"/>
            <color indexed="81"/>
            <rFont val="Tahoma"/>
            <family val="2"/>
          </rPr>
          <t>Admin:</t>
        </r>
        <r>
          <rPr>
            <sz val="9"/>
            <color indexed="81"/>
            <rFont val="Tahoma"/>
            <family val="2"/>
          </rPr>
          <t xml:space="preserve">
- HS 4,65 từ 01/12/2015 (NL trước hạn)
- HS 4,98 từ 01/12/2018</t>
        </r>
      </text>
    </comment>
    <comment ref="T20" authorId="5" shapeId="0">
      <text>
        <r>
          <rPr>
            <b/>
            <sz val="9"/>
            <color indexed="81"/>
            <rFont val="Tahoma"/>
            <family val="2"/>
          </rPr>
          <t>hapham:</t>
        </r>
        <r>
          <rPr>
            <sz val="9"/>
            <color indexed="81"/>
            <rFont val="Tahoma"/>
            <family val="2"/>
          </rPr>
          <t xml:space="preserve">
- VK 5% từ 01/12/2021
- VK 6% từ 01/12/2022
- VK 7% từ 01/12/2023</t>
        </r>
      </text>
    </comment>
    <comment ref="W20" authorId="7" shapeId="0">
      <text>
        <r>
          <rPr>
            <b/>
            <sz val="8"/>
            <color indexed="81"/>
            <rFont val="Tahoma"/>
            <family val="2"/>
          </rPr>
          <t>admin:</t>
        </r>
        <r>
          <rPr>
            <sz val="8"/>
            <color indexed="81"/>
            <rFont val="Tahoma"/>
            <family val="2"/>
          </rPr>
          <t xml:space="preserve">
+ QĐ Bổ nhiệm Phó Trưởng phòng Quản trị CSVC từ 01/06/2014</t>
        </r>
      </text>
    </comment>
    <comment ref="X20" authorId="7"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
+ 19% từ 01/03/2021
+ 20% từ 01/03/2022
+ 21% từ 01/03/2023
+ 22% từ 01/03/2024</t>
        </r>
      </text>
    </comment>
    <comment ref="R21" authorId="1"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T21" authorId="0" shapeId="0">
      <text>
        <r>
          <rPr>
            <b/>
            <sz val="9"/>
            <color indexed="81"/>
            <rFont val="Tahoma"/>
            <family val="2"/>
          </rPr>
          <t>Windows User:</t>
        </r>
        <r>
          <rPr>
            <sz val="9"/>
            <color indexed="81"/>
            <rFont val="Tahoma"/>
            <family val="2"/>
          </rPr>
          <t xml:space="preserve">
- VK 5% từ 01/9/2023</t>
        </r>
      </text>
    </comment>
    <comment ref="W21" authorId="1" shapeId="0">
      <text>
        <r>
          <rPr>
            <b/>
            <sz val="9"/>
            <color indexed="81"/>
            <rFont val="Tahoma"/>
            <family val="2"/>
          </rPr>
          <t>User:</t>
        </r>
        <r>
          <rPr>
            <sz val="9"/>
            <color indexed="81"/>
            <rFont val="Tahoma"/>
            <family val="2"/>
          </rPr>
          <t xml:space="preserve">
Tổ trưởng tổ QL Ký túc xá SV từ 15/9/2015</t>
        </r>
      </text>
    </comment>
    <comment ref="X21" authorId="4" shapeId="0">
      <text>
        <r>
          <rPr>
            <b/>
            <sz val="9"/>
            <color indexed="81"/>
            <rFont val="Tahoma"/>
            <family val="2"/>
          </rPr>
          <t>Admin:</t>
        </r>
        <r>
          <rPr>
            <sz val="9"/>
            <color indexed="81"/>
            <rFont val="Tahoma"/>
            <family val="2"/>
          </rPr>
          <t xml:space="preserve">
- 15% từ 01/9/2016
- 16% từ 01/9/2017
- 17% từ 01/9/2018
- 18% từ 01/9/2019
- 19% từ 01/9/2020
- 20% từ 01/9/2021
- 21% từ 01/9/2022
- 22% từ 01/9/2023</t>
        </r>
      </text>
    </comment>
    <comment ref="T22" authorId="0" shapeId="0">
      <text>
        <r>
          <rPr>
            <b/>
            <sz val="9"/>
            <color indexed="81"/>
            <rFont val="Tahoma"/>
            <family val="2"/>
          </rPr>
          <t>Windows User:</t>
        </r>
        <r>
          <rPr>
            <sz val="9"/>
            <color indexed="81"/>
            <rFont val="Tahoma"/>
            <family val="2"/>
          </rPr>
          <t xml:space="preserve">
- VK 9% từ 01/9/2022
- VK 10% từ 01/9/2023</t>
        </r>
      </text>
    </comment>
    <comment ref="W22" authorId="0" shapeId="0">
      <text>
        <r>
          <rPr>
            <b/>
            <sz val="9"/>
            <color indexed="81"/>
            <rFont val="Tahoma"/>
            <family val="2"/>
          </rPr>
          <t>Windows User:</t>
        </r>
        <r>
          <rPr>
            <sz val="9"/>
            <color indexed="81"/>
            <rFont val="Tahoma"/>
            <family val="2"/>
          </rPr>
          <t xml:space="preserve">
- Phó Trưởng phòng QTDV từ 01/10/2023</t>
        </r>
      </text>
    </comment>
    <comment ref="R23" authorId="4"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R24" authorId="4"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T24" authorId="3" shapeId="0">
      <text>
        <r>
          <rPr>
            <b/>
            <sz val="9"/>
            <color indexed="81"/>
            <rFont val="Tahoma"/>
            <family val="2"/>
          </rPr>
          <t>Quynh:</t>
        </r>
        <r>
          <rPr>
            <sz val="9"/>
            <color indexed="81"/>
            <rFont val="Tahoma"/>
            <family val="2"/>
          </rPr>
          <t xml:space="preserve">
- 32% từ 01/10/2018
- 33% từ 01/10/2019
- 34% từ 01/10/2020
- 35% từ 01/10/2021
- 36% từ 01/10/2022
- 37% từ 01/10/2023</t>
        </r>
      </text>
    </comment>
    <comment ref="W24" authorId="1" shapeId="0">
      <text>
        <r>
          <rPr>
            <b/>
            <sz val="9"/>
            <color indexed="81"/>
            <rFont val="Tahoma"/>
            <family val="2"/>
          </rPr>
          <t>User:</t>
        </r>
        <r>
          <rPr>
            <sz val="9"/>
            <color indexed="81"/>
            <rFont val="Tahoma"/>
            <family val="2"/>
          </rPr>
          <t xml:space="preserve">
QĐ Bổ nhiệm TP Kế hoạch - Tài chính từ 19/8/2015
</t>
        </r>
      </text>
    </comment>
    <comment ref="X24" authorId="4"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
+ 14% từ 01/3/2021</t>
        </r>
      </text>
    </comment>
    <comment ref="AK24" authorId="1"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E25" authorId="0" shapeId="0">
      <text>
        <r>
          <rPr>
            <b/>
            <sz val="9"/>
            <color indexed="81"/>
            <rFont val="Tahoma"/>
          </rPr>
          <t>Windows User:</t>
        </r>
        <r>
          <rPr>
            <sz val="9"/>
            <color indexed="81"/>
            <rFont val="Tahoma"/>
          </rPr>
          <t xml:space="preserve">
Thôi TP từ 01/3/2024</t>
        </r>
      </text>
    </comment>
    <comment ref="R25" authorId="3" shapeId="0">
      <text>
        <r>
          <rPr>
            <b/>
            <sz val="9"/>
            <color indexed="81"/>
            <rFont val="Tahoma"/>
            <family val="2"/>
          </rPr>
          <t>Quynh:</t>
        </r>
        <r>
          <rPr>
            <sz val="9"/>
            <color indexed="81"/>
            <rFont val="Tahoma"/>
            <family val="2"/>
          </rPr>
          <t xml:space="preserve">
- HS 4,98 từ 01/9/2018 </t>
        </r>
      </text>
    </comment>
    <comment ref="T25" authorId="6" shapeId="0">
      <text>
        <r>
          <rPr>
            <b/>
            <sz val="9"/>
            <color indexed="81"/>
            <rFont val="Tahoma"/>
            <family val="2"/>
          </rPr>
          <t>user:</t>
        </r>
        <r>
          <rPr>
            <sz val="9"/>
            <color indexed="81"/>
            <rFont val="Tahoma"/>
            <family val="2"/>
          </rPr>
          <t xml:space="preserve">
- VK 5% từ 01/09/2021
- VK 6% từ 01/09/2022
- VK 7% từ 01/9/2023</t>
        </r>
      </text>
    </comment>
    <comment ref="W25" authorId="6" shapeId="0">
      <text>
        <r>
          <rPr>
            <b/>
            <sz val="9"/>
            <color indexed="81"/>
            <rFont val="Tahoma"/>
            <family val="2"/>
          </rPr>
          <t>user:</t>
        </r>
        <r>
          <rPr>
            <sz val="9"/>
            <color indexed="81"/>
            <rFont val="Tahoma"/>
            <family val="2"/>
          </rPr>
          <t xml:space="preserve">
- QĐ BN TP từ 01/10/2019.
- PCCV 0,45 được bảo lưu hết T08/2024</t>
        </r>
      </text>
    </comment>
    <comment ref="R26" authorId="4" shapeId="0">
      <text>
        <r>
          <rPr>
            <b/>
            <sz val="9"/>
            <color indexed="81"/>
            <rFont val="Tahoma"/>
            <family val="2"/>
          </rPr>
          <t>Admin:</t>
        </r>
        <r>
          <rPr>
            <sz val="9"/>
            <color indexed="81"/>
            <rFont val="Tahoma"/>
            <family val="2"/>
          </rPr>
          <t xml:space="preserve">
- HS 4.65 từ 01/01/2016</t>
        </r>
      </text>
    </comment>
    <comment ref="T26" authorId="6" shapeId="0">
      <text>
        <r>
          <rPr>
            <b/>
            <sz val="9"/>
            <color indexed="81"/>
            <rFont val="Tahoma"/>
            <family val="2"/>
          </rPr>
          <t>user:</t>
        </r>
        <r>
          <rPr>
            <sz val="9"/>
            <color indexed="81"/>
            <rFont val="Tahoma"/>
            <family val="2"/>
          </rPr>
          <t xml:space="preserve">
- VK 5% từ 01/01/2022
- VK 6% từ 01/01/2023
- VK 7% từ 01/01/2024</t>
        </r>
      </text>
    </comment>
    <comment ref="W26" authorId="7"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
- QĐ MN Phó TP. Thanh tra Giáo dục - CTSV từ 01/01/2024</t>
        </r>
      </text>
    </comment>
    <comment ref="X26" authorId="7"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
+ 21% từ 01/02/2021
+ 22% từ 01/02/2022
+ 23% từ 01/02/2023
+ 24% từ 01/02/2024
</t>
        </r>
      </text>
    </comment>
    <comment ref="R27" authorId="4" shapeId="0">
      <text>
        <r>
          <rPr>
            <b/>
            <sz val="9"/>
            <color indexed="81"/>
            <rFont val="Tahoma"/>
            <family val="2"/>
          </rPr>
          <t>Admin:</t>
        </r>
        <r>
          <rPr>
            <sz val="9"/>
            <color indexed="81"/>
            <rFont val="Tahoma"/>
            <family val="2"/>
          </rPr>
          <t xml:space="preserve">
- HS 3,66 từ 01/9/2016
- HS 3,99 từ 01/9/2019
- HS 4,32 từ 01/09/2022</t>
        </r>
      </text>
    </comment>
    <comment ref="R28" authorId="6"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
- HS 4,65 từ 01/09/2022 (NL trước hạn)</t>
        </r>
      </text>
    </comment>
    <comment ref="R2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W29" authorId="7"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X29"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T30" authorId="1"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
+ 18% từ 01/10/2021
+ 19% từ 01/10/2022
+ 20% từ 01/10/2023</t>
        </r>
      </text>
    </comment>
    <comment ref="O31" authorId="0" shapeId="0">
      <text>
        <r>
          <rPr>
            <b/>
            <sz val="9"/>
            <color indexed="81"/>
            <rFont val="Tahoma"/>
            <family val="2"/>
          </rPr>
          <t>Windows User:</t>
        </r>
        <r>
          <rPr>
            <sz val="9"/>
            <color indexed="81"/>
            <rFont val="Tahoma"/>
            <family val="2"/>
          </rPr>
          <t xml:space="preserve">
- QĐ Chuyển ngạch V.07.01.03 sang ngạch 01.003 từ 30/6/2023</t>
        </r>
      </text>
    </comment>
    <comment ref="R31" authorId="1" shapeId="0">
      <text>
        <r>
          <rPr>
            <b/>
            <sz val="9"/>
            <color indexed="81"/>
            <rFont val="Tahoma"/>
            <family val="2"/>
          </rPr>
          <t>User:</t>
        </r>
        <r>
          <rPr>
            <sz val="9"/>
            <color indexed="81"/>
            <rFont val="Tahoma"/>
            <family val="2"/>
          </rPr>
          <t xml:space="preserve">
- HS 4,32 từ 1/9/2014
- HS 4,65 từ 01/9/2017
- HS 4,98 từ 01/9/2020</t>
        </r>
      </text>
    </comment>
    <comment ref="T31" authorId="0" shapeId="0">
      <text>
        <r>
          <rPr>
            <b/>
            <sz val="9"/>
            <color indexed="81"/>
            <rFont val="Tahoma"/>
            <family val="2"/>
          </rPr>
          <t>Windows User:</t>
        </r>
        <r>
          <rPr>
            <sz val="9"/>
            <color indexed="81"/>
            <rFont val="Tahoma"/>
            <family val="2"/>
          </rPr>
          <t xml:space="preserve">
- VK 5% từ 01/9/2023</t>
        </r>
      </text>
    </comment>
    <comment ref="E32" authorId="0" shapeId="0">
      <text>
        <r>
          <rPr>
            <b/>
            <sz val="9"/>
            <color indexed="81"/>
            <rFont val="Tahoma"/>
            <family val="2"/>
          </rPr>
          <t>Windows User:</t>
        </r>
        <r>
          <rPr>
            <sz val="9"/>
            <color indexed="81"/>
            <rFont val="Tahoma"/>
            <family val="2"/>
          </rPr>
          <t xml:space="preserve">
- Trưởng phòng KHCN &amp; HTQT từ 01/10/2022</t>
        </r>
      </text>
    </comment>
    <comment ref="R32" authorId="6" shapeId="0">
      <text>
        <r>
          <rPr>
            <b/>
            <sz val="9"/>
            <color indexed="81"/>
            <rFont val="Tahoma"/>
            <family val="2"/>
          </rPr>
          <t>user:</t>
        </r>
        <r>
          <rPr>
            <sz val="9"/>
            <color indexed="81"/>
            <rFont val="Tahoma"/>
            <family val="2"/>
          </rPr>
          <t xml:space="preserve">
- HS 4,65 từ 01/12/2019 (NL trước hạn)
- HS 4,98 từ 01/12/2022</t>
        </r>
      </text>
    </comment>
    <comment ref="W32" authorId="1" shapeId="0">
      <text>
        <r>
          <rPr>
            <b/>
            <sz val="9"/>
            <color indexed="81"/>
            <rFont val="Tahoma"/>
            <family val="2"/>
          </rPr>
          <t>User:</t>
        </r>
        <r>
          <rPr>
            <sz val="9"/>
            <color indexed="81"/>
            <rFont val="Tahoma"/>
            <family val="2"/>
          </rPr>
          <t xml:space="preserve">
QĐ Bổ nhiệm Trưởng khoa Kinh tế từ 20/8/2015</t>
        </r>
      </text>
    </comment>
    <comment ref="X32" authorId="1" shapeId="0">
      <text>
        <r>
          <rPr>
            <b/>
            <sz val="9"/>
            <color indexed="81"/>
            <rFont val="Tahoma"/>
            <family val="2"/>
          </rPr>
          <t>User:</t>
        </r>
        <r>
          <rPr>
            <sz val="9"/>
            <color indexed="81"/>
            <rFont val="Tahoma"/>
            <family val="2"/>
          </rPr>
          <t xml:space="preserve">
+ 9% từ 01/10/2015
+ 10% từ 01/10/2016
+ 11% từ 01/10/2017
+ 12% từ 01/10/2018
+ 13% từ 01/10/2019
+ 14% từ 01/10/2020
+ 15% từ 01/10/2021
+ 16% từ 01/10/2023
+ 17% từ 01/10/2023</t>
        </r>
      </text>
    </comment>
    <comment ref="R33" authorId="1" shapeId="0">
      <text>
        <r>
          <rPr>
            <b/>
            <sz val="9"/>
            <color indexed="81"/>
            <rFont val="Tahoma"/>
            <family val="2"/>
          </rPr>
          <t>User:</t>
        </r>
        <r>
          <rPr>
            <sz val="9"/>
            <color indexed="81"/>
            <rFont val="Tahoma"/>
            <family val="2"/>
          </rPr>
          <t xml:space="preserve">
- 4,32 từ 01/11/2015
- 4,65 từ 01/11/2018
- 4,98 từ 01/11/2020</t>
        </r>
      </text>
    </comment>
    <comment ref="T33" authorId="0" shapeId="0">
      <text>
        <r>
          <rPr>
            <b/>
            <sz val="9"/>
            <color indexed="81"/>
            <rFont val="Tahoma"/>
            <family val="2"/>
          </rPr>
          <t>Windows User:</t>
        </r>
        <r>
          <rPr>
            <sz val="9"/>
            <color indexed="81"/>
            <rFont val="Tahoma"/>
            <family val="2"/>
          </rPr>
          <t xml:space="preserve">
- VK 5% từ 01/11/2023</t>
        </r>
      </text>
    </comment>
    <comment ref="X33" authorId="1"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
+ 20% từ 01/12/2021
+ 21% từ 01/12/2022
+ 22% từ 01/12/2023</t>
        </r>
      </text>
    </comment>
    <comment ref="R34" authorId="4" shapeId="0">
      <text>
        <r>
          <rPr>
            <b/>
            <sz val="9"/>
            <color indexed="81"/>
            <rFont val="Tahoma"/>
            <family val="2"/>
          </rPr>
          <t>Admin:</t>
        </r>
        <r>
          <rPr>
            <sz val="9"/>
            <color indexed="81"/>
            <rFont val="Tahoma"/>
            <family val="2"/>
          </rPr>
          <t xml:space="preserve">
- HS 4,32 từ 01/9/2017 (Nâng lương trước hạn)
- HS 4,65 từ 01/9/2020
- HS 4,98 từ 01/9/2022 (Nâng lương trước hạn)</t>
        </r>
      </text>
    </comment>
    <comment ref="W34" authorId="7"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
- QĐ BN Trưởng khoa KHCB từ 01/8/2021</t>
        </r>
      </text>
    </comment>
    <comment ref="X34" authorId="4" shapeId="0">
      <text>
        <r>
          <rPr>
            <b/>
            <sz val="9"/>
            <color indexed="81"/>
            <rFont val="Tahoma"/>
            <family val="2"/>
          </rPr>
          <t>Admin:</t>
        </r>
        <r>
          <rPr>
            <sz val="9"/>
            <color indexed="81"/>
            <rFont val="Tahoma"/>
            <family val="2"/>
          </rPr>
          <t xml:space="preserve">
-13% từ 01/6/2018
- 14% từ 01/6/2019
- 15% từ 01/06/2020
- 16% từ 01/06/2021
- 17% từ 01/06/2022
- 18% từ 01/6/2023</t>
        </r>
      </text>
    </comment>
    <comment ref="AK34" authorId="6" shapeId="0">
      <text>
        <r>
          <rPr>
            <b/>
            <sz val="8"/>
            <color indexed="81"/>
            <rFont val="Tahoma"/>
            <family val="2"/>
          </rPr>
          <t>user:</t>
        </r>
        <r>
          <rPr>
            <sz val="8"/>
            <color indexed="81"/>
            <rFont val="Tahoma"/>
            <family val="2"/>
          </rPr>
          <t xml:space="preserve">
HS 0.75
</t>
        </r>
      </text>
    </comment>
    <comment ref="R35" authorId="4" shapeId="0">
      <text>
        <r>
          <rPr>
            <b/>
            <sz val="9"/>
            <color indexed="81"/>
            <rFont val="Tahoma"/>
            <family val="2"/>
          </rPr>
          <t>Admin:</t>
        </r>
        <r>
          <rPr>
            <sz val="9"/>
            <color indexed="81"/>
            <rFont val="Tahoma"/>
            <family val="2"/>
          </rPr>
          <t xml:space="preserve">
- HS 4,65 từ 01/6/2016 (NL trước hạn 2016)</t>
        </r>
      </text>
    </comment>
    <comment ref="T35" authorId="6" shapeId="0">
      <text>
        <r>
          <rPr>
            <b/>
            <sz val="9"/>
            <color indexed="81"/>
            <rFont val="Tahoma"/>
            <family val="2"/>
          </rPr>
          <t>user:</t>
        </r>
        <r>
          <rPr>
            <sz val="9"/>
            <color indexed="81"/>
            <rFont val="Tahoma"/>
            <family val="2"/>
          </rPr>
          <t xml:space="preserve">
- VK 5% từ 01/06/2022
- VK 6% từ 01/06/2023
</t>
        </r>
      </text>
    </comment>
    <comment ref="W35" authorId="4" shapeId="0">
      <text>
        <r>
          <rPr>
            <b/>
            <sz val="9"/>
            <color indexed="81"/>
            <rFont val="Tahoma"/>
            <family val="2"/>
          </rPr>
          <t>Admin:</t>
        </r>
        <r>
          <rPr>
            <sz val="9"/>
            <color indexed="81"/>
            <rFont val="Tahoma"/>
            <family val="2"/>
          </rPr>
          <t xml:space="preserve">
- Tổ trưởng tổ Lý - Hóa từ 01/9/2016</t>
        </r>
      </text>
    </comment>
    <comment ref="X35"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6" authorId="4" shapeId="0">
      <text>
        <r>
          <rPr>
            <b/>
            <sz val="9"/>
            <color indexed="81"/>
            <rFont val="Tahoma"/>
            <family val="2"/>
          </rPr>
          <t>Admin:</t>
        </r>
        <r>
          <rPr>
            <sz val="9"/>
            <color indexed="81"/>
            <rFont val="Tahoma"/>
            <family val="2"/>
          </rPr>
          <t xml:space="preserve">
- HS 3,99 từ 01/12/15 (NLl trước hạn)
- HS 4,32 từ 01/12/2018
- HS 4.65 từ 01/12/2021</t>
        </r>
      </text>
    </comment>
    <comment ref="X36"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7" authorId="1" shapeId="0">
      <text>
        <r>
          <rPr>
            <b/>
            <sz val="9"/>
            <color indexed="81"/>
            <rFont val="Tahoma"/>
            <family val="2"/>
          </rPr>
          <t>User:</t>
        </r>
        <r>
          <rPr>
            <sz val="9"/>
            <color indexed="81"/>
            <rFont val="Tahoma"/>
            <family val="2"/>
          </rPr>
          <t xml:space="preserve">
- HS 4,65 từ 01/9/2015
- HS 4,98 từ 01/9/2017 (Nâng lương trước hạn năm 2017)</t>
        </r>
      </text>
    </comment>
    <comment ref="T37" authorId="6" shapeId="0">
      <text>
        <r>
          <rPr>
            <b/>
            <sz val="9"/>
            <color indexed="81"/>
            <rFont val="Tahoma"/>
            <family val="2"/>
          </rPr>
          <t>user:</t>
        </r>
        <r>
          <rPr>
            <sz val="9"/>
            <color indexed="81"/>
            <rFont val="Tahoma"/>
            <family val="2"/>
          </rPr>
          <t xml:space="preserve">
- VK 5% từ 01/9/2020
- VK 6% từ 01/9/2021
- VK 7% từ 01/09/2022
- VK 8% từ 01/9/2023</t>
        </r>
      </text>
    </comment>
    <comment ref="X37"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8" authorId="1" shapeId="0">
      <text>
        <r>
          <rPr>
            <b/>
            <sz val="9"/>
            <color indexed="81"/>
            <rFont val="Tahoma"/>
            <family val="2"/>
          </rPr>
          <t>User:</t>
        </r>
        <r>
          <rPr>
            <sz val="9"/>
            <color indexed="81"/>
            <rFont val="Tahoma"/>
            <family val="2"/>
          </rPr>
          <t xml:space="preserve">
- HS 3,99 từ 01/9/2015
- HS 4,32 từ 01/9/2017 (Nâng lương trước hạn 2017)
- HS 4,65 từ 01/9/2020
- HS 4,98 từ 01/9/2022 (NL trước hạn)</t>
        </r>
      </text>
    </comment>
    <comment ref="W38" authorId="4" shapeId="0">
      <text>
        <r>
          <rPr>
            <b/>
            <sz val="9"/>
            <color indexed="81"/>
            <rFont val="Tahoma"/>
            <family val="2"/>
          </rPr>
          <t>Admin:</t>
        </r>
        <r>
          <rPr>
            <sz val="9"/>
            <color indexed="81"/>
            <rFont val="Tahoma"/>
            <family val="2"/>
          </rPr>
          <t xml:space="preserve">
- QĐ BN Phó Trưởng khoa từ 01/8/18</t>
        </r>
      </text>
    </comment>
    <comment ref="X38"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9" authorId="1" shapeId="0">
      <text>
        <r>
          <rPr>
            <b/>
            <sz val="9"/>
            <color indexed="81"/>
            <rFont val="Tahoma"/>
            <family val="2"/>
          </rPr>
          <t>User:</t>
        </r>
        <r>
          <rPr>
            <sz val="9"/>
            <color indexed="81"/>
            <rFont val="Tahoma"/>
            <family val="2"/>
          </rPr>
          <t xml:space="preserve">
- HS 4,32 từ 01/9/14 (Nâng lương trước hạn)
- HS 4,98 từ 01/9/2020</t>
        </r>
      </text>
    </comment>
    <comment ref="T39" authorId="0" shapeId="0">
      <text>
        <r>
          <rPr>
            <b/>
            <sz val="9"/>
            <color indexed="81"/>
            <rFont val="Tahoma"/>
            <family val="2"/>
          </rPr>
          <t>Windows User:</t>
        </r>
        <r>
          <rPr>
            <sz val="9"/>
            <color indexed="81"/>
            <rFont val="Tahoma"/>
            <family val="2"/>
          </rPr>
          <t xml:space="preserve">
- VK 5% từ 01/9/2023</t>
        </r>
      </text>
    </comment>
    <comment ref="X39" authorId="6"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
+ 20% từ 01/09/2021
+ 21% từ 01/09/2022
+ 22% từ 01/09/2023</t>
        </r>
      </text>
    </comment>
    <comment ref="R40" authorId="1" shapeId="0">
      <text>
        <r>
          <rPr>
            <b/>
            <sz val="9"/>
            <color indexed="81"/>
            <rFont val="Tahoma"/>
            <family val="2"/>
          </rPr>
          <t>User:</t>
        </r>
        <r>
          <rPr>
            <sz val="9"/>
            <color indexed="81"/>
            <rFont val="Tahoma"/>
            <family val="2"/>
          </rPr>
          <t xml:space="preserve">
- bậc 5, hệ số 3,66
- HS 4,32 từ 01/12/2020
- HS 4,65 từ 01/12/2023</t>
        </r>
      </text>
    </comment>
    <comment ref="X40" authorId="7" shapeId="0">
      <text>
        <r>
          <rPr>
            <b/>
            <sz val="8"/>
            <color indexed="81"/>
            <rFont val="Tahoma"/>
            <family val="2"/>
          </rPr>
          <t>admin:</t>
        </r>
        <r>
          <rPr>
            <sz val="8"/>
            <color indexed="81"/>
            <rFont val="Tahoma"/>
            <family val="2"/>
          </rPr>
          <t xml:space="preserve">
+ 11% từ 01/02/2014
+ 12% từ 01/02/2015
+ 13% từ 01/02/2016
+ 14% từ 01/02/2017
+ 15% từ 01/02/2018
+ 16% từ 01/02/2019
+ 17% từ 01/02/2020
+ 18% từ 01/02/2021
+ 19% từ 01/02/2022
+ 20% từ 01/02/2023
+ 21% từ 01/02/2024
</t>
        </r>
      </text>
    </comment>
    <comment ref="R41" authorId="1" shapeId="0">
      <text>
        <r>
          <rPr>
            <b/>
            <sz val="9"/>
            <color indexed="81"/>
            <rFont val="Tahoma"/>
            <family val="2"/>
          </rPr>
          <t>User:</t>
        </r>
        <r>
          <rPr>
            <sz val="9"/>
            <color indexed="81"/>
            <rFont val="Tahoma"/>
            <family val="2"/>
          </rPr>
          <t xml:space="preserve">
- HS 3,66 từ 1/9/2014
- HS 3,99 từ 01/9/2017
- HS 4,32 từ 01/9/2019 (NL trước hạn)
- HS 4,65 từ 01/9/2022</t>
        </r>
      </text>
    </comment>
    <comment ref="X41"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42" authorId="1" shapeId="0">
      <text>
        <r>
          <rPr>
            <b/>
            <sz val="9"/>
            <color indexed="81"/>
            <rFont val="Tahoma"/>
            <family val="2"/>
          </rPr>
          <t>User:</t>
        </r>
        <r>
          <rPr>
            <sz val="9"/>
            <color indexed="81"/>
            <rFont val="Tahoma"/>
            <family val="2"/>
          </rPr>
          <t xml:space="preserve">
- HS 3,66 từ 1/9/2014
- HS 3,99 từ 01/9/2017
- HS 4,32 từ 01/9/2020
- HS 4,65 từ 01/9/2023</t>
        </r>
      </text>
    </comment>
    <comment ref="X42" authorId="6"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
+ 19% từ 01/9/2021
+ 20% từ 01/9/2022
+ 21% từ 01/9/2023</t>
        </r>
      </text>
    </comment>
    <comment ref="R43" authorId="4" shapeId="0">
      <text>
        <r>
          <rPr>
            <b/>
            <sz val="9"/>
            <color indexed="81"/>
            <rFont val="Tahoma"/>
            <family val="2"/>
          </rPr>
          <t>Admin:</t>
        </r>
        <r>
          <rPr>
            <sz val="9"/>
            <color indexed="81"/>
            <rFont val="Tahoma"/>
            <family val="2"/>
          </rPr>
          <t xml:space="preserve">
- HS 4,32 từ 01/9/2016
- HS 4,65 từ 01/9/2019
- HS 4,98 từ 01/9/2022</t>
        </r>
      </text>
    </comment>
    <comment ref="X43"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
</t>
        </r>
      </text>
    </comment>
    <comment ref="R4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44" authorId="6"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
+ 19% từ 01/9/2021
+ 20% từ 01/9/2022
+ 21% từ 01/9/2023</t>
        </r>
      </text>
    </comment>
    <comment ref="R45" authorId="1" shapeId="0">
      <text>
        <r>
          <rPr>
            <b/>
            <sz val="9"/>
            <color indexed="81"/>
            <rFont val="Tahoma"/>
            <family val="2"/>
          </rPr>
          <t>User:</t>
        </r>
        <r>
          <rPr>
            <sz val="9"/>
            <color indexed="81"/>
            <rFont val="Tahoma"/>
            <family val="2"/>
          </rPr>
          <t xml:space="preserve">
- HS 3,66 từ 01/9/2015
- HS 3,99 từ 01/9/2018
- HS 4,32 từ 01/9/2021</t>
        </r>
      </text>
    </comment>
    <comment ref="X45" authorId="6"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
+ 17% từ 01/01/2021
+ 18% từ 01/01/2022
+ 19% từ 01/01/2023
+ 20% từ 01/01/2024</t>
        </r>
      </text>
    </comment>
    <comment ref="R46" authorId="4" shapeId="0">
      <text>
        <r>
          <rPr>
            <b/>
            <sz val="9"/>
            <color indexed="81"/>
            <rFont val="Tahoma"/>
            <family val="2"/>
          </rPr>
          <t>Admin:</t>
        </r>
        <r>
          <rPr>
            <sz val="9"/>
            <color indexed="81"/>
            <rFont val="Tahoma"/>
            <family val="2"/>
          </rPr>
          <t xml:space="preserve">
- HS 4,65 từ 01/12/15 (NL Trước hạn)
- HS 4,98 từ 01/12/2018</t>
        </r>
      </text>
    </comment>
    <comment ref="T46" authorId="5" shapeId="0">
      <text>
        <r>
          <rPr>
            <b/>
            <sz val="9"/>
            <color indexed="81"/>
            <rFont val="Tahoma"/>
            <family val="2"/>
          </rPr>
          <t>hapham:</t>
        </r>
        <r>
          <rPr>
            <sz val="9"/>
            <color indexed="81"/>
            <rFont val="Tahoma"/>
            <family val="2"/>
          </rPr>
          <t xml:space="preserve">
- 5% từ 01/12/21
- 6% từ 01/12/2022
- 7% từ 01/12/2023</t>
        </r>
      </text>
    </comment>
    <comment ref="W46" authorId="1" shapeId="0">
      <text>
        <r>
          <rPr>
            <b/>
            <sz val="9"/>
            <color indexed="81"/>
            <rFont val="Tahoma"/>
            <family val="2"/>
          </rPr>
          <t>User:</t>
        </r>
        <r>
          <rPr>
            <sz val="9"/>
            <color indexed="81"/>
            <rFont val="Tahoma"/>
            <family val="2"/>
          </rPr>
          <t xml:space="preserve">
QĐ Miễn nhiệm Trưởng bộ môn CAD/CAM-CNC từ 01/9/2015</t>
        </r>
      </text>
    </comment>
    <comment ref="X46" authorId="7"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
+ 22% từ 01/11/2021
+ 23% từ 01/11/2022
+ 24% từ 01/11/2023</t>
        </r>
      </text>
    </comment>
    <comment ref="R47" authorId="4" shapeId="0">
      <text>
        <r>
          <rPr>
            <b/>
            <sz val="9"/>
            <color indexed="81"/>
            <rFont val="Tahoma"/>
            <family val="2"/>
          </rPr>
          <t>Admin:</t>
        </r>
        <r>
          <rPr>
            <sz val="9"/>
            <color indexed="81"/>
            <rFont val="Tahoma"/>
            <family val="2"/>
          </rPr>
          <t xml:space="preserve">
- HS 4,65 từ 01/9/2015 Nâng lương trước hạn
- HS 4,98 từ 01/9/2018</t>
        </r>
      </text>
    </comment>
    <comment ref="T47" authorId="6" shapeId="0">
      <text>
        <r>
          <rPr>
            <b/>
            <sz val="9"/>
            <color indexed="81"/>
            <rFont val="Tahoma"/>
            <family val="2"/>
          </rPr>
          <t>user:</t>
        </r>
        <r>
          <rPr>
            <sz val="9"/>
            <color indexed="81"/>
            <rFont val="Tahoma"/>
            <family val="2"/>
          </rPr>
          <t xml:space="preserve">
- VK 5% từ 01/9/2021
- VK 6% từ 01/9/2022
- VK 7% từ 01/9/2023</t>
        </r>
      </text>
    </comment>
    <comment ref="W47" authorId="1" shapeId="0">
      <text>
        <r>
          <rPr>
            <b/>
            <sz val="9"/>
            <color indexed="81"/>
            <rFont val="Tahoma"/>
            <family val="2"/>
          </rPr>
          <t>User:</t>
        </r>
        <r>
          <rPr>
            <sz val="9"/>
            <color indexed="81"/>
            <rFont val="Tahoma"/>
            <family val="2"/>
          </rPr>
          <t xml:space="preserve">
Miễn nhiệm trưởng BM cơ khí chế tạo máy 3 từ 01/9/2015</t>
        </r>
      </text>
    </comment>
    <comment ref="X4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T48" authorId="1"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
+ 13% từ 01/10/2021
+ 14% từ 01/10/2022
+ 15% từ 01/10/2023</t>
        </r>
      </text>
    </comment>
    <comment ref="W48" authorId="1" shapeId="0">
      <text>
        <r>
          <rPr>
            <b/>
            <sz val="9"/>
            <color indexed="81"/>
            <rFont val="Tahoma"/>
            <family val="2"/>
          </rPr>
          <t>User:</t>
        </r>
        <r>
          <rPr>
            <sz val="9"/>
            <color indexed="81"/>
            <rFont val="Tahoma"/>
            <family val="2"/>
          </rPr>
          <t xml:space="preserve">
Miễn nhiệm Trưởng BM Cơ khí chế tạo máy 1 từ 01/9/2015</t>
        </r>
      </text>
    </comment>
    <comment ref="X48" authorId="6"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
+ 32% từ 01/10/2021
+ 33% từ 01/10/2022
+ 34% từ 01/10/2023</t>
        </r>
      </text>
    </comment>
    <comment ref="R49" authorId="1"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T49" authorId="2" shapeId="0">
      <text>
        <r>
          <rPr>
            <b/>
            <sz val="9"/>
            <color indexed="81"/>
            <rFont val="Tahoma"/>
            <family val="2"/>
          </rPr>
          <t>huynh-panda:</t>
        </r>
        <r>
          <rPr>
            <sz val="9"/>
            <color indexed="81"/>
            <rFont val="Tahoma"/>
            <family val="2"/>
          </rPr>
          <t xml:space="preserve">
- VK 5% từ 01/09/2022
- VK 6% từ 01/9/2023</t>
        </r>
      </text>
    </comment>
    <comment ref="W49" authorId="1" shapeId="0">
      <text>
        <r>
          <rPr>
            <b/>
            <sz val="9"/>
            <color indexed="81"/>
            <rFont val="Tahoma"/>
            <family val="2"/>
          </rPr>
          <t>User:</t>
        </r>
        <r>
          <rPr>
            <sz val="9"/>
            <color indexed="81"/>
            <rFont val="Tahoma"/>
            <family val="2"/>
          </rPr>
          <t xml:space="preserve">
Miễn nhiệm Trưởng bộ môn Cơ sở cơ khí từ 01/9/2015</t>
        </r>
      </text>
    </comment>
    <comment ref="X49"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50" authorId="1" shapeId="0">
      <text>
        <r>
          <rPr>
            <b/>
            <sz val="9"/>
            <color indexed="81"/>
            <rFont val="Tahoma"/>
            <family val="2"/>
          </rPr>
          <t>User:</t>
        </r>
        <r>
          <rPr>
            <sz val="9"/>
            <color indexed="81"/>
            <rFont val="Tahoma"/>
            <family val="2"/>
          </rPr>
          <t xml:space="preserve">
- HS 4,32 từ 1/9/2014
- HS 4,65 từ 01/9/2017
- HS 4,98 từ 01/9/2020</t>
        </r>
      </text>
    </comment>
    <comment ref="T50" authorId="0" shapeId="0">
      <text>
        <r>
          <rPr>
            <b/>
            <sz val="9"/>
            <color indexed="81"/>
            <rFont val="Tahoma"/>
            <family val="2"/>
          </rPr>
          <t>Windows User:</t>
        </r>
        <r>
          <rPr>
            <sz val="9"/>
            <color indexed="81"/>
            <rFont val="Tahoma"/>
            <family val="2"/>
          </rPr>
          <t xml:space="preserve">
- VK 5% từ 01/9/2023</t>
        </r>
      </text>
    </comment>
    <comment ref="X50"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1" authorId="1" shapeId="0">
      <text>
        <r>
          <rPr>
            <b/>
            <sz val="9"/>
            <color indexed="81"/>
            <rFont val="Tahoma"/>
            <family val="2"/>
          </rPr>
          <t>User:</t>
        </r>
        <r>
          <rPr>
            <sz val="9"/>
            <color indexed="81"/>
            <rFont val="Tahoma"/>
            <family val="2"/>
          </rPr>
          <t xml:space="preserve">
- HS 4,89 từ 01/5/14 (Nâng lươgn trước hạn năm 2015)</t>
        </r>
      </text>
    </comment>
    <comment ref="T51" authorId="4" shapeId="0">
      <text>
        <r>
          <rPr>
            <b/>
            <sz val="9"/>
            <color indexed="81"/>
            <rFont val="Tahoma"/>
            <family val="2"/>
          </rPr>
          <t>Admin:</t>
        </r>
        <r>
          <rPr>
            <sz val="9"/>
            <color indexed="81"/>
            <rFont val="Tahoma"/>
            <family val="2"/>
          </rPr>
          <t xml:space="preserve">
+ 5% từ 01/05/2018
+ 7% từ 01/05/2020
+ 8% từ 01/05/2021
+ 9% từ 01/05/2022
+ 10% từ 01/05/2023</t>
        </r>
      </text>
    </comment>
    <comment ref="W51" authorId="6"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X51" authorId="1" shapeId="0">
      <text>
        <r>
          <rPr>
            <b/>
            <sz val="9"/>
            <color indexed="81"/>
            <rFont val="Tahoma"/>
            <family val="2"/>
          </rPr>
          <t>User:</t>
        </r>
        <r>
          <rPr>
            <sz val="9"/>
            <color indexed="81"/>
            <rFont val="Tahoma"/>
            <family val="2"/>
          </rPr>
          <t xml:space="preserve">
- 21% từ 01/5/2015
- 22% từ 01/5/2016
- 23% từ 01/5/2017
- 24% từ 01/5/2018
- 25% từ 01/5/2019
- 26% từ 01/5/2020
- 27% từ 01/5/2021
- 28% từ 01/5/2022
- 29% từ 01/5/2023</t>
        </r>
      </text>
    </comment>
    <comment ref="R52" authorId="1" shapeId="0">
      <text>
        <r>
          <rPr>
            <b/>
            <sz val="9"/>
            <color indexed="81"/>
            <rFont val="Tahoma"/>
            <family val="2"/>
          </rPr>
          <t>User:</t>
        </r>
        <r>
          <rPr>
            <sz val="9"/>
            <color indexed="81"/>
            <rFont val="Tahoma"/>
            <family val="2"/>
          </rPr>
          <t xml:space="preserve">
- HS 4,65 từ 01/9/2015
- HS 4,98 từ 01/9/2018</t>
        </r>
      </text>
    </comment>
    <comment ref="T52" authorId="6" shapeId="0">
      <text>
        <r>
          <rPr>
            <b/>
            <sz val="9"/>
            <color indexed="81"/>
            <rFont val="Tahoma"/>
            <family val="2"/>
          </rPr>
          <t>user:</t>
        </r>
        <r>
          <rPr>
            <sz val="9"/>
            <color indexed="81"/>
            <rFont val="Tahoma"/>
            <family val="2"/>
          </rPr>
          <t xml:space="preserve">
- VK 5% từ 01/9/2021
- VK 6% từ 01/9/2022
- VK 7% từ 01/9/2023</t>
        </r>
      </text>
    </comment>
    <comment ref="X52" authorId="1" shapeId="0">
      <text>
        <r>
          <rPr>
            <b/>
            <sz val="9"/>
            <color indexed="81"/>
            <rFont val="Tahoma"/>
            <family val="2"/>
          </rPr>
          <t>User:</t>
        </r>
        <r>
          <rPr>
            <sz val="9"/>
            <color indexed="81"/>
            <rFont val="Tahoma"/>
            <family val="2"/>
          </rPr>
          <t xml:space="preserve">
- 9% từ 01/8/2015
- 10% từ 01/8/2016
- 11% từ 01/8/2017
- 12% từ 01/8/2018
- 13% từ 01/8/2019
- 14% từ 01/8/2020
- 15% từ 01/8/2021
- 16% từ 01/8/2022
- 17% từ 01/8/2023</t>
        </r>
      </text>
    </comment>
    <comment ref="T53" authorId="4" shapeId="0">
      <text>
        <r>
          <rPr>
            <b/>
            <sz val="9"/>
            <color indexed="81"/>
            <rFont val="Tahoma"/>
            <family val="2"/>
          </rPr>
          <t>Admin:</t>
        </r>
        <r>
          <rPr>
            <sz val="9"/>
            <color indexed="81"/>
            <rFont val="Tahoma"/>
            <family val="2"/>
          </rPr>
          <t xml:space="preserve">
- 6% từ 01/5/2018
- 7% từ 01/5/2019
- 8% từ 01/5/2020
- 9% từ 01/5/2021
- 10% từ 01/5/2022
- 11% từ 01/5/2023</t>
        </r>
      </text>
    </comment>
    <comment ref="X53" authorId="7"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
+ 30% từ 01/05/2021
+ 31% từ 01/05/2022
+ 32% từ 01/05/2023</t>
        </r>
      </text>
    </comment>
    <comment ref="R54" authorId="1"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
- HS 4,65 từ 01/09/2022</t>
        </r>
      </text>
    </comment>
    <comment ref="W54" authorId="6"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X54" authorId="6"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
+ 27% từ 01/12/2021
+ 28% từ 01/12/2022
+ 29% từ 01/12/2023</t>
        </r>
      </text>
    </comment>
    <comment ref="T55" authorId="1"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
+ 14% từ 01/10/2021
+ 15% từ 01/10/2022
+ 16% từ 01/10/2023</t>
        </r>
      </text>
    </comment>
    <comment ref="W55" authorId="6"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X55" authorId="6"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
+ 32% từ 01/10/2021
+ 33% từ 01/10/2022
+ 34% từ 01/10/2023</t>
        </r>
      </text>
    </comment>
    <comment ref="R56" authorId="1" shapeId="0">
      <text>
        <r>
          <rPr>
            <b/>
            <sz val="9"/>
            <color indexed="81"/>
            <rFont val="Tahoma"/>
            <family val="2"/>
          </rPr>
          <t>User:</t>
        </r>
        <r>
          <rPr>
            <sz val="9"/>
            <color indexed="81"/>
            <rFont val="Tahoma"/>
            <family val="2"/>
          </rPr>
          <t xml:space="preserve">
- HS 4,65 từ 01/05/2014 (Nâng lương trước hạn 2015)
- HS 4,98 từ 01/5/2017</t>
        </r>
      </text>
    </comment>
    <comment ref="T56" authorId="6" shapeId="0">
      <text>
        <r>
          <rPr>
            <b/>
            <sz val="9"/>
            <color indexed="81"/>
            <rFont val="Tahoma"/>
            <family val="2"/>
          </rPr>
          <t>user:</t>
        </r>
        <r>
          <rPr>
            <sz val="9"/>
            <color indexed="81"/>
            <rFont val="Tahoma"/>
            <family val="2"/>
          </rPr>
          <t xml:space="preserve">
- VK 5% từ 01/05/2020
- VK 6% từ 01/05/2021
- VK 7% từ 01/05/2022
- VK 8% từ 01/05/2023</t>
        </r>
      </text>
    </comment>
    <comment ref="W56" authorId="1"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X56" authorId="7"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
+ 23% từ 01/5/2021
+ 24% từ 01/5/2022
+ 25% từ 01/5/2023</t>
        </r>
      </text>
    </comment>
    <comment ref="R57" authorId="1" shapeId="0">
      <text>
        <r>
          <rPr>
            <b/>
            <sz val="9"/>
            <color indexed="81"/>
            <rFont val="Tahoma"/>
            <family val="2"/>
          </rPr>
          <t>User:</t>
        </r>
        <r>
          <rPr>
            <sz val="9"/>
            <color indexed="81"/>
            <rFont val="Tahoma"/>
            <family val="2"/>
          </rPr>
          <t xml:space="preserve">
- HS 4.32 từ 01/09/2013 (NL trước hạn)
- HS 4,65 từ 01/9/2016
- HS 4,98 từ 01/9/2019</t>
        </r>
      </text>
    </comment>
    <comment ref="T57" authorId="2" shapeId="0">
      <text>
        <r>
          <rPr>
            <b/>
            <sz val="9"/>
            <color indexed="81"/>
            <rFont val="Tahoma"/>
            <family val="2"/>
          </rPr>
          <t>huynh-panda:</t>
        </r>
        <r>
          <rPr>
            <sz val="9"/>
            <color indexed="81"/>
            <rFont val="Tahoma"/>
            <family val="2"/>
          </rPr>
          <t xml:space="preserve">
- VK 5% từ 01/9/2022
- VK 6% từ 01/9/2023</t>
        </r>
      </text>
    </comment>
    <comment ref="W57" authorId="6" shapeId="0">
      <text>
        <r>
          <rPr>
            <b/>
            <sz val="8"/>
            <color indexed="81"/>
            <rFont val="Tahoma"/>
            <family val="2"/>
          </rPr>
          <t>user:</t>
        </r>
        <r>
          <rPr>
            <sz val="8"/>
            <color indexed="81"/>
            <rFont val="Tahoma"/>
            <family val="2"/>
          </rPr>
          <t xml:space="preserve">
Miễn nhiệm phó TK từ 15/11/2013</t>
        </r>
      </text>
    </comment>
    <comment ref="X5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8" authorId="1"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T58" authorId="0" shapeId="0">
      <text>
        <r>
          <rPr>
            <b/>
            <sz val="9"/>
            <color indexed="81"/>
            <rFont val="Tahoma"/>
            <family val="2"/>
          </rPr>
          <t>Windows User:</t>
        </r>
        <r>
          <rPr>
            <sz val="9"/>
            <color indexed="81"/>
            <rFont val="Tahoma"/>
            <family val="2"/>
          </rPr>
          <t xml:space="preserve">
- VK 5% từ 01/10/2022
- VK 6% từ 01/10/2023</t>
        </r>
      </text>
    </comment>
    <comment ref="X58" authorId="6"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
+ 22% từ 01/10/2021
+ 23% từ 01/10/2022
+ 24% từ 01/10/2023</t>
        </r>
      </text>
    </comment>
    <comment ref="R59" authorId="4" shapeId="0">
      <text>
        <r>
          <rPr>
            <b/>
            <sz val="9"/>
            <color indexed="81"/>
            <rFont val="Tahoma"/>
            <family val="2"/>
          </rPr>
          <t>Admin:</t>
        </r>
        <r>
          <rPr>
            <sz val="9"/>
            <color indexed="81"/>
            <rFont val="Tahoma"/>
            <family val="2"/>
          </rPr>
          <t xml:space="preserve">
- HS 3,99 từ 01/9/15 (NL trước hạn)
- HS 4,32 từ 01/9/18
- HS 4,65 từ 01/9/21</t>
        </r>
      </text>
    </comment>
    <comment ref="W59" authorId="1"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X59"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60" authorId="4" shapeId="0">
      <text>
        <r>
          <rPr>
            <b/>
            <sz val="9"/>
            <color indexed="81"/>
            <rFont val="Tahoma"/>
            <family val="2"/>
          </rPr>
          <t>Admin:</t>
        </r>
        <r>
          <rPr>
            <sz val="9"/>
            <color indexed="81"/>
            <rFont val="Tahoma"/>
            <family val="2"/>
          </rPr>
          <t xml:space="preserve">
- HS 3,66 từ 01/9/2016
- HS 3,99 từ 01/9/2019
- HS 4,32 từ 01/9/2022
</t>
        </r>
      </text>
    </comment>
    <comment ref="X6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1" authorId="1" shapeId="0">
      <text>
        <r>
          <rPr>
            <b/>
            <sz val="9"/>
            <color indexed="81"/>
            <rFont val="Tahoma"/>
            <family val="2"/>
          </rPr>
          <t>User:</t>
        </r>
        <r>
          <rPr>
            <sz val="9"/>
            <color indexed="81"/>
            <rFont val="Tahoma"/>
            <family val="2"/>
          </rPr>
          <t xml:space="preserve">
- HS 3,66 từ 01/9/2015
- HS 3,99 từ 01/9/2018
- HS 4,32 từ 01/9/2021
</t>
        </r>
      </text>
    </comment>
    <comment ref="X61"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
</t>
        </r>
      </text>
    </comment>
    <comment ref="R62" authorId="4" shapeId="0">
      <text>
        <r>
          <rPr>
            <b/>
            <sz val="9"/>
            <color indexed="81"/>
            <rFont val="Tahoma"/>
            <family val="2"/>
          </rPr>
          <t>Admin:</t>
        </r>
        <r>
          <rPr>
            <sz val="9"/>
            <color indexed="81"/>
            <rFont val="Tahoma"/>
            <family val="2"/>
          </rPr>
          <t xml:space="preserve">
- HS 3,66 từ 01/9/2016
- HS 3,99 từ 01/9/2019
- HS 4,32 từ 01/09/2022</t>
        </r>
      </text>
    </comment>
    <comment ref="X62" authorId="6"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
+ 17% từ 01/9/2021
+ 18% từ 01/9/2022
+ 19% từ 01/9/2023</t>
        </r>
      </text>
    </comment>
    <comment ref="R63" authorId="1" shapeId="0">
      <text>
        <r>
          <rPr>
            <b/>
            <sz val="9"/>
            <color indexed="81"/>
            <rFont val="Tahoma"/>
            <family val="2"/>
          </rPr>
          <t>User:</t>
        </r>
        <r>
          <rPr>
            <sz val="9"/>
            <color indexed="81"/>
            <rFont val="Tahoma"/>
            <family val="2"/>
          </rPr>
          <t xml:space="preserve">
- HS 3.66 từ 01/09/2013 (NL trước hạn)
- HS 3,99 từ 01/9/2016
- HS 4,32 từ 01/9/2019
- HS 4,65 từ 01/9/2022</t>
        </r>
      </text>
    </comment>
    <comment ref="W63" authorId="6"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X6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T64" authorId="3" shapeId="0">
      <text>
        <r>
          <rPr>
            <b/>
            <sz val="9"/>
            <color indexed="81"/>
            <rFont val="Tahoma"/>
            <family val="2"/>
          </rPr>
          <t>Quynh:</t>
        </r>
        <r>
          <rPr>
            <sz val="9"/>
            <color indexed="81"/>
            <rFont val="Tahoma"/>
            <family val="2"/>
          </rPr>
          <t xml:space="preserve">
- 7% từ 01/01/2019
- 8% từ 01/01/2020
- 9% từ 01/01/2021
- 10% từ 01/01/2022
- 11% từ 01/01/2023
- 12% từ 01/01/2024</t>
        </r>
      </text>
    </comment>
    <comment ref="X64" authorId="6"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
+ 30% từ 01/10/2021
+ 31% từ 01/10/2022
+ 32% từ 01/10/2023</t>
        </r>
      </text>
    </comment>
    <comment ref="R65" authorId="1" shapeId="0">
      <text>
        <r>
          <rPr>
            <b/>
            <sz val="9"/>
            <color indexed="81"/>
            <rFont val="Tahoma"/>
            <family val="2"/>
          </rPr>
          <t>User:</t>
        </r>
        <r>
          <rPr>
            <sz val="9"/>
            <color indexed="81"/>
            <rFont val="Tahoma"/>
            <family val="2"/>
          </rPr>
          <t xml:space="preserve">
- HS 4,65 từ 01/5/2014 (Nâng lương trước hạn năm 2015)
- HS 4,98 từ 01/5/2017</t>
        </r>
      </text>
    </comment>
    <comment ref="T65" authorId="6" shapeId="0">
      <text>
        <r>
          <rPr>
            <b/>
            <sz val="9"/>
            <color indexed="81"/>
            <rFont val="Tahoma"/>
            <family val="2"/>
          </rPr>
          <t>user:</t>
        </r>
        <r>
          <rPr>
            <sz val="9"/>
            <color indexed="81"/>
            <rFont val="Tahoma"/>
            <family val="2"/>
          </rPr>
          <t xml:space="preserve">
- VK 5% từ 01/05/2020
- VK 6% từ 01/05/2021
- VK 7% từ 01/05/2022
- VK 8% từ 01/05/2023</t>
        </r>
      </text>
    </comment>
    <comment ref="W65" authorId="1"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X65" authorId="7"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
+ 23% từ 01/05/2021
+ 24% từ 01/05/2022
+ 25% từ 01/05/2023</t>
        </r>
      </text>
    </comment>
    <comment ref="R66" authorId="1" shapeId="0">
      <text>
        <r>
          <rPr>
            <b/>
            <sz val="9"/>
            <color indexed="81"/>
            <rFont val="Tahoma"/>
            <family val="2"/>
          </rPr>
          <t>User:</t>
        </r>
        <r>
          <rPr>
            <sz val="9"/>
            <color indexed="81"/>
            <rFont val="Tahoma"/>
            <family val="2"/>
          </rPr>
          <t xml:space="preserve">
- HS 3,66 từ 01/9/2015
- HS 3,99 từ 01/9/2018
- HS 4,32 từ 01/9/2021</t>
        </r>
      </text>
    </comment>
    <comment ref="X66"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7" authorId="1" shapeId="0">
      <text>
        <r>
          <rPr>
            <b/>
            <sz val="9"/>
            <color indexed="81"/>
            <rFont val="Tahoma"/>
            <family val="2"/>
          </rPr>
          <t>User:</t>
        </r>
        <r>
          <rPr>
            <sz val="9"/>
            <color indexed="81"/>
            <rFont val="Tahoma"/>
            <family val="2"/>
          </rPr>
          <t xml:space="preserve">
- HS 3,66 từ 01/9/2015
- HS 3,99 từ 01/9/2018
- HS 4,32 từ 01/9/2021</t>
        </r>
      </text>
    </comment>
    <comment ref="W67" authorId="6"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X67"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8" authorId="1" shapeId="0">
      <text>
        <r>
          <rPr>
            <b/>
            <sz val="9"/>
            <color indexed="81"/>
            <rFont val="Tahoma"/>
            <family val="2"/>
          </rPr>
          <t>User:</t>
        </r>
        <r>
          <rPr>
            <sz val="9"/>
            <color indexed="81"/>
            <rFont val="Tahoma"/>
            <family val="2"/>
          </rPr>
          <t xml:space="preserve">
- HS 3,66 từ 01/9/2014 (Nâng lương trước hạn năm 2015)
- HS 3,99 từ 01/9/2017
- HS 4,32 từ 01/9/2020
- HS 4,65 từ 01/9/2023</t>
        </r>
      </text>
    </comment>
    <comment ref="X68"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69" authorId="6" shapeId="0">
      <text>
        <r>
          <rPr>
            <sz val="8"/>
            <color indexed="81"/>
            <rFont val="Tahoma"/>
            <family val="2"/>
          </rPr>
          <t>9% Từ 01/09/2013
+ 10% từ 01/9/2014
+ 11% từ 01/9/2015
+ 12% từ 01/9/2016
+ 13% từ 01/9/2017
+ 14% từ 01/9/2018
+ 15% từ 01/9/2019
+ 16% từ 01/9/2020
+ 17% từ 01/9/2021
+ 18% từ 01/9/2022
+ 19% từ 01/9/2023</t>
        </r>
      </text>
    </comment>
    <comment ref="R70"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71"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1" authorId="6" shapeId="0">
      <text>
        <r>
          <rPr>
            <sz val="12"/>
            <color indexed="81"/>
            <rFont val="Times New Roman"/>
            <family val="1"/>
          </rPr>
          <t>9% Từ 01/09/2013
+ 10% từ 01/9/2014
+ 11% từ 01/9/2015
+ 12% từ 01/9/2016
+ 13% từ 01/9/2017
+ 14% từ 01/9/2018
+ 15% từ 01/9/2019
+ 16% từ 01/9/2020
+ 17% từ 01/9/2021
+ 18% từ 01/9/2022
+ 19% từ 01/9/2023</t>
        </r>
      </text>
    </comment>
    <comment ref="R72" authorId="1" shapeId="0">
      <text>
        <r>
          <rPr>
            <b/>
            <sz val="9"/>
            <color indexed="81"/>
            <rFont val="Tahoma"/>
            <family val="2"/>
          </rPr>
          <t>User:</t>
        </r>
        <r>
          <rPr>
            <sz val="9"/>
            <color indexed="81"/>
            <rFont val="Tahoma"/>
            <family val="2"/>
          </rPr>
          <t xml:space="preserve">
- HS 3.66 từ 01/09/2013 (NL trước hạn)
- HS 3,99 từ 01/9/2016
- HS 4,32 từ 01/9/2018 (NL trước hạn)
- HS 4,65 từ 01/9/2021
- HS 4,98 từ 01/9/2023 (NL trước hạn)</t>
        </r>
      </text>
    </comment>
    <comment ref="X72"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01/9/2021
+ 20% từ 01/9/2023</t>
        </r>
      </text>
    </comment>
    <comment ref="R73" authorId="1" shapeId="0">
      <text>
        <r>
          <rPr>
            <b/>
            <sz val="9"/>
            <color indexed="81"/>
            <rFont val="Tahoma"/>
            <family val="2"/>
          </rPr>
          <t>User:</t>
        </r>
        <r>
          <rPr>
            <sz val="9"/>
            <color indexed="81"/>
            <rFont val="Tahoma"/>
            <family val="2"/>
          </rPr>
          <t xml:space="preserve">
- HS 3,66 từ 0/9/2014
- HS 3,99 từ 01/9/2017
- HS 4,32 từ 01/9/2020
- HS 4,65 từ 01/09/2022 (NL trước hạn)</t>
        </r>
      </text>
    </comment>
    <comment ref="W73" authorId="6" shapeId="0">
      <text>
        <r>
          <rPr>
            <b/>
            <sz val="8"/>
            <color indexed="81"/>
            <rFont val="Tahoma"/>
            <family val="2"/>
          </rPr>
          <t>user:</t>
        </r>
        <r>
          <rPr>
            <sz val="8"/>
            <color indexed="81"/>
            <rFont val="Tahoma"/>
            <family val="2"/>
          </rPr>
          <t xml:space="preserve">
QĐ Miễn nhiệm Phó trưởng khoa từ 01/06/2012</t>
        </r>
      </text>
    </comment>
    <comment ref="X7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7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74"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75" authorId="1" shapeId="0">
      <text>
        <r>
          <rPr>
            <b/>
            <sz val="9"/>
            <color indexed="81"/>
            <rFont val="Tahoma"/>
            <family val="2"/>
          </rPr>
          <t>User:</t>
        </r>
        <r>
          <rPr>
            <sz val="9"/>
            <color indexed="81"/>
            <rFont val="Tahoma"/>
            <family val="2"/>
          </rPr>
          <t xml:space="preserve">
- HS 4,32 từ 01/10/2015
- HS 4,65 từ 01/10/2018
- HS 4,98 từ 01/10/2021</t>
        </r>
      </text>
    </comment>
    <comment ref="X75" authorId="6"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
+ 20% từ 01/10/2021
+ 21% từ 01/10/2022
+ 22% từ 01/10/2023</t>
        </r>
      </text>
    </comment>
    <comment ref="R80" authorId="0" shapeId="0">
      <text>
        <r>
          <rPr>
            <b/>
            <sz val="9"/>
            <color indexed="81"/>
            <rFont val="Tahoma"/>
            <family val="2"/>
          </rPr>
          <t>Windows User:</t>
        </r>
        <r>
          <rPr>
            <sz val="9"/>
            <color indexed="81"/>
            <rFont val="Tahoma"/>
            <family val="2"/>
          </rPr>
          <t xml:space="preserve">
- Tuyển dụng Thử việc từ 01/9/2023 (HS 2,34)</t>
        </r>
      </text>
    </comment>
    <comment ref="R81" authorId="0" shapeId="0">
      <text>
        <r>
          <rPr>
            <b/>
            <sz val="9"/>
            <color indexed="81"/>
            <rFont val="Tahoma"/>
            <family val="2"/>
          </rPr>
          <t>Windows User:</t>
        </r>
        <r>
          <rPr>
            <sz val="9"/>
            <color indexed="81"/>
            <rFont val="Tahoma"/>
            <family val="2"/>
          </rPr>
          <t xml:space="preserve">
- Tuyển dụng thử việc từ 01/9/2023 (HS 2,34)</t>
        </r>
      </text>
    </comment>
    <comment ref="R82" authorId="0" shapeId="0">
      <text>
        <r>
          <rPr>
            <b/>
            <sz val="9"/>
            <color indexed="81"/>
            <rFont val="Tahoma"/>
            <family val="2"/>
          </rPr>
          <t>Windows User:</t>
        </r>
        <r>
          <rPr>
            <sz val="9"/>
            <color indexed="81"/>
            <rFont val="Tahoma"/>
            <family val="2"/>
          </rPr>
          <t xml:space="preserve">
- Tuyển dụng thử việc từ 01/01/2024: HS 2,34 (85%)</t>
        </r>
      </text>
    </comment>
    <comment ref="R83" authorId="0" shapeId="0">
      <text>
        <r>
          <rPr>
            <b/>
            <sz val="9"/>
            <color indexed="81"/>
            <rFont val="Tahoma"/>
            <family val="2"/>
          </rPr>
          <t>Windows User:</t>
        </r>
        <r>
          <rPr>
            <sz val="9"/>
            <color indexed="81"/>
            <rFont val="Tahoma"/>
            <family val="2"/>
          </rPr>
          <t xml:space="preserve">
HS: 1,989 từ T11/2022</t>
        </r>
      </text>
    </comment>
    <comment ref="R87" authorId="6" shapeId="0">
      <text>
        <r>
          <rPr>
            <b/>
            <sz val="9"/>
            <color indexed="81"/>
            <rFont val="Tahoma"/>
            <family val="2"/>
          </rPr>
          <t>user:</t>
        </r>
        <r>
          <rPr>
            <sz val="9"/>
            <color indexed="81"/>
            <rFont val="Tahoma"/>
            <family val="2"/>
          </rPr>
          <t xml:space="preserve">
- HS 3,00 từ 01/10/2019
- HS 3,33 từ 01/10/2021</t>
        </r>
      </text>
    </comment>
    <comment ref="W87" authorId="6" shapeId="0">
      <text>
        <r>
          <rPr>
            <b/>
            <sz val="9"/>
            <color indexed="81"/>
            <rFont val="Tahoma"/>
            <family val="2"/>
          </rPr>
          <t>user:</t>
        </r>
        <r>
          <rPr>
            <sz val="9"/>
            <color indexed="81"/>
            <rFont val="Tahoma"/>
            <family val="2"/>
          </rPr>
          <t xml:space="preserve">
- QĐ BN Phó phòng từ 01/9/2020</t>
        </r>
      </text>
    </comment>
    <comment ref="R88" authorId="6" shapeId="0">
      <text>
        <r>
          <rPr>
            <b/>
            <sz val="9"/>
            <color indexed="81"/>
            <rFont val="Tahoma"/>
            <family val="2"/>
          </rPr>
          <t>user:</t>
        </r>
        <r>
          <rPr>
            <sz val="9"/>
            <color indexed="81"/>
            <rFont val="Tahoma"/>
            <family val="2"/>
          </rPr>
          <t xml:space="preserve">
- HS 2,67 từ 01/11/2020
- HS 3,00 từ 01/11/2022 (NL trước hạn)</t>
        </r>
      </text>
    </comment>
    <comment ref="W88" authorId="6" shapeId="0">
      <text>
        <r>
          <rPr>
            <b/>
            <sz val="9"/>
            <color indexed="81"/>
            <rFont val="Tahoma"/>
            <family val="2"/>
          </rPr>
          <t>user:</t>
        </r>
        <r>
          <rPr>
            <sz val="9"/>
            <color indexed="81"/>
            <rFont val="Tahoma"/>
            <family val="2"/>
          </rPr>
          <t xml:space="preserve">
- Phó TP TC - HC - TH từ T01/3/2021</t>
        </r>
      </text>
    </comment>
    <comment ref="R89" authorId="1" shapeId="0">
      <text>
        <r>
          <rPr>
            <b/>
            <sz val="9"/>
            <color indexed="81"/>
            <rFont val="Tahoma"/>
            <family val="2"/>
          </rPr>
          <t>User:</t>
        </r>
        <r>
          <rPr>
            <sz val="9"/>
            <color indexed="81"/>
            <rFont val="Tahoma"/>
            <family val="2"/>
          </rPr>
          <t xml:space="preserve">
+ HS 2,34 từ 01/11/2011
+ HS 2,67 từ 01/11/2014
+ HS 3,00 từ 01/11/2016 (NL trước hạn 2016)
+ HS 3,33 từ 01/11/2019
+ HS 3,66 từ 01/11/2022</t>
        </r>
      </text>
    </comment>
    <comment ref="R90" authorId="3" shapeId="0">
      <text>
        <r>
          <rPr>
            <b/>
            <sz val="9"/>
            <color indexed="81"/>
            <rFont val="Tahoma"/>
            <family val="2"/>
          </rPr>
          <t>Quynh:</t>
        </r>
        <r>
          <rPr>
            <sz val="9"/>
            <color indexed="81"/>
            <rFont val="Tahoma"/>
            <family val="2"/>
          </rPr>
          <t xml:space="preserve">
- HS 2,10 từ 01/04/2019
- HS 2,41 từ 01/04/2022
- HS 2,26 từ 01/04/2022 (HS Chênh lệch bảo lưu: 0,15)
- HS 2,46 từ 01/04/2023 (HS Chênh lệch bảo lưu: 0,15)</t>
        </r>
      </text>
    </comment>
    <comment ref="R91" authorId="1"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
- HS 3,46 từ 01/04/2020 (Nâng lương trước hạn)
- HS 3,66 từ 01/6/2021 (Thi NG)</t>
        </r>
      </text>
    </comment>
    <comment ref="R92" authorId="6"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
- HS 3,33 từ 01/6/2021 (Thi Nâng ngạch)
- HS 3,66 từ 01/6/2023 (NL trước hạn)</t>
        </r>
      </text>
    </comment>
    <comment ref="R93" authorId="1" shapeId="0">
      <text>
        <r>
          <rPr>
            <b/>
            <sz val="9"/>
            <color indexed="81"/>
            <rFont val="Tahoma"/>
            <family val="2"/>
          </rPr>
          <t>User:</t>
        </r>
        <r>
          <rPr>
            <sz val="9"/>
            <color indexed="81"/>
            <rFont val="Tahoma"/>
            <family val="2"/>
          </rPr>
          <t xml:space="preserve">
- HS 2,10 từ 01/4/2014
- HS 2,41 từ 01/04/2017
- HS 2,72 từ 01/04/2020
- HS 3,00 từ 01/04/2020 (Thi NG từ 01/6/2021)
- HS 3,33 từ 01/04/2022 (NL trước hạn)</t>
        </r>
      </text>
    </comment>
    <comment ref="R94" authorId="1" shapeId="0">
      <text>
        <r>
          <rPr>
            <b/>
            <sz val="9"/>
            <color indexed="81"/>
            <rFont val="Tahoma"/>
            <family val="2"/>
          </rPr>
          <t>User:</t>
        </r>
        <r>
          <rPr>
            <sz val="9"/>
            <color indexed="81"/>
            <rFont val="Tahoma"/>
            <family val="2"/>
          </rPr>
          <t xml:space="preserve">
- HS 2,66 từ 01/4/2014 (Nâng lương trước hạn năm 2015)
- HS 2.86 từ 01/04/2016
- HS 3,06 từ 01/01/2019
- HS 3,26 từ 01/01/2021
- HS 3,34 từ 01/01/2021 (Chuyển xếp lương)
- HS 3,66 từ 23/11/2022 (Thi nâng ngạch)</t>
        </r>
      </text>
    </comment>
    <comment ref="D95" authorId="0" shapeId="0">
      <text>
        <r>
          <rPr>
            <b/>
            <sz val="9"/>
            <color indexed="81"/>
            <rFont val="Tahoma"/>
            <family val="2"/>
          </rPr>
          <t>Windows User:</t>
        </r>
        <r>
          <rPr>
            <sz val="9"/>
            <color indexed="81"/>
            <rFont val="Tahoma"/>
            <family val="2"/>
          </rPr>
          <t xml:space="preserve">
- Thuyên chuyển từ Trường CĐ Giao thông vận tải về Trường ngày 01/04/2023
</t>
        </r>
      </text>
    </comment>
    <comment ref="E95" authorId="0" shapeId="0">
      <text>
        <r>
          <rPr>
            <b/>
            <sz val="9"/>
            <color indexed="81"/>
            <rFont val="Tahoma"/>
            <family val="2"/>
          </rPr>
          <t>Windows User:</t>
        </r>
        <r>
          <rPr>
            <sz val="9"/>
            <color indexed="81"/>
            <rFont val="Tahoma"/>
            <family val="2"/>
          </rPr>
          <t xml:space="preserve">
- Về phòng Tổ chức từ 01/4/2023
- Về phòng KHCN HTQT từ 01/01/2024</t>
        </r>
      </text>
    </comment>
    <comment ref="R95" authorId="0" shapeId="0">
      <text>
        <r>
          <rPr>
            <b/>
            <sz val="9"/>
            <color indexed="81"/>
            <rFont val="Tahoma"/>
            <family val="2"/>
          </rPr>
          <t>Windows User:</t>
        </r>
        <r>
          <rPr>
            <sz val="9"/>
            <color indexed="81"/>
            <rFont val="Tahoma"/>
            <family val="2"/>
          </rPr>
          <t xml:space="preserve">
- HS 3,66 từ 01/01/2022</t>
        </r>
      </text>
    </comment>
    <comment ref="R96" authorId="1" shapeId="0">
      <text>
        <r>
          <rPr>
            <b/>
            <sz val="9"/>
            <color indexed="81"/>
            <rFont val="Tahoma"/>
            <family val="2"/>
          </rPr>
          <t>User:</t>
        </r>
        <r>
          <rPr>
            <sz val="9"/>
            <color indexed="81"/>
            <rFont val="Tahoma"/>
            <family val="2"/>
          </rPr>
          <t xml:space="preserve">
+ QĐ BN Chức danh nghề nghiệp từ 01/8/2014
- HS 3,00 từ 01/04/2016
- HS 3,33 từ 01/04/2019
- HS 3,66 từ 01/04/2021 (NL trước hạn)
- HS 3,99 từ 01/4/2024</t>
        </r>
      </text>
    </comment>
    <comment ref="R97" authorId="4"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
- HS 3,26 từ 01/3/2021 (NL trước hạn)
- HS 3,46 từ 01/03/2023</t>
        </r>
      </text>
    </comment>
    <comment ref="R98" authorId="1" shapeId="0">
      <text>
        <r>
          <rPr>
            <b/>
            <sz val="9"/>
            <color indexed="81"/>
            <rFont val="Tahoma"/>
            <family val="2"/>
          </rPr>
          <t>User:</t>
        </r>
        <r>
          <rPr>
            <sz val="9"/>
            <color indexed="81"/>
            <rFont val="Tahoma"/>
            <family val="2"/>
          </rPr>
          <t xml:space="preserve">
- HS 2,67 từ 01/11/2015
- HS 3,00 từ 01/11/2018
- HS 3,33 từ 01/11/2020 (Nâng lương trước hạn)
- HS 3,66 từ ngày 01/11/2023</t>
        </r>
      </text>
    </comment>
    <comment ref="R99" authorId="1"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
+ HS 3,65 từ 01/04/2022 (NL trước hạn)</t>
        </r>
      </text>
    </comment>
    <comment ref="W99" authorId="1" shapeId="0">
      <text>
        <r>
          <rPr>
            <b/>
            <sz val="9"/>
            <color indexed="81"/>
            <rFont val="Tahoma"/>
            <family val="2"/>
          </rPr>
          <t>User:</t>
        </r>
        <r>
          <rPr>
            <sz val="9"/>
            <color indexed="81"/>
            <rFont val="Tahoma"/>
            <family val="2"/>
          </rPr>
          <t xml:space="preserve">
+ BN Tổ trưởng từ 01/11/2013</t>
        </r>
      </text>
    </comment>
    <comment ref="R100" authorId="1" shapeId="0">
      <text>
        <r>
          <rPr>
            <b/>
            <sz val="9"/>
            <color indexed="81"/>
            <rFont val="Tahoma"/>
            <family val="2"/>
          </rPr>
          <t>User:</t>
        </r>
        <r>
          <rPr>
            <sz val="9"/>
            <color indexed="81"/>
            <rFont val="Tahoma"/>
            <family val="2"/>
          </rPr>
          <t xml:space="preserve">
+ HS 2,10 từ 01/8/2013
+ HS 2,41 từ 01/8/2015 (NL trước hạn)
+ HS 2,72 từ 01/8/2018
+ HS 3,03 từ 01/8/2020 (NL trước hạn)
+ HS 3,34 từ 01/8/2023</t>
        </r>
      </text>
    </comment>
    <comment ref="R101" authorId="1" shapeId="0">
      <text>
        <r>
          <rPr>
            <b/>
            <sz val="9"/>
            <color indexed="81"/>
            <rFont val="Tahoma"/>
            <family val="2"/>
          </rPr>
          <t>User:</t>
        </r>
        <r>
          <rPr>
            <sz val="9"/>
            <color indexed="81"/>
            <rFont val="Tahoma"/>
            <family val="2"/>
          </rPr>
          <t xml:space="preserve">
+ HS 2,10 từ 01/11/2013
+ HS 2,41 từ 01/11/2015 (NL trước hạn)
+ HS 2,72 từ 01/11/2018
+ HS 3,03 từ 01/11/2021</t>
        </r>
      </text>
    </comment>
    <comment ref="R102" authorId="1"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
+ HS 3,34 từ 01/06/2023</t>
        </r>
      </text>
    </comment>
    <comment ref="W102" authorId="1"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R103" authorId="6" shapeId="0">
      <text>
        <r>
          <rPr>
            <b/>
            <sz val="9"/>
            <color indexed="81"/>
            <rFont val="Tahoma"/>
            <family val="2"/>
          </rPr>
          <t>user:</t>
        </r>
        <r>
          <rPr>
            <sz val="9"/>
            <color indexed="81"/>
            <rFont val="Tahoma"/>
            <family val="2"/>
          </rPr>
          <t xml:space="preserve">
- HS 2,67 từ 01/2/2019 (NL trước hạn)
- HS 3,00 từ 01/2/2022</t>
        </r>
      </text>
    </comment>
    <comment ref="W103" authorId="0" shapeId="0">
      <text>
        <r>
          <rPr>
            <b/>
            <sz val="9"/>
            <color indexed="81"/>
            <rFont val="Tahoma"/>
            <family val="2"/>
          </rPr>
          <t>Windows User:</t>
        </r>
        <r>
          <rPr>
            <sz val="9"/>
            <color indexed="81"/>
            <rFont val="Tahoma"/>
            <family val="2"/>
          </rPr>
          <t xml:space="preserve">
- Phó GĐ TT Đào tạo LTT từ ngày 01/10/2023</t>
        </r>
      </text>
    </comment>
    <comment ref="R104" authorId="6" shapeId="0">
      <text>
        <r>
          <rPr>
            <b/>
            <sz val="9"/>
            <color indexed="81"/>
            <rFont val="Tahoma"/>
            <family val="2"/>
          </rPr>
          <t>user:</t>
        </r>
        <r>
          <rPr>
            <sz val="9"/>
            <color indexed="81"/>
            <rFont val="Tahoma"/>
            <family val="2"/>
          </rPr>
          <t xml:space="preserve">
- HS 2,34 từ 01/11/2020
- HS 2,67 từ 01/11/2022 (NL trước hạn)</t>
        </r>
      </text>
    </comment>
    <comment ref="R105" authorId="1" shapeId="0">
      <text>
        <r>
          <rPr>
            <b/>
            <sz val="9"/>
            <color indexed="81"/>
            <rFont val="Tahoma"/>
            <family val="2"/>
          </rPr>
          <t>User:</t>
        </r>
        <r>
          <rPr>
            <sz val="9"/>
            <color indexed="81"/>
            <rFont val="Tahoma"/>
            <family val="2"/>
          </rPr>
          <t xml:space="preserve">
- Bậc 4, HS 2,46 từ 01/10/2014
- HS 2,66 từ 01/10/2015
- HS 3,06 từ 01/10/2018
- HS 3,26 từ 01/10/2020
- HS 3,46 từ 01/10/2022</t>
        </r>
      </text>
    </comment>
    <comment ref="R106" authorId="4" shapeId="0">
      <text>
        <r>
          <rPr>
            <b/>
            <sz val="9"/>
            <color indexed="81"/>
            <rFont val="Tahoma"/>
            <family val="2"/>
          </rPr>
          <t>Admin:</t>
        </r>
        <r>
          <rPr>
            <sz val="9"/>
            <color indexed="81"/>
            <rFont val="Tahoma"/>
            <family val="2"/>
          </rPr>
          <t xml:space="preserve">
- HS 2.66 từ 01/4/2016
- HS 2,86 từ 01/04/2018
- HS 3,06 từ 01/04/2020
- HS 3,26 từ 01/04/2022
- HS 3,46 từ 01/4/2024</t>
        </r>
      </text>
    </comment>
    <comment ref="R107" authorId="4" shapeId="0">
      <text>
        <r>
          <rPr>
            <b/>
            <sz val="9"/>
            <color indexed="81"/>
            <rFont val="Tahoma"/>
            <family val="2"/>
          </rPr>
          <t>Admin:</t>
        </r>
        <r>
          <rPr>
            <sz val="9"/>
            <color indexed="81"/>
            <rFont val="Tahoma"/>
            <family val="2"/>
          </rPr>
          <t xml:space="preserve">
- HS 3,06 từ 01/7/2017
- HS 3,26 từ 01/7/2019
- HS 3,46 từ 01/7/2021
- HS 3,66 từ 01/7/2023</t>
        </r>
      </text>
    </comment>
    <comment ref="R108" authorId="4"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R109" authorId="1"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
- HS 3,66 từ 01/02/2022 (NL trước hạn)</t>
        </r>
      </text>
    </comment>
    <comment ref="N110" authorId="0" shapeId="0">
      <text>
        <r>
          <rPr>
            <b/>
            <sz val="9"/>
            <color indexed="81"/>
            <rFont val="Tahoma"/>
            <family val="2"/>
          </rPr>
          <t>Windows User:</t>
        </r>
        <r>
          <rPr>
            <sz val="9"/>
            <color indexed="81"/>
            <rFont val="Tahoma"/>
            <family val="2"/>
          </rPr>
          <t xml:space="preserve">
- Kế toán viên từ 23/11/2022</t>
        </r>
      </text>
    </comment>
    <comment ref="R110" authorId="1"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
+ HS 3,34 từ 01/04/2021 (Mốc NL 01/04/2019) Xếp lại ngạch lương
+ HS 3,65 từ 01/04/2022
+ HS 3,66 từ 23/11/2022 (NL từ 01/04/2022)</t>
        </r>
      </text>
    </comment>
    <comment ref="R111" authorId="1"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
- HS 3,99 từ 01/04/2022</t>
        </r>
      </text>
    </comment>
    <comment ref="R112" authorId="1" shapeId="0">
      <text>
        <r>
          <rPr>
            <b/>
            <sz val="9"/>
            <color indexed="81"/>
            <rFont val="Tahoma"/>
            <family val="2"/>
          </rPr>
          <t>User:</t>
        </r>
        <r>
          <rPr>
            <sz val="9"/>
            <color indexed="81"/>
            <rFont val="Tahoma"/>
            <family val="2"/>
          </rPr>
          <t xml:space="preserve">
- HS 1,86 từ 01/4/2014
- HS 2,06 từ 01/10/2016
- HS 2,26 từ 01/10/2018
- HS 2,46 từ 01/10/2019 (NL trước hạn)
- HS 2,67 từ 01/6/2021 (Thi chuyển ngạch)</t>
        </r>
      </text>
    </comment>
    <comment ref="R113" authorId="6" shapeId="0">
      <text>
        <r>
          <rPr>
            <b/>
            <sz val="9"/>
            <color indexed="81"/>
            <rFont val="Tahoma"/>
            <family val="2"/>
          </rPr>
          <t>user:</t>
        </r>
        <r>
          <rPr>
            <sz val="9"/>
            <color indexed="81"/>
            <rFont val="Tahoma"/>
            <family val="2"/>
          </rPr>
          <t xml:space="preserve">
- BNCD NN từ 01/10/2019 (HS 2,34)
- HS 2,67 từ 01/10/2021(NL trước hạn)</t>
        </r>
      </text>
    </comment>
    <comment ref="W113" authorId="6" shapeId="0">
      <text>
        <r>
          <rPr>
            <b/>
            <sz val="9"/>
            <color indexed="81"/>
            <rFont val="Tahoma"/>
            <family val="2"/>
          </rPr>
          <t>user:</t>
        </r>
        <r>
          <rPr>
            <sz val="9"/>
            <color indexed="81"/>
            <rFont val="Tahoma"/>
            <family val="2"/>
          </rPr>
          <t xml:space="preserve">
- QĐ BN Phó Trưởng TT QHDN từ 01/02/2020 (Thôi từ 05/07/2022)
- QĐ BN Giám đốc trung tâm Lý Tự Trọng từ ngày 05/7/2022</t>
        </r>
      </text>
    </comment>
    <comment ref="AK113" authorId="6" shapeId="0">
      <text>
        <r>
          <rPr>
            <b/>
            <sz val="9"/>
            <color indexed="81"/>
            <rFont val="Tahoma"/>
            <family val="2"/>
          </rPr>
          <t>user:</t>
        </r>
        <r>
          <rPr>
            <sz val="9"/>
            <color indexed="81"/>
            <rFont val="Tahoma"/>
            <family val="2"/>
          </rPr>
          <t xml:space="preserve">
- Bí thư Đoàn TN hưởng PCTN 0,45</t>
        </r>
      </text>
    </comment>
    <comment ref="R114"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14" authorId="1" shapeId="0">
      <text>
        <r>
          <rPr>
            <b/>
            <sz val="9"/>
            <color indexed="81"/>
            <rFont val="Tahoma"/>
            <family val="2"/>
          </rPr>
          <t>User:</t>
        </r>
        <r>
          <rPr>
            <sz val="9"/>
            <color indexed="81"/>
            <rFont val="Tahoma"/>
            <family val="2"/>
          </rPr>
          <t xml:space="preserve">
- QĐ Bổ nhiệm Trưởng bộ môn Thiết bị điện từ 01/9/2015
- QĐ Bổ nhiệm Phó TP Tuyển sinh - Đào tạo từ 01/10/2022</t>
        </r>
      </text>
    </comment>
    <comment ref="X114"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
+ 14% từ 01/9/2021
+ 15% từ 01/9/2022
+ 16% từ 01/9/2022</t>
        </r>
      </text>
    </comment>
    <comment ref="R115" authorId="1" shapeId="0">
      <text>
        <r>
          <rPr>
            <b/>
            <sz val="9"/>
            <color indexed="81"/>
            <rFont val="Tahoma"/>
            <family val="2"/>
          </rPr>
          <t>User:</t>
        </r>
        <r>
          <rPr>
            <sz val="9"/>
            <color indexed="81"/>
            <rFont val="Tahoma"/>
            <family val="2"/>
          </rPr>
          <t xml:space="preserve">
+ HS 2,34 từ 01/2/2013
+ HS 2.67 từ 01/2/2016
+ HS 3,00 từ 01/2/2019
+ HS 3,33 từ 01/2/2022</t>
        </r>
      </text>
    </comment>
    <comment ref="R116" authorId="4" shapeId="0">
      <text>
        <r>
          <rPr>
            <b/>
            <sz val="9"/>
            <color indexed="81"/>
            <rFont val="Tahoma"/>
            <family val="2"/>
          </rPr>
          <t>Admin:</t>
        </r>
        <r>
          <rPr>
            <sz val="9"/>
            <color indexed="81"/>
            <rFont val="Tahoma"/>
            <family val="2"/>
          </rPr>
          <t xml:space="preserve">
- HS 2.72 từ 01/1/2016
- HS 3,33 từ 01/01/2019 (Thi nâng ngạch)
- HS 3,66 từ 01/01/2022</t>
        </r>
      </text>
    </comment>
    <comment ref="R117" authorId="4" shapeId="0">
      <text>
        <r>
          <rPr>
            <b/>
            <sz val="9"/>
            <color indexed="81"/>
            <rFont val="Tahoma"/>
            <family val="2"/>
          </rPr>
          <t>Admin:</t>
        </r>
        <r>
          <rPr>
            <sz val="9"/>
            <color indexed="81"/>
            <rFont val="Tahoma"/>
            <family val="2"/>
          </rPr>
          <t xml:space="preserve">
- HS 2,86 từ 01/1/2015 (NL trước hạn)
 - HS 3,06 từ 01/01/2017
- HS 3,66 từ 01/7/2019 (NL trước han)
- HS 3,99 từ 01/7/2022</t>
        </r>
      </text>
    </comment>
    <comment ref="R118" authorId="6" shapeId="0">
      <text>
        <r>
          <rPr>
            <b/>
            <sz val="9"/>
            <color indexed="81"/>
            <rFont val="Tahoma"/>
            <family val="2"/>
          </rPr>
          <t>user:</t>
        </r>
        <r>
          <rPr>
            <sz val="9"/>
            <color indexed="81"/>
            <rFont val="Tahoma"/>
            <family val="2"/>
          </rPr>
          <t xml:space="preserve">
- HS 3,00 từ 01/9/2019
- HS 3,33 từ 01/9/2021 (NL trước hạn)</t>
        </r>
      </text>
    </comment>
    <comment ref="R119" authorId="1" shapeId="0">
      <text>
        <r>
          <rPr>
            <b/>
            <sz val="9"/>
            <color indexed="81"/>
            <rFont val="Tahoma"/>
            <family val="2"/>
          </rPr>
          <t>User:</t>
        </r>
        <r>
          <rPr>
            <sz val="9"/>
            <color indexed="81"/>
            <rFont val="Tahoma"/>
            <family val="2"/>
          </rPr>
          <t xml:space="preserve">
- HS 2,46
- HS 2,66 từ 01/11/16
- HS 2,86 từ 01/11/2018
- HS 3,06 từ 01/11/2020
- HS 3,33 từ 01/06/2021</t>
        </r>
      </text>
    </comment>
    <comment ref="O120" authorId="6" shapeId="0">
      <text>
        <r>
          <rPr>
            <b/>
            <sz val="9"/>
            <color indexed="81"/>
            <rFont val="Tahoma"/>
            <family val="2"/>
          </rPr>
          <t>user:</t>
        </r>
        <r>
          <rPr>
            <sz val="9"/>
            <color indexed="81"/>
            <rFont val="Tahoma"/>
            <family val="2"/>
          </rPr>
          <t xml:space="preserve">
Chuyển mã ngạch từ 30/10/2020
</t>
        </r>
      </text>
    </comment>
    <comment ref="R120" authorId="6" shapeId="0">
      <text>
        <r>
          <rPr>
            <b/>
            <sz val="9"/>
            <color indexed="81"/>
            <rFont val="Tahoma"/>
            <family val="2"/>
          </rPr>
          <t>user:</t>
        </r>
        <r>
          <rPr>
            <sz val="9"/>
            <color indexed="81"/>
            <rFont val="Tahoma"/>
            <family val="2"/>
          </rPr>
          <t xml:space="preserve">
- HS 3,33 từ 01/11/2019
- HS 3,66 từ 01/11/2022</t>
        </r>
      </text>
    </comment>
    <comment ref="D121" authorId="4" shapeId="0">
      <text>
        <r>
          <rPr>
            <b/>
            <sz val="9"/>
            <color indexed="81"/>
            <rFont val="Tahoma"/>
            <family val="2"/>
          </rPr>
          <t>Admin:</t>
        </r>
        <r>
          <rPr>
            <sz val="9"/>
            <color indexed="81"/>
            <rFont val="Tahoma"/>
            <family val="2"/>
          </rPr>
          <t xml:space="preserve">
Chuyển về phòng TS - ĐT từ ngày 01/8/2017</t>
        </r>
      </text>
    </comment>
    <comment ref="R121" authorId="6" shapeId="0">
      <text>
        <r>
          <rPr>
            <b/>
            <sz val="9"/>
            <color indexed="81"/>
            <rFont val="Tahoma"/>
            <family val="2"/>
          </rPr>
          <t>user:</t>
        </r>
        <r>
          <rPr>
            <sz val="9"/>
            <color indexed="81"/>
            <rFont val="Tahoma"/>
            <family val="2"/>
          </rPr>
          <t xml:space="preserve">
- HS 3,46 từ 01/01/2020
- HS 3,66 từ 01/01/2021 (NL trước hạn)
- HS 3,86 từ 01/01/2023
- HS 3,96 từ 01/04/2023 (Chuyển xếp lương) Mốc NL từ 01/01/2023</t>
        </r>
      </text>
    </comment>
    <comment ref="E122" authorId="3" shapeId="0">
      <text>
        <r>
          <rPr>
            <b/>
            <sz val="9"/>
            <color indexed="81"/>
            <rFont val="Tahoma"/>
            <family val="2"/>
          </rPr>
          <t>Quynh:</t>
        </r>
        <r>
          <rPr>
            <sz val="9"/>
            <color indexed="81"/>
            <rFont val="Tahoma"/>
            <family val="2"/>
          </rPr>
          <t xml:space="preserve">
- Nhân viên phòng Thanh tra GD - QHDN từ 01/03/2024</t>
        </r>
      </text>
    </comment>
    <comment ref="R122" authorId="4" shapeId="0">
      <text>
        <r>
          <rPr>
            <b/>
            <sz val="9"/>
            <color indexed="81"/>
            <rFont val="Tahoma"/>
            <family val="2"/>
          </rPr>
          <t>Admin:</t>
        </r>
        <r>
          <rPr>
            <sz val="9"/>
            <color indexed="81"/>
            <rFont val="Tahoma"/>
            <family val="2"/>
          </rPr>
          <t xml:space="preserve">
- HS 3,33 từ 01/9/2015 (NL trước hạn)
- HS 3,66 từ 01/9/18
- HS 3,99 từ 01/9/2020 (NL trước hạn)
- HS 4,32 từ 01/9/2023</t>
        </r>
      </text>
    </comment>
    <comment ref="D123" authorId="4" shapeId="0">
      <text>
        <r>
          <rPr>
            <b/>
            <sz val="9"/>
            <color indexed="81"/>
            <rFont val="Tahoma"/>
            <family val="2"/>
          </rPr>
          <t>Admin:</t>
        </r>
        <r>
          <rPr>
            <sz val="9"/>
            <color indexed="81"/>
            <rFont val="Tahoma"/>
            <family val="2"/>
          </rPr>
          <t xml:space="preserve">
Chuyển về Tổ Thanh tra - Pháp chế từ 01/8/2017</t>
        </r>
      </text>
    </comment>
    <comment ref="E123" authorId="0" shapeId="0">
      <text>
        <r>
          <rPr>
            <b/>
            <sz val="9"/>
            <color indexed="81"/>
            <rFont val="Tahoma"/>
            <family val="2"/>
          </rPr>
          <t>Windows User:</t>
        </r>
        <r>
          <rPr>
            <sz val="9"/>
            <color indexed="81"/>
            <rFont val="Tahoma"/>
            <family val="2"/>
          </rPr>
          <t xml:space="preserve">
- Từ phòng Thanh tra sang Phòng TS - ĐT từ 01/10/2023</t>
        </r>
      </text>
    </comment>
    <comment ref="R123" authorId="1" shapeId="0">
      <text>
        <r>
          <rPr>
            <b/>
            <sz val="9"/>
            <color indexed="81"/>
            <rFont val="Tahoma"/>
            <family val="2"/>
          </rPr>
          <t>User:</t>
        </r>
        <r>
          <rPr>
            <sz val="9"/>
            <color indexed="81"/>
            <rFont val="Tahoma"/>
            <family val="2"/>
          </rPr>
          <t xml:space="preserve">
BN CDNN từ 01/8/14 
- Mốc nâng lương 01/3/2012
- HS 3,99 từ 01/3/18
- HS 4,32 từ 01/3/2021
- HS 4,65 từ 01/3/2024</t>
        </r>
      </text>
    </comment>
    <comment ref="E124" authorId="3" shapeId="0">
      <text>
        <r>
          <rPr>
            <b/>
            <sz val="9"/>
            <color indexed="81"/>
            <rFont val="Tahoma"/>
            <family val="2"/>
          </rPr>
          <t>Quynh:</t>
        </r>
        <r>
          <rPr>
            <sz val="9"/>
            <color indexed="81"/>
            <rFont val="Tahoma"/>
            <family val="2"/>
          </rPr>
          <t xml:space="preserve">
- Nhân viên phòng Thanh tra GD - QHDN từ 01/03/2024</t>
        </r>
      </text>
    </comment>
    <comment ref="O124" authorId="6" shapeId="0">
      <text>
        <r>
          <rPr>
            <b/>
            <sz val="9"/>
            <color indexed="81"/>
            <rFont val="Tahoma"/>
            <family val="2"/>
          </rPr>
          <t>user:</t>
        </r>
        <r>
          <rPr>
            <sz val="9"/>
            <color indexed="81"/>
            <rFont val="Tahoma"/>
            <family val="2"/>
          </rPr>
          <t xml:space="preserve">
Chuyển mã ngạch từ 30/10/20</t>
        </r>
      </text>
    </comment>
    <comment ref="R124" authorId="4" shapeId="0">
      <text>
        <r>
          <rPr>
            <b/>
            <sz val="9"/>
            <color indexed="81"/>
            <rFont val="Tahoma"/>
            <family val="2"/>
          </rPr>
          <t>Admin:</t>
        </r>
        <r>
          <rPr>
            <sz val="9"/>
            <color indexed="81"/>
            <rFont val="Tahoma"/>
            <family val="2"/>
          </rPr>
          <t xml:space="preserve">
- HS 3,00 từ 01/9/2016
- HS 3,33 từ 01/9/2019
- HS 3,66 từ 01/9/2022</t>
        </r>
      </text>
    </comment>
    <comment ref="E125" authorId="3" shapeId="0">
      <text>
        <r>
          <rPr>
            <b/>
            <sz val="9"/>
            <color indexed="81"/>
            <rFont val="Tahoma"/>
            <family val="2"/>
          </rPr>
          <t>Quynh:</t>
        </r>
        <r>
          <rPr>
            <sz val="9"/>
            <color indexed="81"/>
            <rFont val="Tahoma"/>
            <family val="2"/>
          </rPr>
          <t xml:space="preserve">
- Nhân viên phòng Thanh tra GD - QHDN từ 01/03/2024</t>
        </r>
      </text>
    </comment>
    <comment ref="R125" authorId="1" shapeId="0">
      <text>
        <r>
          <rPr>
            <b/>
            <sz val="9"/>
            <color indexed="81"/>
            <rFont val="Tahoma"/>
            <family val="2"/>
          </rPr>
          <t>User:</t>
        </r>
        <r>
          <rPr>
            <sz val="9"/>
            <color indexed="81"/>
            <rFont val="Tahoma"/>
            <family val="2"/>
          </rPr>
          <t xml:space="preserve">
- HS 3.00 từ 01/01/2013 (NL trước hạn)
- HS 3.33 từ 01/01/2016
- HS 3,66 từ 01/01/2019
- HS 3,99 từ 01/01/2022</t>
        </r>
      </text>
    </comment>
    <comment ref="E126" authorId="3" shapeId="0">
      <text>
        <r>
          <rPr>
            <b/>
            <sz val="9"/>
            <color indexed="81"/>
            <rFont val="Tahoma"/>
            <family val="2"/>
          </rPr>
          <t>Quynh:</t>
        </r>
        <r>
          <rPr>
            <sz val="9"/>
            <color indexed="81"/>
            <rFont val="Tahoma"/>
            <family val="2"/>
          </rPr>
          <t xml:space="preserve">
- Nhân viên phòng Thanh tra GD - QHDN từ 01/03/2024</t>
        </r>
      </text>
    </comment>
    <comment ref="R126" authorId="1" shapeId="0">
      <text>
        <r>
          <rPr>
            <b/>
            <sz val="9"/>
            <color indexed="81"/>
            <rFont val="Tahoma"/>
            <family val="2"/>
          </rPr>
          <t>User:</t>
        </r>
        <r>
          <rPr>
            <sz val="9"/>
            <color indexed="81"/>
            <rFont val="Tahoma"/>
            <family val="2"/>
          </rPr>
          <t xml:space="preserve">
+ QĐ BN Chức danh nghề nghiệp từ 01/8/14
+ HS 3,00 từ 01/8/2017
+ HS 3,33 từ 01/8/2020
+ HS 3,66 từ 01/8/2023</t>
        </r>
      </text>
    </comment>
    <comment ref="E127" authorId="6" shapeId="0">
      <text>
        <r>
          <rPr>
            <b/>
            <sz val="9"/>
            <color indexed="81"/>
            <rFont val="Tahoma"/>
            <family val="2"/>
          </rPr>
          <t>user:</t>
        </r>
        <r>
          <rPr>
            <sz val="9"/>
            <color indexed="81"/>
            <rFont val="Tahoma"/>
            <family val="2"/>
          </rPr>
          <t xml:space="preserve">
Phó TP Khảo thí từ T4/2022</t>
        </r>
      </text>
    </comment>
    <comment ref="R127" authorId="1" shapeId="0">
      <text>
        <r>
          <rPr>
            <b/>
            <sz val="9"/>
            <color indexed="81"/>
            <rFont val="Tahoma"/>
            <family val="2"/>
          </rPr>
          <t>User:</t>
        </r>
        <r>
          <rPr>
            <sz val="9"/>
            <color indexed="81"/>
            <rFont val="Tahoma"/>
            <family val="2"/>
          </rPr>
          <t xml:space="preserve">
- HS 3,33 từ 01/10/2014 (Nâng lương trước hạn năm 2015)
- HS 3,99 từ 01/10/2019 (NL trước hạn)
- HS 4,32 từ 01/10/2022</t>
        </r>
      </text>
    </comment>
    <comment ref="W127" authorId="6" shapeId="0">
      <text>
        <r>
          <rPr>
            <b/>
            <sz val="8"/>
            <color indexed="81"/>
            <rFont val="Tahoma"/>
            <family val="2"/>
          </rPr>
          <t>user:</t>
        </r>
        <r>
          <rPr>
            <sz val="8"/>
            <color indexed="81"/>
            <rFont val="Tahoma"/>
            <family val="2"/>
          </rPr>
          <t xml:space="preserve">
QĐ Bổ nhiệm phó TP Kế toán từ 01/03/2012</t>
        </r>
      </text>
    </comment>
    <comment ref="R128" authorId="1" shapeId="0">
      <text>
        <r>
          <rPr>
            <b/>
            <sz val="9"/>
            <color indexed="81"/>
            <rFont val="Tahoma"/>
            <family val="2"/>
          </rPr>
          <t>User:</t>
        </r>
        <r>
          <rPr>
            <sz val="9"/>
            <color indexed="81"/>
            <rFont val="Tahoma"/>
            <family val="2"/>
          </rPr>
          <t xml:space="preserve">
- HS 2,34 từ 01/11/2011
- HS 2,67 từ 01/11/2014
- HS 3,00 từ 01/11/2017
- HS 3,33 từ 01/11/2020
- HS 3,66 từ 01/11/2022 (NL trước hạn)</t>
        </r>
      </text>
    </comment>
    <comment ref="D129" authorId="4" shapeId="0">
      <text>
        <r>
          <rPr>
            <b/>
            <sz val="9"/>
            <color indexed="81"/>
            <rFont val="Tahoma"/>
            <family val="2"/>
          </rPr>
          <t>Admin:</t>
        </r>
        <r>
          <rPr>
            <sz val="9"/>
            <color indexed="81"/>
            <rFont val="Tahoma"/>
            <family val="2"/>
          </rPr>
          <t xml:space="preserve">
Chuyển lên khối chuyên nghiệp từ 01/06/2016</t>
        </r>
      </text>
    </comment>
    <comment ref="R129" authorId="4" shapeId="0">
      <text>
        <r>
          <rPr>
            <b/>
            <sz val="9"/>
            <color indexed="81"/>
            <rFont val="Tahoma"/>
            <family val="2"/>
          </rPr>
          <t>Admin:</t>
        </r>
        <r>
          <rPr>
            <sz val="9"/>
            <color indexed="81"/>
            <rFont val="Tahoma"/>
            <family val="2"/>
          </rPr>
          <t xml:space="preserve">
- Hưởng từ 01/11/2011
- HS 2.41 từ 01/11/2014
- HS 2,72 từ 01/11/2017
- HS 3,03 từ 01/11/2020
- HS 3,33 từ 01/11/2020 (Thi nâng ngạch 1/6/21)
- HS 3,66 từ 01/11/2023</t>
        </r>
      </text>
    </comment>
    <comment ref="R130" authorId="6"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
+ HD 3,33 từ 01/7/2020 (Thi NG từ 01/6/21)
+ HS 3,66 từ 01/7/2023</t>
        </r>
      </text>
    </comment>
    <comment ref="R131" authorId="4" shapeId="0">
      <text>
        <r>
          <rPr>
            <b/>
            <sz val="9"/>
            <color indexed="81"/>
            <rFont val="Tahoma"/>
            <family val="2"/>
          </rPr>
          <t>Admin:</t>
        </r>
        <r>
          <rPr>
            <sz val="9"/>
            <color indexed="81"/>
            <rFont val="Tahoma"/>
            <family val="2"/>
          </rPr>
          <t xml:space="preserve">
- HS 3,33 từ 01/11/2016
- HS 3,99 từ 01/11/2018 (NL trước hạn)
- HS 4,32 từ 01/11/2021 
- HS 4,40 từ 23/11/2022 (NL từ 01/11/2021) - Thi nâng ngạch</t>
        </r>
      </text>
    </comment>
    <comment ref="W131" authorId="4"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X131" authorId="4" shapeId="0">
      <text>
        <r>
          <rPr>
            <b/>
            <sz val="9"/>
            <color indexed="81"/>
            <rFont val="Tahoma"/>
            <family val="2"/>
          </rPr>
          <t>Admin:</t>
        </r>
        <r>
          <rPr>
            <sz val="9"/>
            <color indexed="81"/>
            <rFont val="Tahoma"/>
            <family val="2"/>
          </rPr>
          <t xml:space="preserve">
- 12% từ 01/11/2016
- 13% từ 01/11/2017
- 14% từ 01/11/2018
- 15% từ 01/11/2019
- 16% từ 01/11/2020
- 17% từ 01/11/2021
- 18% từ 01/11/2022
- 19% từ 01/11/2023</t>
        </r>
      </text>
    </comment>
    <comment ref="R132" authorId="1" shapeId="0">
      <text>
        <r>
          <rPr>
            <b/>
            <sz val="9"/>
            <color indexed="81"/>
            <rFont val="Tahoma"/>
            <family val="2"/>
          </rPr>
          <t>User:</t>
        </r>
        <r>
          <rPr>
            <sz val="9"/>
            <color indexed="81"/>
            <rFont val="Tahoma"/>
            <family val="2"/>
          </rPr>
          <t xml:space="preserve">
+ HS 3,33 từ 01/01/2014
+ HS 3,66 từ 01/01/2017
+ HS 3,99 từ 01/01/2019 (NL trước hạn)
+ HS 4,32 từ 01/01/2022</t>
        </r>
      </text>
    </comment>
    <comment ref="W132" authorId="4"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E133" authorId="3" shapeId="0">
      <text>
        <r>
          <rPr>
            <b/>
            <sz val="9"/>
            <color indexed="81"/>
            <rFont val="Tahoma"/>
            <family val="2"/>
          </rPr>
          <t>Quynh:</t>
        </r>
        <r>
          <rPr>
            <sz val="9"/>
            <color indexed="81"/>
            <rFont val="Tahoma"/>
            <family val="2"/>
          </rPr>
          <t xml:space="preserve">
- Nhân viên phòng Quản trị - Dịch vụ từ 23/4/2019
- TT QHDN từ 01/10/2019</t>
        </r>
      </text>
    </comment>
    <comment ref="O133" authorId="0" shapeId="0">
      <text>
        <r>
          <rPr>
            <b/>
            <sz val="9"/>
            <color indexed="81"/>
            <rFont val="Tahoma"/>
            <family val="2"/>
          </rPr>
          <t>Windows User:</t>
        </r>
        <r>
          <rPr>
            <sz val="9"/>
            <color indexed="81"/>
            <rFont val="Tahoma"/>
            <family val="2"/>
          </rPr>
          <t xml:space="preserve">
- Chuyển đổi chức danh NN từ mã 15.113 sang mã 01.003 từ ngày 24/5/2023</t>
        </r>
      </text>
    </comment>
    <comment ref="R133" authorId="1" shapeId="0">
      <text>
        <r>
          <rPr>
            <b/>
            <sz val="9"/>
            <color indexed="81"/>
            <rFont val="Tahoma"/>
            <family val="2"/>
          </rPr>
          <t>User:</t>
        </r>
        <r>
          <rPr>
            <sz val="9"/>
            <color indexed="81"/>
            <rFont val="Tahoma"/>
            <family val="2"/>
          </rPr>
          <t xml:space="preserve">
+ HS 3,33 từ 01/9/2015
+ HS 3,66 từ 01/9/2018
+ HS 3,99 từ 01/9/2021
</t>
        </r>
      </text>
    </comment>
    <comment ref="X133" authorId="7"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R134" authorId="6" shapeId="0">
      <text>
        <r>
          <rPr>
            <sz val="8"/>
            <color indexed="81"/>
            <rFont val="Tahoma"/>
            <family val="2"/>
          </rPr>
          <t>Chuyển ngạch 15.111 từ 01/11/2012
- HS 2,67 từ 01/4/2014 (Nâng lương trước hạn năm 2015)
- HS 3,00 từ 01/04/2017
- HS 3,33 từ 01/04/2019 (NL trước hạn)
- HS 3,66 từ 01/04/2022</t>
        </r>
      </text>
    </comment>
    <comment ref="W134" authorId="8"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X134" authorId="3" shapeId="0">
      <text>
        <r>
          <rPr>
            <b/>
            <sz val="9"/>
            <color indexed="81"/>
            <rFont val="Tahoma"/>
            <family val="2"/>
          </rPr>
          <t>Quynh:</t>
        </r>
        <r>
          <rPr>
            <sz val="9"/>
            <color indexed="81"/>
            <rFont val="Tahoma"/>
            <family val="2"/>
          </rPr>
          <t xml:space="preserve">
- 6% từ 01/11/2018
- 7% từ 01/11/2019
- 8% từ 01/11/2020
- 9% từ 01/11/2021
- 10% từ 01/11/2022
- 11% từ 01/11/2023</t>
        </r>
      </text>
    </comment>
    <comment ref="AK134" authorId="6" shapeId="0">
      <text>
        <r>
          <rPr>
            <b/>
            <sz val="9"/>
            <color indexed="81"/>
            <rFont val="Tahoma"/>
            <family val="2"/>
          </rPr>
          <t>user:</t>
        </r>
        <r>
          <rPr>
            <sz val="9"/>
            <color indexed="81"/>
            <rFont val="Tahoma"/>
            <family val="2"/>
          </rPr>
          <t xml:space="preserve">
UV BCH Đảng bộ từ 13/4/2020</t>
        </r>
      </text>
    </comment>
    <comment ref="R135" authorId="6" shapeId="0">
      <text>
        <r>
          <rPr>
            <b/>
            <sz val="9"/>
            <color indexed="81"/>
            <rFont val="Tahoma"/>
            <family val="2"/>
          </rPr>
          <t>user:</t>
        </r>
        <r>
          <rPr>
            <sz val="9"/>
            <color indexed="81"/>
            <rFont val="Tahoma"/>
            <family val="2"/>
          </rPr>
          <t xml:space="preserve">
- HS 2,67 từ 01/11/2020
- HS 3,00 từ 01/11/2022 (NL trước hạn)</t>
        </r>
      </text>
    </comment>
    <comment ref="W135" authorId="0" shapeId="0">
      <text>
        <r>
          <rPr>
            <b/>
            <sz val="9"/>
            <color indexed="81"/>
            <rFont val="Tahoma"/>
            <family val="2"/>
          </rPr>
          <t>Windows User:</t>
        </r>
        <r>
          <rPr>
            <sz val="9"/>
            <color indexed="81"/>
            <rFont val="Tahoma"/>
            <family val="2"/>
          </rPr>
          <t xml:space="preserve">
- QĐ BN Phó Trưởng TT ĐH và QLDL từ 01/10/2023</t>
        </r>
      </text>
    </comment>
    <comment ref="X135" authorId="6" shapeId="0">
      <text>
        <r>
          <rPr>
            <b/>
            <sz val="9"/>
            <color indexed="81"/>
            <rFont val="Tahoma"/>
            <family val="2"/>
          </rPr>
          <t>user:</t>
        </r>
        <r>
          <rPr>
            <sz val="9"/>
            <color indexed="81"/>
            <rFont val="Tahoma"/>
            <family val="2"/>
          </rPr>
          <t xml:space="preserve">
- 14% từ 01/03/2021
- 15% từ 01/03/2022
- 16% từ 01/03/2023
- 17% từ 01/03/2024</t>
        </r>
      </text>
    </comment>
    <comment ref="R136" authorId="4" shapeId="0">
      <text>
        <r>
          <rPr>
            <b/>
            <sz val="9"/>
            <color indexed="81"/>
            <rFont val="Tahoma"/>
            <family val="2"/>
          </rPr>
          <t>Admin:</t>
        </r>
        <r>
          <rPr>
            <sz val="9"/>
            <color indexed="81"/>
            <rFont val="Tahoma"/>
            <family val="2"/>
          </rPr>
          <t xml:space="preserve">
- HS 2,46 từ 01/04/2015 (NL trước hạn)
- HS 2,66 từ 01/04/2017
- HS 2,86 từ 01/4/2019
- HS 3,06 từ 01/4/2021
- HS 3,26 từ 01/4/2023</t>
        </r>
      </text>
    </comment>
    <comment ref="R137" authorId="1" shapeId="0">
      <text>
        <r>
          <rPr>
            <b/>
            <sz val="9"/>
            <color indexed="81"/>
            <rFont val="Tahoma"/>
            <family val="2"/>
          </rPr>
          <t>User:</t>
        </r>
        <r>
          <rPr>
            <sz val="9"/>
            <color indexed="81"/>
            <rFont val="Tahoma"/>
            <family val="2"/>
          </rPr>
          <t xml:space="preserve">
+ HS 2,67 từ 01/12/2012
+ HS 3,00 từ 01/12/2015
+ HS 3,33 từ 01/12/2018
+ HS 3.66 từ 01/12/2021</t>
        </r>
      </text>
    </comment>
    <comment ref="E138" authorId="0" shapeId="0">
      <text>
        <r>
          <rPr>
            <b/>
            <sz val="9"/>
            <color indexed="81"/>
            <rFont val="Tahoma"/>
            <family val="2"/>
          </rPr>
          <t>Windows User:</t>
        </r>
        <r>
          <rPr>
            <sz val="9"/>
            <color indexed="81"/>
            <rFont val="Tahoma"/>
            <family val="2"/>
          </rPr>
          <t xml:space="preserve">
- Phó Trưởng khoa Kinh tế từ 01/10/2022</t>
        </r>
      </text>
    </comment>
    <comment ref="R138" authorId="4" shapeId="0">
      <text>
        <r>
          <rPr>
            <b/>
            <sz val="9"/>
            <color indexed="81"/>
            <rFont val="Tahoma"/>
            <family val="2"/>
          </rPr>
          <t>Admin:</t>
        </r>
        <r>
          <rPr>
            <sz val="9"/>
            <color indexed="81"/>
            <rFont val="Tahoma"/>
            <family val="2"/>
          </rPr>
          <t xml:space="preserve">
- HS 3,33 từ 01/9/2016 (NL trước hạn)
- HS 3,66 từ 01/9/2019
- HS 3,99 từ 01/9/2022</t>
        </r>
      </text>
    </comment>
    <comment ref="W138" authorId="3" shapeId="0">
      <text>
        <r>
          <rPr>
            <b/>
            <sz val="9"/>
            <color indexed="81"/>
            <rFont val="Tahoma"/>
            <family val="2"/>
          </rPr>
          <t>Quynh:</t>
        </r>
        <r>
          <rPr>
            <sz val="9"/>
            <color indexed="81"/>
            <rFont val="Tahoma"/>
            <family val="2"/>
          </rPr>
          <t xml:space="preserve">
- BN Trưởng BM QT-KD từ 01/01/2019
- QĐ BN Phó Trưởng phòng QT-DV từ ngày 01/10/2020
- QĐ BN Trưởng khoa Kinh tế từ 01/10/2023</t>
        </r>
      </text>
    </comment>
    <comment ref="X138" authorId="4" shapeId="0">
      <text>
        <r>
          <rPr>
            <b/>
            <sz val="9"/>
            <color indexed="81"/>
            <rFont val="Tahoma"/>
            <family val="2"/>
          </rPr>
          <t>Admin:</t>
        </r>
        <r>
          <rPr>
            <sz val="9"/>
            <color indexed="81"/>
            <rFont val="Tahoma"/>
            <family val="2"/>
          </rPr>
          <t xml:space="preserve">
- 9% từ 01/03/2016
- 10% từ 01/03/2017
- 11% từ 01/03/2018
- 12% từ 01/03/2019
- 13% từ 01/03/2020
- 14% từ 01/03/2021
- 15% từ 01/03/2022
- 16% từ 01/03/2023
- 17% từ 01/03/2024</t>
        </r>
      </text>
    </comment>
    <comment ref="R139" authorId="6" shapeId="0">
      <text>
        <r>
          <rPr>
            <b/>
            <sz val="9"/>
            <color indexed="81"/>
            <rFont val="Tahoma"/>
            <family val="2"/>
          </rPr>
          <t>user:</t>
        </r>
        <r>
          <rPr>
            <sz val="9"/>
            <color indexed="81"/>
            <rFont val="Tahoma"/>
            <family val="2"/>
          </rPr>
          <t xml:space="preserve">
- HS 3,00 từ 01/12/2020
- HS 3,33 từ 01/12/2023</t>
        </r>
      </text>
    </comment>
    <comment ref="R140" authorId="1" shapeId="0">
      <text>
        <r>
          <rPr>
            <b/>
            <sz val="9"/>
            <color indexed="81"/>
            <rFont val="Tahoma"/>
            <family val="2"/>
          </rPr>
          <t>User:</t>
        </r>
        <r>
          <rPr>
            <sz val="9"/>
            <color indexed="81"/>
            <rFont val="Tahoma"/>
            <family val="2"/>
          </rPr>
          <t xml:space="preserve">
- QĐ BN Chứcdanh NN 2,34 từ 01/4/2014
- HS 2,67 từ 01/4/2016
- HS 3,00 từ 01/4/2019
- HS 3,33 từ 01/4/2022</t>
        </r>
      </text>
    </comment>
    <comment ref="R141" authorId="4" shapeId="0">
      <text>
        <r>
          <rPr>
            <b/>
            <sz val="9"/>
            <color indexed="81"/>
            <rFont val="Tahoma"/>
            <family val="2"/>
          </rPr>
          <t>Admin:</t>
        </r>
        <r>
          <rPr>
            <sz val="9"/>
            <color indexed="81"/>
            <rFont val="Tahoma"/>
            <family val="2"/>
          </rPr>
          <t xml:space="preserve">
- HS 2.66 từ 01/4/2016
- HS 2,86 từ 01/04/2018
- HS 3,06 từ 01/04/2020
- HS 3,26 từ 01/04/2022
- HS 3,34 từ 01/04/2023 (Chuyển xếp lương) Mốc nâng lương từ 01/01/2022</t>
        </r>
      </text>
    </comment>
    <comment ref="R142" authorId="6" shapeId="0">
      <text>
        <r>
          <rPr>
            <b/>
            <sz val="9"/>
            <color indexed="81"/>
            <rFont val="Tahoma"/>
            <family val="2"/>
          </rPr>
          <t>user:</t>
        </r>
        <r>
          <rPr>
            <sz val="9"/>
            <color indexed="81"/>
            <rFont val="Tahoma"/>
            <family val="2"/>
          </rPr>
          <t xml:space="preserve">
- HS 3,33 từ 01/02/2020
- HS 3,66 từ 01/02/2022 (NL trước hạn)</t>
        </r>
      </text>
    </comment>
    <comment ref="W142" authorId="3" shapeId="0">
      <text>
        <r>
          <rPr>
            <b/>
            <sz val="9"/>
            <color indexed="81"/>
            <rFont val="Tahoma"/>
            <family val="2"/>
          </rPr>
          <t>Quynh:</t>
        </r>
        <r>
          <rPr>
            <sz val="9"/>
            <color indexed="81"/>
            <rFont val="Tahoma"/>
            <family val="2"/>
          </rPr>
          <t xml:space="preserve">
- Bổ nhiệm Phó Trưởng khoa từ 01/5/2019
- QĐ Bổ nhiện Trưởng khoa từ 01/5/2023</t>
        </r>
      </text>
    </comment>
    <comment ref="X142" authorId="6" shapeId="0">
      <text>
        <r>
          <rPr>
            <b/>
            <sz val="9"/>
            <color indexed="81"/>
            <rFont val="Tahoma"/>
            <family val="2"/>
          </rPr>
          <t>user:</t>
        </r>
        <r>
          <rPr>
            <sz val="9"/>
            <color indexed="81"/>
            <rFont val="Tahoma"/>
            <family val="2"/>
          </rPr>
          <t xml:space="preserve">
+ 8% từ 01/02/2019
+ 9% từ 01/02/2020
+ 10% từ 01/02/2021
+ 11% từ 01/02/2022
+ 12% từ 01/02/2023
+ 13% từ 01/02/2024</t>
        </r>
      </text>
    </comment>
    <comment ref="R143" authorId="6" shapeId="0">
      <text>
        <r>
          <rPr>
            <b/>
            <sz val="9"/>
            <color indexed="81"/>
            <rFont val="Tahoma"/>
            <family val="2"/>
          </rPr>
          <t>user:</t>
        </r>
        <r>
          <rPr>
            <sz val="9"/>
            <color indexed="81"/>
            <rFont val="Tahoma"/>
            <family val="2"/>
          </rPr>
          <t xml:space="preserve">
- HS 2,67 từ 01/5/2021</t>
        </r>
      </text>
    </comment>
    <comment ref="R144" authorId="2" shapeId="0">
      <text>
        <r>
          <rPr>
            <b/>
            <sz val="9"/>
            <color indexed="81"/>
            <rFont val="Tahoma"/>
            <family val="2"/>
          </rPr>
          <t>huynh-panda:</t>
        </r>
        <r>
          <rPr>
            <sz val="9"/>
            <color indexed="81"/>
            <rFont val="Tahoma"/>
            <family val="2"/>
          </rPr>
          <t xml:space="preserve">
- HS 2,34 từ 01/4/2022</t>
        </r>
      </text>
    </comment>
    <comment ref="R145" authorId="4" shapeId="0">
      <text>
        <r>
          <rPr>
            <b/>
            <sz val="9"/>
            <color indexed="81"/>
            <rFont val="Tahoma"/>
            <family val="2"/>
          </rPr>
          <t>Admin:</t>
        </r>
        <r>
          <rPr>
            <sz val="9"/>
            <color indexed="81"/>
            <rFont val="Tahoma"/>
            <family val="2"/>
          </rPr>
          <t xml:space="preserve">
'- HS 3,00 từ 01/12/16
- HS 3,33 từ 01/12/2019
- HS 3,66 từ 01/12/2021 (NL trước hạn)</t>
        </r>
      </text>
    </comment>
    <comment ref="W145" authorId="3" shapeId="0">
      <text>
        <r>
          <rPr>
            <b/>
            <sz val="9"/>
            <color indexed="81"/>
            <rFont val="Tahoma"/>
            <family val="2"/>
          </rPr>
          <t>Quynh:</t>
        </r>
        <r>
          <rPr>
            <sz val="9"/>
            <color indexed="81"/>
            <rFont val="Tahoma"/>
            <family val="2"/>
          </rPr>
          <t xml:space="preserve">
- BN Trưởng bộ môn Kế toán - Tài chính từ 01/01/2019
- BN Phó Trưởng khoa Kinh tế từ 01/10/2022</t>
        </r>
      </text>
    </comment>
    <comment ref="X145" authorId="4" shapeId="0">
      <text>
        <r>
          <rPr>
            <b/>
            <sz val="9"/>
            <color indexed="81"/>
            <rFont val="Tahoma"/>
            <family val="2"/>
          </rPr>
          <t>Admin:</t>
        </r>
        <r>
          <rPr>
            <sz val="9"/>
            <color indexed="81"/>
            <rFont val="Tahoma"/>
            <family val="2"/>
          </rPr>
          <t xml:space="preserve">
- 6% từ 01/12/2016
- 7% từ 01/12/2017
- 8% từ 01/12/2018
- 9% từ 01/12/2019
- 10% từ 01/12/2020
- 11% từ 01/12/2021
- 12% từ 01/12/2022
- 13% từ 01/12/2023</t>
        </r>
      </text>
    </comment>
    <comment ref="D146" authorId="2" shapeId="0">
      <text>
        <r>
          <rPr>
            <b/>
            <sz val="9"/>
            <color indexed="81"/>
            <rFont val="Tahoma"/>
            <family val="2"/>
          </rPr>
          <t>huynh-panda:</t>
        </r>
        <r>
          <rPr>
            <sz val="9"/>
            <color indexed="81"/>
            <rFont val="Tahoma"/>
            <family val="2"/>
          </rPr>
          <t xml:space="preserve">
- Thuyên chuyển từ Trg CĐ Kinh tế kỹ thuật về từ ngày 01/10/2022</t>
        </r>
      </text>
    </comment>
    <comment ref="X146" authorId="0" shapeId="0">
      <text>
        <r>
          <rPr>
            <b/>
            <sz val="9"/>
            <color indexed="81"/>
            <rFont val="Tahoma"/>
            <family val="2"/>
          </rPr>
          <t>Windows User:</t>
        </r>
        <r>
          <rPr>
            <sz val="9"/>
            <color indexed="81"/>
            <rFont val="Tahoma"/>
            <family val="2"/>
          </rPr>
          <t xml:space="preserve">
- 11% từ 01/9/2023</t>
        </r>
      </text>
    </comment>
    <comment ref="D147" authorId="0" shapeId="0">
      <text>
        <r>
          <rPr>
            <b/>
            <sz val="9"/>
            <color indexed="81"/>
            <rFont val="Tahoma"/>
            <family val="2"/>
          </rPr>
          <t>Windows User:</t>
        </r>
        <r>
          <rPr>
            <sz val="9"/>
            <color indexed="81"/>
            <rFont val="Tahoma"/>
            <family val="2"/>
          </rPr>
          <t xml:space="preserve">
- Chuyển từ Trường ĐH GTVT về trường ngày 01/10/2023</t>
        </r>
      </text>
    </comment>
    <comment ref="R147" authorId="0" shapeId="0">
      <text>
        <r>
          <rPr>
            <b/>
            <sz val="9"/>
            <color indexed="81"/>
            <rFont val="Tahoma"/>
            <family val="2"/>
          </rPr>
          <t>Windows User:</t>
        </r>
        <r>
          <rPr>
            <sz val="9"/>
            <color indexed="81"/>
            <rFont val="Tahoma"/>
            <family val="2"/>
          </rPr>
          <t xml:space="preserve">
- HS 3,66 từ 09/11/2022</t>
        </r>
      </text>
    </comment>
    <comment ref="R148" authorId="4" shapeId="0">
      <text>
        <r>
          <rPr>
            <b/>
            <sz val="9"/>
            <color indexed="81"/>
            <rFont val="Tahoma"/>
            <family val="2"/>
          </rPr>
          <t>Admin:</t>
        </r>
        <r>
          <rPr>
            <sz val="9"/>
            <color indexed="81"/>
            <rFont val="Tahoma"/>
            <family val="2"/>
          </rPr>
          <t xml:space="preserve">
- HS 2,67 từ 01/09/2016
- HS 3,00 từ 01/09/2019
- HS 3,33 từ 01/09/2022</t>
        </r>
      </text>
    </comment>
    <comment ref="X148" authorId="6" shapeId="0">
      <text>
        <r>
          <rPr>
            <b/>
            <sz val="9"/>
            <color indexed="81"/>
            <rFont val="Tahoma"/>
            <family val="2"/>
          </rPr>
          <t>user:</t>
        </r>
        <r>
          <rPr>
            <sz val="9"/>
            <color indexed="81"/>
            <rFont val="Tahoma"/>
            <family val="2"/>
          </rPr>
          <t xml:space="preserve">
- 5% từ 01/9/2021
- 6% từ 01/9/2022
- 7% từ 01/9/2023</t>
        </r>
      </text>
    </comment>
    <comment ref="R149" authorId="4" shapeId="0">
      <text>
        <r>
          <rPr>
            <b/>
            <sz val="9"/>
            <color indexed="81"/>
            <rFont val="Tahoma"/>
            <family val="2"/>
          </rPr>
          <t>Admin:</t>
        </r>
        <r>
          <rPr>
            <sz val="9"/>
            <color indexed="81"/>
            <rFont val="Tahoma"/>
            <family val="2"/>
          </rPr>
          <t xml:space="preserve">
- HS 3,00 từ 01/9/2016
- HS 3,33 từ 01/9/2019
- HS 3,66 từ 01/9/2022</t>
        </r>
      </text>
    </comment>
    <comment ref="X149" authorId="4" shapeId="0">
      <text>
        <r>
          <rPr>
            <b/>
            <sz val="9"/>
            <color indexed="81"/>
            <rFont val="Tahoma"/>
            <family val="2"/>
          </rPr>
          <t>Admin:</t>
        </r>
        <r>
          <rPr>
            <sz val="9"/>
            <color indexed="81"/>
            <rFont val="Tahoma"/>
            <family val="2"/>
          </rPr>
          <t xml:space="preserve">
- 10% từ 01/03/2016
- 11% từ 01/03/2017
- 12% từ 01/03/2018
- 13% từ 01/03/2019
- 14% từ 01/03/2020
- 15% từ 01/03/2021
- 16% từ 01/03/2022
- 17% từ 01/03/2023
- 18% từ 01/03/2024</t>
        </r>
      </text>
    </comment>
    <comment ref="R150" authorId="6" shapeId="0">
      <text>
        <r>
          <rPr>
            <b/>
            <sz val="9"/>
            <color indexed="81"/>
            <rFont val="Tahoma"/>
            <family val="2"/>
          </rPr>
          <t>user:</t>
        </r>
        <r>
          <rPr>
            <sz val="9"/>
            <color indexed="81"/>
            <rFont val="Tahoma"/>
            <family val="2"/>
          </rPr>
          <t xml:space="preserve">
- HS 2,67 từ 01/11/2020
- HS 3,00 từ 01/11/2022 (NL trước hạn)</t>
        </r>
      </text>
    </comment>
    <comment ref="R151" authorId="6" shapeId="0">
      <text>
        <r>
          <rPr>
            <b/>
            <sz val="9"/>
            <color indexed="81"/>
            <rFont val="Tahoma"/>
            <family val="2"/>
          </rPr>
          <t>user:</t>
        </r>
        <r>
          <rPr>
            <sz val="9"/>
            <color indexed="81"/>
            <rFont val="Tahoma"/>
            <family val="2"/>
          </rPr>
          <t xml:space="preserve">
- HS 3,00 từ 01/10/2021</t>
        </r>
      </text>
    </comment>
    <comment ref="X151" authorId="0" shapeId="0">
      <text>
        <r>
          <rPr>
            <b/>
            <sz val="9"/>
            <color indexed="81"/>
            <rFont val="Tahoma"/>
            <family val="2"/>
          </rPr>
          <t>Windows User:</t>
        </r>
        <r>
          <rPr>
            <sz val="9"/>
            <color indexed="81"/>
            <rFont val="Tahoma"/>
            <family val="2"/>
          </rPr>
          <t xml:space="preserve">
- 5% từ 01/10/2023</t>
        </r>
      </text>
    </comment>
    <comment ref="R152" authorId="6" shapeId="0">
      <text>
        <r>
          <rPr>
            <b/>
            <sz val="9"/>
            <color indexed="81"/>
            <rFont val="Tahoma"/>
            <family val="2"/>
          </rPr>
          <t>user:</t>
        </r>
        <r>
          <rPr>
            <sz val="9"/>
            <color indexed="81"/>
            <rFont val="Tahoma"/>
            <family val="2"/>
          </rPr>
          <t xml:space="preserve">
- HS 3,00 từ 01/10/2021</t>
        </r>
      </text>
    </comment>
    <comment ref="X152" authorId="0" shapeId="0">
      <text>
        <r>
          <rPr>
            <b/>
            <sz val="9"/>
            <color indexed="81"/>
            <rFont val="Tahoma"/>
            <family val="2"/>
          </rPr>
          <t>Windows User:</t>
        </r>
        <r>
          <rPr>
            <sz val="9"/>
            <color indexed="81"/>
            <rFont val="Tahoma"/>
            <family val="2"/>
          </rPr>
          <t xml:space="preserve">
- 5% từ 01/10/2023</t>
        </r>
      </text>
    </comment>
    <comment ref="R153" authorId="6" shapeId="0">
      <text>
        <r>
          <rPr>
            <b/>
            <sz val="9"/>
            <color indexed="81"/>
            <rFont val="Tahoma"/>
            <family val="2"/>
          </rPr>
          <t>user:</t>
        </r>
        <r>
          <rPr>
            <sz val="9"/>
            <color indexed="81"/>
            <rFont val="Tahoma"/>
            <family val="2"/>
          </rPr>
          <t xml:space="preserve">
- BN CDNN từ 01/10/2019 (HS 2,67)
- HS 3,00 từ 01/10/2022</t>
        </r>
      </text>
    </comment>
    <comment ref="R154" authorId="0" shapeId="0">
      <text>
        <r>
          <rPr>
            <b/>
            <sz val="9"/>
            <color indexed="81"/>
            <rFont val="Tahoma"/>
            <family val="2"/>
          </rPr>
          <t>Windows User:</t>
        </r>
        <r>
          <rPr>
            <sz val="9"/>
            <color indexed="81"/>
            <rFont val="Tahoma"/>
            <family val="2"/>
          </rPr>
          <t xml:space="preserve">
- HS 2,67 từ 01/10/2022 (TD viên chức). Mốc NL từ 01/11/2019
- HS 3,00 từ 01/11/2022</t>
        </r>
      </text>
    </comment>
    <comment ref="R155" authorId="0" shapeId="0">
      <text>
        <r>
          <rPr>
            <b/>
            <sz val="9"/>
            <color indexed="81"/>
            <rFont val="Tahoma"/>
            <family val="2"/>
          </rPr>
          <t>Windows User:</t>
        </r>
        <r>
          <rPr>
            <sz val="9"/>
            <color indexed="81"/>
            <rFont val="Tahoma"/>
            <family val="2"/>
          </rPr>
          <t xml:space="preserve">
- HS 2,34 từ 01/7/2023</t>
        </r>
      </text>
    </comment>
    <comment ref="R156" authorId="6" shapeId="0">
      <text>
        <r>
          <rPr>
            <b/>
            <sz val="9"/>
            <color indexed="81"/>
            <rFont val="Tahoma"/>
            <family val="2"/>
          </rPr>
          <t>user:</t>
        </r>
        <r>
          <rPr>
            <sz val="9"/>
            <color indexed="81"/>
            <rFont val="Tahoma"/>
            <family val="2"/>
          </rPr>
          <t xml:space="preserve">
- HS 2,34 từ 01/5/2021
- HS 2,67 từ 01/5/2023 (NL trước hạn)</t>
        </r>
      </text>
    </comment>
    <comment ref="W156" authorId="0" shapeId="0">
      <text>
        <r>
          <rPr>
            <b/>
            <sz val="9"/>
            <color indexed="81"/>
            <rFont val="Tahoma"/>
            <family val="2"/>
          </rPr>
          <t>Windows User:</t>
        </r>
        <r>
          <rPr>
            <sz val="9"/>
            <color indexed="81"/>
            <rFont val="Tahoma"/>
            <family val="2"/>
          </rPr>
          <t xml:space="preserve">
Trưởng khoa DL - Khách sạn từ 01/12/2023</t>
        </r>
      </text>
    </comment>
    <comment ref="R157" authorId="6" shapeId="0">
      <text>
        <r>
          <rPr>
            <b/>
            <sz val="9"/>
            <color indexed="81"/>
            <rFont val="Tahoma"/>
            <family val="2"/>
          </rPr>
          <t>user:</t>
        </r>
        <r>
          <rPr>
            <sz val="9"/>
            <color indexed="81"/>
            <rFont val="Tahoma"/>
            <family val="2"/>
          </rPr>
          <t xml:space="preserve">
- HS 3,33 từ 01/01/2020 (Nâng lương trước hạn)
- HS 3,66 từ 01/01/2023</t>
        </r>
      </text>
    </comment>
    <comment ref="W157" authorId="3" shapeId="0">
      <text>
        <r>
          <rPr>
            <b/>
            <sz val="9"/>
            <color indexed="81"/>
            <rFont val="Tahoma"/>
            <family val="2"/>
          </rPr>
          <t>Quynh:</t>
        </r>
        <r>
          <rPr>
            <sz val="9"/>
            <color indexed="81"/>
            <rFont val="Tahoma"/>
            <family val="2"/>
          </rPr>
          <t xml:space="preserve">
BN Trưởng BM Cơ sở ngành từ 01/01/2019</t>
        </r>
      </text>
    </comment>
    <comment ref="X157" authorId="4" shapeId="0">
      <text>
        <r>
          <rPr>
            <b/>
            <sz val="9"/>
            <color indexed="81"/>
            <rFont val="Tahoma"/>
            <family val="2"/>
          </rPr>
          <t>Admin:</t>
        </r>
        <r>
          <rPr>
            <sz val="9"/>
            <color indexed="81"/>
            <rFont val="Tahoma"/>
            <family val="2"/>
          </rPr>
          <t xml:space="preserve">
- 5% từ 01/12/2015
- 6% từ 01/12/2016
- 7% từ 01/12/2017
- 8% từ 01/12/2018
- 9% từ 01/12/2019
- 10% từ 01/12/2020
- 11% từ 01/12/2021
- 12% từ 01/12/2022</t>
        </r>
      </text>
    </comment>
    <comment ref="R158" authorId="2" shapeId="0">
      <text>
        <r>
          <rPr>
            <b/>
            <sz val="9"/>
            <color indexed="81"/>
            <rFont val="Tahoma"/>
            <family val="2"/>
          </rPr>
          <t>huynh-panda:</t>
        </r>
        <r>
          <rPr>
            <sz val="9"/>
            <color indexed="81"/>
            <rFont val="Tahoma"/>
            <family val="2"/>
          </rPr>
          <t xml:space="preserve">
- HS 2,34 từ 01/5/2022</t>
        </r>
      </text>
    </comment>
    <comment ref="AG158" authorId="0" shapeId="0">
      <text>
        <r>
          <rPr>
            <b/>
            <sz val="9"/>
            <color indexed="81"/>
            <rFont val="Tahoma"/>
            <family val="2"/>
          </rPr>
          <t>Windows User:</t>
        </r>
        <r>
          <rPr>
            <sz val="9"/>
            <color indexed="81"/>
            <rFont val="Tahoma"/>
            <family val="2"/>
          </rPr>
          <t xml:space="preserve">
Học tập ở nước ngoài nên ko tham gia BHYT
</t>
        </r>
      </text>
    </comment>
    <comment ref="R159" authorId="2" shapeId="0">
      <text>
        <r>
          <rPr>
            <b/>
            <sz val="9"/>
            <color indexed="81"/>
            <rFont val="Tahoma"/>
            <family val="2"/>
          </rPr>
          <t>huynh-panda:</t>
        </r>
        <r>
          <rPr>
            <sz val="9"/>
            <color indexed="81"/>
            <rFont val="Tahoma"/>
            <family val="2"/>
          </rPr>
          <t xml:space="preserve">
- HS 2,34 từ 01/4/2022</t>
        </r>
      </text>
    </comment>
    <comment ref="R160" authorId="0" shapeId="0">
      <text>
        <r>
          <rPr>
            <b/>
            <sz val="9"/>
            <color indexed="81"/>
            <rFont val="Tahoma"/>
            <family val="2"/>
          </rPr>
          <t>Windows User:</t>
        </r>
        <r>
          <rPr>
            <sz val="9"/>
            <color indexed="81"/>
            <rFont val="Tahoma"/>
            <family val="2"/>
          </rPr>
          <t xml:space="preserve">
- HS: 3,33 từ 01/03/2022</t>
        </r>
      </text>
    </comment>
    <comment ref="X160" authorId="0" shapeId="0">
      <text>
        <r>
          <rPr>
            <b/>
            <sz val="9"/>
            <color indexed="81"/>
            <rFont val="Tahoma"/>
            <family val="2"/>
          </rPr>
          <t>Windows User:</t>
        </r>
        <r>
          <rPr>
            <sz val="9"/>
            <color indexed="81"/>
            <rFont val="Tahoma"/>
            <family val="2"/>
          </rPr>
          <t xml:space="preserve">
- 10% từ 01/03/2023
- 11% từ 01/03/2024</t>
        </r>
      </text>
    </comment>
    <comment ref="R161" authorId="4" shapeId="0">
      <text>
        <r>
          <rPr>
            <b/>
            <sz val="9"/>
            <color indexed="81"/>
            <rFont val="Tahoma"/>
            <family val="2"/>
          </rPr>
          <t>Admin:</t>
        </r>
        <r>
          <rPr>
            <sz val="9"/>
            <color indexed="81"/>
            <rFont val="Tahoma"/>
            <family val="2"/>
          </rPr>
          <t xml:space="preserve">
- HS 2,34 từ 01/09/2016
- HS 2,67 từ 01/09/2019
- HS 3,00 từ 01/09/2022</t>
        </r>
      </text>
    </comment>
    <comment ref="X161" authorId="6" shapeId="0">
      <text>
        <r>
          <rPr>
            <b/>
            <sz val="9"/>
            <color indexed="81"/>
            <rFont val="Tahoma"/>
            <family val="2"/>
          </rPr>
          <t>user:</t>
        </r>
        <r>
          <rPr>
            <sz val="9"/>
            <color indexed="81"/>
            <rFont val="Tahoma"/>
            <family val="2"/>
          </rPr>
          <t xml:space="preserve">
- 5% từ 01/9/2021
- 6% từ 01/9/2022
- 7% từ 01/9/2023</t>
        </r>
      </text>
    </comment>
    <comment ref="R162" authorId="4" shapeId="0">
      <text>
        <r>
          <rPr>
            <b/>
            <sz val="9"/>
            <color indexed="81"/>
            <rFont val="Tahoma"/>
            <family val="2"/>
          </rPr>
          <t>Admin:</t>
        </r>
        <r>
          <rPr>
            <sz val="9"/>
            <color indexed="81"/>
            <rFont val="Tahoma"/>
            <family val="2"/>
          </rPr>
          <t xml:space="preserve">
- HS 2,67 từ 01/9/2016
- HS 3,00 từ 01/9/2019
- HS 3,33 từ 01/9/2022</t>
        </r>
      </text>
    </comment>
    <comment ref="W162" authorId="6" shapeId="0">
      <text>
        <r>
          <rPr>
            <b/>
            <sz val="9"/>
            <color indexed="81"/>
            <rFont val="Tahoma"/>
            <family val="2"/>
          </rPr>
          <t>user:</t>
        </r>
        <r>
          <rPr>
            <sz val="9"/>
            <color indexed="81"/>
            <rFont val="Tahoma"/>
            <family val="2"/>
          </rPr>
          <t xml:space="preserve">
- QĐ Bổ nhiệm Trưởng khoa CN May từ 01/11/2020</t>
        </r>
      </text>
    </comment>
    <comment ref="X162"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3" authorId="4" shapeId="0">
      <text>
        <r>
          <rPr>
            <b/>
            <sz val="9"/>
            <color indexed="81"/>
            <rFont val="Tahoma"/>
            <family val="2"/>
          </rPr>
          <t>Admin:</t>
        </r>
        <r>
          <rPr>
            <sz val="9"/>
            <color indexed="81"/>
            <rFont val="Tahoma"/>
            <family val="2"/>
          </rPr>
          <t xml:space="preserve">
- HS 3,00 từ 01/9/2016
- HS 3,33 từ 01/9/2019
- HS 3,66 từ 01/9/2022</t>
        </r>
      </text>
    </comment>
    <comment ref="W163" authorId="6"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X16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64" authorId="4" shapeId="0">
      <text>
        <r>
          <rPr>
            <b/>
            <sz val="9"/>
            <color indexed="81"/>
            <rFont val="Tahoma"/>
            <family val="2"/>
          </rPr>
          <t>Admin:</t>
        </r>
        <r>
          <rPr>
            <sz val="9"/>
            <color indexed="81"/>
            <rFont val="Tahoma"/>
            <family val="2"/>
          </rPr>
          <t xml:space="preserve">
- HS 3,00 từ 01/4/2016 (NL trước hạn)
- HS 3,33 từ 01/4/2019
- HS 3,66 từ 01/4/2022
</t>
        </r>
      </text>
    </comment>
    <comment ref="X164" authorId="1" shapeId="0">
      <text>
        <r>
          <rPr>
            <b/>
            <sz val="9"/>
            <color indexed="81"/>
            <rFont val="Tahoma"/>
            <family val="2"/>
          </rPr>
          <t>User:</t>
        </r>
        <r>
          <rPr>
            <sz val="9"/>
            <color indexed="81"/>
            <rFont val="Tahoma"/>
            <family val="2"/>
          </rPr>
          <t xml:space="preserve">
+ 5% từ 01/04/2016
+ 6% từ 01/04/2017
+ 7% từ 01/4/218
+ 8% từ 01/4/2019
+ 9% từ 01/4/2020
+ 10% từ 01/4/2021
+ 11% từ 01/4/2022
+ 12% từ 01/4/2023
+ 13% từ 01/4/2024</t>
        </r>
      </text>
    </comment>
    <comment ref="R165" authorId="4" shapeId="0">
      <text>
        <r>
          <rPr>
            <b/>
            <sz val="9"/>
            <color indexed="81"/>
            <rFont val="Tahoma"/>
            <family val="2"/>
          </rPr>
          <t>Admin:</t>
        </r>
        <r>
          <rPr>
            <sz val="9"/>
            <color indexed="81"/>
            <rFont val="Tahoma"/>
            <family val="2"/>
          </rPr>
          <t xml:space="preserve">
- HS 2,67 từ 01/9/2016
- HS 3,00 từ 01/9/2019
- HS 3,33 từ 01/9/2022</t>
        </r>
      </text>
    </comment>
    <comment ref="X165"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6" authorId="6" shapeId="0">
      <text>
        <r>
          <rPr>
            <b/>
            <sz val="9"/>
            <color indexed="81"/>
            <rFont val="Tahoma"/>
            <family val="2"/>
          </rPr>
          <t>user:</t>
        </r>
        <r>
          <rPr>
            <sz val="9"/>
            <color indexed="81"/>
            <rFont val="Tahoma"/>
            <family val="2"/>
          </rPr>
          <t xml:space="preserve">
- HS 3,00 từ 01/12/2020
- HS 3,33 từ 01/12/2022 (NL Trước hạn)</t>
        </r>
      </text>
    </comment>
    <comment ref="X166" authorId="6" shapeId="0">
      <text>
        <r>
          <rPr>
            <b/>
            <sz val="9"/>
            <color indexed="81"/>
            <rFont val="Tahoma"/>
            <family val="2"/>
          </rPr>
          <t>user:</t>
        </r>
        <r>
          <rPr>
            <sz val="9"/>
            <color indexed="81"/>
            <rFont val="Tahoma"/>
            <family val="2"/>
          </rPr>
          <t xml:space="preserve">
- Hưởng 5% từ 01/7/2020
- 6% từ 01/7/2021
- 7% từ 01/7/2022
- 8% từ 01/7/2023</t>
        </r>
      </text>
    </comment>
    <comment ref="R167" authorId="6" shapeId="0">
      <text>
        <r>
          <rPr>
            <b/>
            <sz val="9"/>
            <color indexed="81"/>
            <rFont val="Tahoma"/>
            <family val="2"/>
          </rPr>
          <t>user:</t>
        </r>
        <r>
          <rPr>
            <sz val="9"/>
            <color indexed="81"/>
            <rFont val="Tahoma"/>
            <family val="2"/>
          </rPr>
          <t xml:space="preserve">
- HS 3,00 từ 01/10/2021
- HS 3,33 từ 01/10/2023 (NL trước hạn)</t>
        </r>
      </text>
    </comment>
    <comment ref="X167" authorId="0" shapeId="0">
      <text>
        <r>
          <rPr>
            <b/>
            <sz val="9"/>
            <color indexed="81"/>
            <rFont val="Tahoma"/>
            <family val="2"/>
          </rPr>
          <t>Windows User:</t>
        </r>
        <r>
          <rPr>
            <sz val="9"/>
            <color indexed="81"/>
            <rFont val="Tahoma"/>
            <family val="2"/>
          </rPr>
          <t xml:space="preserve">
- 5% từ 01/10/2023</t>
        </r>
      </text>
    </comment>
    <comment ref="R168" authorId="6" shapeId="0">
      <text>
        <r>
          <rPr>
            <b/>
            <sz val="9"/>
            <color indexed="81"/>
            <rFont val="Tahoma"/>
            <family val="2"/>
          </rPr>
          <t>user:</t>
        </r>
        <r>
          <rPr>
            <sz val="9"/>
            <color indexed="81"/>
            <rFont val="Tahoma"/>
            <family val="2"/>
          </rPr>
          <t xml:space="preserve">
- BN CDNN từ 01/10/2019 (HS 2,67)
- HS 3,00 từ 01/10/2022</t>
        </r>
      </text>
    </comment>
    <comment ref="R169" authorId="4"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X169" authorId="6" shapeId="0">
      <text>
        <r>
          <rPr>
            <b/>
            <sz val="9"/>
            <color indexed="81"/>
            <rFont val="Tahoma"/>
            <family val="2"/>
          </rPr>
          <t>user:</t>
        </r>
        <r>
          <rPr>
            <sz val="9"/>
            <color indexed="81"/>
            <rFont val="Tahoma"/>
            <family val="2"/>
          </rPr>
          <t xml:space="preserve">
- 6% từ 01/10/2019
- 7% từ 01/10/2020
- 8% từ 01/10/2021
- 9% từ 01/10/2022
- 10% từ 01/10/2023</t>
        </r>
      </text>
    </comment>
    <comment ref="R170" authorId="1" shapeId="0">
      <text>
        <r>
          <rPr>
            <b/>
            <sz val="9"/>
            <color indexed="81"/>
            <rFont val="Tahoma"/>
            <family val="2"/>
          </rPr>
          <t>User:</t>
        </r>
        <r>
          <rPr>
            <sz val="9"/>
            <color indexed="81"/>
            <rFont val="Tahoma"/>
            <family val="2"/>
          </rPr>
          <t xml:space="preserve">
- HS 3,33 từ 01/9/2015
- HS 3,66 từ 01/9/2018
- HS 3,99 từ 01/9/2021</t>
        </r>
      </text>
    </comment>
    <comment ref="W170" authorId="4" shapeId="0">
      <text>
        <r>
          <rPr>
            <b/>
            <sz val="9"/>
            <color indexed="81"/>
            <rFont val="Tahoma"/>
            <family val="2"/>
          </rPr>
          <t>Admin:</t>
        </r>
        <r>
          <rPr>
            <sz val="9"/>
            <color indexed="81"/>
            <rFont val="Tahoma"/>
            <family val="2"/>
          </rPr>
          <t xml:space="preserve">
QĐ Bổ nhiệm Trưởng bộ môn Giáo dục thể chất từ 03/5/2017
</t>
        </r>
      </text>
    </comment>
    <comment ref="X170" authorId="6"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
+ 24% từ 01/9/2021
+ 25% từ 01/9/2022
+ 26% từ 01/9/2023</t>
        </r>
      </text>
    </comment>
    <comment ref="R171" authorId="4" shapeId="0">
      <text>
        <r>
          <rPr>
            <b/>
            <sz val="9"/>
            <color indexed="81"/>
            <rFont val="Tahoma"/>
            <family val="2"/>
          </rPr>
          <t>Admin:</t>
        </r>
        <r>
          <rPr>
            <sz val="9"/>
            <color indexed="81"/>
            <rFont val="Tahoma"/>
            <family val="2"/>
          </rPr>
          <t xml:space="preserve">
- HS 3,66 từ 01/9/2016
- HS 3,99 từ 01/9/2019
- HS 4,32 từ 01/9/2022</t>
        </r>
      </text>
    </comment>
    <comment ref="X171" authorId="4" shapeId="0">
      <text>
        <r>
          <rPr>
            <b/>
            <sz val="9"/>
            <color indexed="81"/>
            <rFont val="Tahoma"/>
            <family val="2"/>
          </rPr>
          <t>Admin:</t>
        </r>
        <r>
          <rPr>
            <sz val="9"/>
            <color indexed="81"/>
            <rFont val="Tahoma"/>
            <family val="2"/>
          </rPr>
          <t xml:space="preserve">
+ 13% từ 01/11/16
+ 14% từ 01/11/2017
+ 15% từ 01/11/2018
+ 16% từ 01/11/2019
+ 17% từ 01/11/2020
+ 18% từ 01/11/2021
+ 19% từ 01/11/2022
+ 20% từ 01/11/2023</t>
        </r>
      </text>
    </comment>
    <comment ref="R172" authorId="1" shapeId="0">
      <text>
        <r>
          <rPr>
            <b/>
            <sz val="9"/>
            <color indexed="81"/>
            <rFont val="Tahoma"/>
            <family val="2"/>
          </rPr>
          <t>User:</t>
        </r>
        <r>
          <rPr>
            <sz val="9"/>
            <color indexed="81"/>
            <rFont val="Tahoma"/>
            <family val="2"/>
          </rPr>
          <t xml:space="preserve">
- HS 3,33 từ 1/9/2014
- HS 3,66 từ 01/9/2017
- HS 3,99 từ 01/3/2021
- HS 4,32 từ 01/3/2024</t>
        </r>
      </text>
    </comment>
    <comment ref="X172" authorId="7"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
+ 19% từ 01/8/2021
+ 20% từ 01/8/2022
+ 21% từ 01/8/2023
</t>
        </r>
      </text>
    </comment>
    <comment ref="R173" authorId="1" shapeId="0">
      <text>
        <r>
          <rPr>
            <b/>
            <sz val="9"/>
            <color indexed="81"/>
            <rFont val="Tahoma"/>
            <family val="2"/>
          </rPr>
          <t>User:</t>
        </r>
        <r>
          <rPr>
            <sz val="9"/>
            <color indexed="81"/>
            <rFont val="Tahoma"/>
            <family val="2"/>
          </rPr>
          <t xml:space="preserve">
- HS 3,33 từ 01/9/2014 (Nâng lương trước hạn năm 2015)
- HS 3,66 từ 01/9/2017
- HS 3,99 từ 01/9/2020
- HS 4,32 từ 01/9/2023</t>
        </r>
      </text>
    </comment>
    <comment ref="X173"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174" authorId="1" shapeId="0">
      <text>
        <r>
          <rPr>
            <b/>
            <sz val="9"/>
            <color indexed="81"/>
            <rFont val="Tahoma"/>
            <family val="2"/>
          </rPr>
          <t>User:</t>
        </r>
        <r>
          <rPr>
            <sz val="9"/>
            <color indexed="81"/>
            <rFont val="Tahoma"/>
            <family val="2"/>
          </rPr>
          <t xml:space="preserve">
- HS 3,33 từ 01/9/2015
- HS 3,66 từ 01/9/2018
- HS 3,99 từ 01/9/2021</t>
        </r>
      </text>
    </comment>
    <comment ref="X17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75" authorId="4" shapeId="0">
      <text>
        <r>
          <rPr>
            <b/>
            <sz val="9"/>
            <color indexed="81"/>
            <rFont val="Tahoma"/>
            <family val="2"/>
          </rPr>
          <t>Admin:</t>
        </r>
        <r>
          <rPr>
            <sz val="9"/>
            <color indexed="81"/>
            <rFont val="Tahoma"/>
            <family val="2"/>
          </rPr>
          <t xml:space="preserve">
- 3,00 từ 01/9/2016
- 3,33 từ 01/3/2019 (kéo dài thời gian NL do sinh con thứ 3)
- HS 3,66 từ 01/03/2023</t>
        </r>
      </text>
    </comment>
    <comment ref="X175" authorId="1" shapeId="0">
      <text>
        <r>
          <rPr>
            <b/>
            <sz val="9"/>
            <color indexed="81"/>
            <rFont val="Tahoma"/>
            <family val="2"/>
          </rPr>
          <t>User:</t>
        </r>
        <r>
          <rPr>
            <sz val="9"/>
            <color indexed="81"/>
            <rFont val="Tahoma"/>
            <family val="2"/>
          </rPr>
          <t xml:space="preserve">
- 5% từ 01/9/2015
- 6% từ 01/9/2016
- 7% từ 01/9/2017
- 8% từ 01/9/2018
- 9% từ 01/9/2019
- 10% từ 01/9/2020
- 12% từ 01/9/2022
- 13% từ 01/9/2023</t>
        </r>
      </text>
    </comment>
    <comment ref="R176" authorId="0" shapeId="0">
      <text>
        <r>
          <rPr>
            <b/>
            <sz val="9"/>
            <color indexed="81"/>
            <rFont val="Tahoma"/>
            <family val="2"/>
          </rPr>
          <t>Windows User:</t>
        </r>
        <r>
          <rPr>
            <sz val="9"/>
            <color indexed="81"/>
            <rFont val="Tahoma"/>
            <family val="2"/>
          </rPr>
          <t xml:space="preserve">
- HS 3,33 từ 01/01/2023</t>
        </r>
      </text>
    </comment>
    <comment ref="W176" authorId="0" shapeId="0">
      <text>
        <r>
          <rPr>
            <b/>
            <sz val="9"/>
            <color indexed="81"/>
            <rFont val="Tahoma"/>
            <family val="2"/>
          </rPr>
          <t>Windows User:</t>
        </r>
        <r>
          <rPr>
            <sz val="9"/>
            <color indexed="81"/>
            <rFont val="Tahoma"/>
            <family val="2"/>
          </rPr>
          <t xml:space="preserve">
- QĐ Bổ nhiệm Phó Trưởng khoa (Phụ trách khoa) Ngoại Ngữ từ 01/05/2023
- QĐ Bổ nhiệm Trưởng khoa Ngoại Ngữ từ 01/10/2023</t>
        </r>
      </text>
    </comment>
    <comment ref="X176" authorId="2" shapeId="0">
      <text>
        <r>
          <rPr>
            <b/>
            <sz val="9"/>
            <color indexed="81"/>
            <rFont val="Tahoma"/>
            <family val="2"/>
          </rPr>
          <t>huynh-panda:</t>
        </r>
        <r>
          <rPr>
            <sz val="9"/>
            <color indexed="81"/>
            <rFont val="Tahoma"/>
            <family val="2"/>
          </rPr>
          <t xml:space="preserve">
- 6% từ 01/01/2022
- 7% từ 01/01/2023
- 8% từ 01/01/2024</t>
        </r>
      </text>
    </comment>
    <comment ref="R177" authorId="4" shapeId="0">
      <text>
        <r>
          <rPr>
            <b/>
            <sz val="9"/>
            <color indexed="81"/>
            <rFont val="Tahoma"/>
            <family val="2"/>
          </rPr>
          <t>Admin:</t>
        </r>
        <r>
          <rPr>
            <sz val="9"/>
            <color indexed="81"/>
            <rFont val="Tahoma"/>
            <family val="2"/>
          </rPr>
          <t xml:space="preserve">
- HS 3,00 từ 01/11/2016
- HS 3,33 từ 01/11/2019
- HS 3,66 từ 01/11/2022</t>
        </r>
      </text>
    </comment>
    <comment ref="X177" authorId="6" shapeId="0">
      <text>
        <r>
          <rPr>
            <b/>
            <sz val="9"/>
            <color indexed="81"/>
            <rFont val="Tahoma"/>
            <family val="2"/>
          </rPr>
          <t>user:</t>
        </r>
        <r>
          <rPr>
            <sz val="9"/>
            <color indexed="81"/>
            <rFont val="Tahoma"/>
            <family val="2"/>
          </rPr>
          <t xml:space="preserve">
- 5% từ 01/11/2018
- 6% từ 01/11/2019
- 7% từ 01/11/2020
- 8% từ 01/11/2021
- 9% từ 01/11/2022
- 10% từ 01/11/2023</t>
        </r>
      </text>
    </comment>
    <comment ref="R178"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178" authorId="1" shapeId="0">
      <text>
        <r>
          <rPr>
            <b/>
            <sz val="9"/>
            <color indexed="81"/>
            <rFont val="Tahoma"/>
            <family val="2"/>
          </rPr>
          <t>User:</t>
        </r>
        <r>
          <rPr>
            <sz val="9"/>
            <color indexed="81"/>
            <rFont val="Tahoma"/>
            <family val="2"/>
          </rPr>
          <t xml:space="preserve">
- Miễn nhiệm tổ phó Anh văn từ 01/9/2015 (Bảo lưu đến hết 29/2/2016)</t>
        </r>
      </text>
    </comment>
    <comment ref="X178" authorId="7" shapeId="0">
      <text>
        <r>
          <rPr>
            <b/>
            <sz val="8"/>
            <color indexed="81"/>
            <rFont val="Tahoma"/>
            <family val="2"/>
          </rPr>
          <t>admin:</t>
        </r>
        <r>
          <rPr>
            <sz val="8"/>
            <color indexed="81"/>
            <rFont val="Tahoma"/>
            <family val="2"/>
          </rPr>
          <t xml:space="preserve">
+ 5% từ 1/6/2014
+ 6% từ 1/6/2015
+ 7% từ 1/6/2016
+ 8% từ 1/6/2017
+ 9% từ 1/6/2018
+ 10% từ 01/6/2019
+ 11% từ 01/6/2020
+ 12% từ 01/6/2021
+ 13% từ 01/6/2022
+ 14% từ 01/6/2023</t>
        </r>
      </text>
    </comment>
    <comment ref="R179"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179"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180" authorId="1" shapeId="0">
      <text>
        <r>
          <rPr>
            <b/>
            <sz val="9"/>
            <color indexed="81"/>
            <rFont val="Tahoma"/>
            <family val="2"/>
          </rPr>
          <t>User:</t>
        </r>
        <r>
          <rPr>
            <sz val="9"/>
            <color indexed="81"/>
            <rFont val="Tahoma"/>
            <family val="2"/>
          </rPr>
          <t xml:space="preserve">
- HS 3,00 từ 1/9/2014
- HS 3,33 từ 01/3/2018 (lùi 6 tháng)
- HS 3,66 từ 01/3/2020 (NL Trước hạn)
- HS 3,99 từ 01/03/2023</t>
        </r>
      </text>
    </comment>
    <comment ref="X180" authorId="6"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
+ 14% từ 01/10/2021
+ 15% từ 01/10/2022
+ 16% từ 01/10/2023</t>
        </r>
      </text>
    </comment>
    <comment ref="R181" authorId="1"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
- HS 3,99 từ 01/9/2022</t>
        </r>
      </text>
    </comment>
    <comment ref="X181"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2"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3"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3" authorId="6"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
- 13% từ 01/9/2021
- 14% từ 01/9/2022
- 15% từ 01/9/2023</t>
        </r>
      </text>
    </comment>
    <comment ref="D184" authorId="4" shapeId="0">
      <text>
        <r>
          <rPr>
            <b/>
            <sz val="9"/>
            <color indexed="81"/>
            <rFont val="Tahoma"/>
            <family val="2"/>
          </rPr>
          <t>Admin:</t>
        </r>
        <r>
          <rPr>
            <sz val="9"/>
            <color indexed="81"/>
            <rFont val="Tahoma"/>
            <family val="2"/>
          </rPr>
          <t xml:space="preserve">
Chuyển về khối Chuyên nghiệp từ 01/8/2016 (Làm nhân viên)
</t>
        </r>
      </text>
    </comment>
    <comment ref="R184" authorId="4" shapeId="0">
      <text>
        <r>
          <rPr>
            <b/>
            <sz val="9"/>
            <color indexed="81"/>
            <rFont val="Tahoma"/>
            <family val="2"/>
          </rPr>
          <t>Admin:</t>
        </r>
        <r>
          <rPr>
            <sz val="9"/>
            <color indexed="81"/>
            <rFont val="Tahoma"/>
            <family val="2"/>
          </rPr>
          <t xml:space="preserve">
- HS 3,00 từ 01/12/2016
- HS 3,33 từ 01/12/2019
- HS 3,66 từ 01/12/2022</t>
        </r>
      </text>
    </comment>
    <comment ref="X184" authorId="6" shapeId="0">
      <text>
        <r>
          <rPr>
            <b/>
            <sz val="9"/>
            <color indexed="81"/>
            <rFont val="Tahoma"/>
            <family val="2"/>
          </rPr>
          <t>user:</t>
        </r>
        <r>
          <rPr>
            <sz val="9"/>
            <color indexed="81"/>
            <rFont val="Tahoma"/>
            <family val="2"/>
          </rPr>
          <t xml:space="preserve">
+ 7% từ 01/9/2020
+ 8% từ 01/9/2021
+ 9% từ 01/9/2022
+ 10% từ 01/9/2023</t>
        </r>
      </text>
    </comment>
    <comment ref="R185"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185"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186" authorId="1" shapeId="0">
      <text>
        <r>
          <rPr>
            <b/>
            <sz val="9"/>
            <color indexed="81"/>
            <rFont val="Tahoma"/>
            <family val="2"/>
          </rPr>
          <t>User:</t>
        </r>
        <r>
          <rPr>
            <sz val="9"/>
            <color indexed="81"/>
            <rFont val="Tahoma"/>
            <family val="2"/>
          </rPr>
          <t xml:space="preserve">
+ hệ số 2,34 từ 1/9/2014
+ HS 3,00 từ 01/9/2020
+ HS 3,33 từ 01/9/2023</t>
        </r>
      </text>
    </comment>
    <comment ref="X186" authorId="3" shapeId="0">
      <text>
        <r>
          <rPr>
            <b/>
            <sz val="9"/>
            <color indexed="81"/>
            <rFont val="Tahoma"/>
            <family val="2"/>
          </rPr>
          <t>Quynh:</t>
        </r>
        <r>
          <rPr>
            <sz val="9"/>
            <color indexed="81"/>
            <rFont val="Tahoma"/>
            <family val="2"/>
          </rPr>
          <t xml:space="preserve">
- 9% từ 01/6/2019
- 10% từ 01/6/2020
- 11% từ 01/6/2021
- 12% từ 01/6/2022
- 13% từ 01/6/2023</t>
        </r>
      </text>
    </comment>
    <comment ref="R187" authorId="4" shapeId="0">
      <text>
        <r>
          <rPr>
            <b/>
            <sz val="9"/>
            <color indexed="81"/>
            <rFont val="Tahoma"/>
            <family val="2"/>
          </rPr>
          <t>Admin:</t>
        </r>
        <r>
          <rPr>
            <sz val="9"/>
            <color indexed="81"/>
            <rFont val="Tahoma"/>
            <family val="2"/>
          </rPr>
          <t xml:space="preserve">
- HS 2,34 từ 01/09/2016
- HS 2,67 từ 01/9/2019
- HS 3,00 từ 01/09/2022</t>
        </r>
      </text>
    </comment>
    <comment ref="X187" authorId="6" shapeId="0">
      <text>
        <r>
          <rPr>
            <b/>
            <sz val="9"/>
            <color indexed="81"/>
            <rFont val="Tahoma"/>
            <family val="2"/>
          </rPr>
          <t>user:</t>
        </r>
        <r>
          <rPr>
            <sz val="9"/>
            <color indexed="81"/>
            <rFont val="Tahoma"/>
            <family val="2"/>
          </rPr>
          <t xml:space="preserve">
- 5% từ 01/09/2021
- 6% từ 01/9/2022
- 7% từ 01/9/2023</t>
        </r>
      </text>
    </comment>
    <comment ref="R188" authorId="4" shapeId="0">
      <text>
        <r>
          <rPr>
            <b/>
            <sz val="9"/>
            <color indexed="81"/>
            <rFont val="Tahoma"/>
            <family val="2"/>
          </rPr>
          <t>Admin:</t>
        </r>
        <r>
          <rPr>
            <sz val="9"/>
            <color indexed="81"/>
            <rFont val="Tahoma"/>
            <family val="2"/>
          </rPr>
          <t xml:space="preserve">
- HS 2,34 từ 01/09/2016
- HS 2,67 từ 01/09/2019
- HS 3,00 từ 01/09/2022</t>
        </r>
      </text>
    </comment>
    <comment ref="X188" authorId="6" shapeId="0">
      <text>
        <r>
          <rPr>
            <b/>
            <sz val="9"/>
            <color indexed="81"/>
            <rFont val="Tahoma"/>
            <family val="2"/>
          </rPr>
          <t>user:</t>
        </r>
        <r>
          <rPr>
            <sz val="9"/>
            <color indexed="81"/>
            <rFont val="Tahoma"/>
            <family val="2"/>
          </rPr>
          <t xml:space="preserve">
- 5% từ 01/9/2021
- 6% từ 01/9/2022
- 7% từ 01/9/2023</t>
        </r>
      </text>
    </comment>
    <comment ref="R189" authorId="6" shapeId="0">
      <text>
        <r>
          <rPr>
            <b/>
            <sz val="9"/>
            <color indexed="81"/>
            <rFont val="Tahoma"/>
            <family val="2"/>
          </rPr>
          <t>user:</t>
        </r>
        <r>
          <rPr>
            <sz val="9"/>
            <color indexed="81"/>
            <rFont val="Tahoma"/>
            <family val="2"/>
          </rPr>
          <t xml:space="preserve">
- HS 3,99 từ 01/9/2019
- HS 4,32 từ 01/09/2022</t>
        </r>
      </text>
    </comment>
    <comment ref="X189" authorId="6"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
+ 16% từ 01/12/2021
+ 17% từ 01/12/2022
+ 18% từ 01/12/2023</t>
        </r>
      </text>
    </comment>
    <comment ref="R190" authorId="6" shapeId="0">
      <text>
        <r>
          <rPr>
            <b/>
            <sz val="9"/>
            <color indexed="81"/>
            <rFont val="Tahoma"/>
            <family val="2"/>
          </rPr>
          <t>user:</t>
        </r>
        <r>
          <rPr>
            <sz val="9"/>
            <color indexed="81"/>
            <rFont val="Tahoma"/>
            <family val="2"/>
          </rPr>
          <t xml:space="preserve">
- HS 2,34 từ 01/5/2021</t>
        </r>
      </text>
    </comment>
    <comment ref="R191" authorId="6" shapeId="0">
      <text>
        <r>
          <rPr>
            <b/>
            <sz val="9"/>
            <color indexed="81"/>
            <rFont val="Tahoma"/>
            <family val="2"/>
          </rPr>
          <t>user:</t>
        </r>
        <r>
          <rPr>
            <sz val="9"/>
            <color indexed="81"/>
            <rFont val="Tahoma"/>
            <family val="2"/>
          </rPr>
          <t xml:space="preserve">
- HS 2,34 từ 01/10/2021</t>
        </r>
      </text>
    </comment>
    <comment ref="R192"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01/9/2021 (NL trước hạn)</t>
        </r>
      </text>
    </comment>
    <comment ref="W192" authorId="6" shapeId="0">
      <text>
        <r>
          <rPr>
            <sz val="8"/>
            <color indexed="81"/>
            <rFont val="Tahoma"/>
            <family val="2"/>
          </rPr>
          <t>- QĐ Bổ nhiệm Phó Trưởng khoa Lý luận chính trị từ 01/10/2015
- QĐ BN lại từ 01/10/2020
- QĐ BN Trưởng khoa từ 01/10/2022</t>
        </r>
      </text>
    </comment>
    <comment ref="X192" authorId="6"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
+ 13% từ 01/9/2021
+ 14% từ 01/9/2022
+ 15% từ 01/9/2023</t>
        </r>
      </text>
    </comment>
    <comment ref="R193" authorId="1" shapeId="0">
      <text>
        <r>
          <rPr>
            <b/>
            <sz val="9"/>
            <color indexed="81"/>
            <rFont val="Tahoma"/>
            <family val="2"/>
          </rPr>
          <t>User:</t>
        </r>
        <r>
          <rPr>
            <sz val="9"/>
            <color indexed="81"/>
            <rFont val="Tahoma"/>
            <family val="2"/>
          </rPr>
          <t xml:space="preserve">
- HS 3,00 từ 01/9/2015
- HS 3,33 từ 01/9/2017 (NL trước hạn 2017)
- HS 3,66 từ 01/9/2020
- HS 3,99 từ 01/09/2022 (NL trước hạn)</t>
        </r>
      </text>
    </comment>
    <comment ref="W193" authorId="1" shapeId="0">
      <text>
        <r>
          <rPr>
            <b/>
            <sz val="9"/>
            <color indexed="81"/>
            <rFont val="Tahoma"/>
            <family val="2"/>
          </rPr>
          <t>User:</t>
        </r>
        <r>
          <rPr>
            <sz val="9"/>
            <color indexed="81"/>
            <rFont val="Tahoma"/>
            <family val="2"/>
          </rPr>
          <t xml:space="preserve">
- QĐ Bổ nhiệm Phó TK LL Chính trị từ 01/7/2015</t>
        </r>
      </text>
    </comment>
    <comment ref="X19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94" authorId="1" shapeId="0">
      <text>
        <r>
          <rPr>
            <b/>
            <sz val="9"/>
            <color indexed="81"/>
            <rFont val="Tahoma"/>
            <family val="2"/>
          </rPr>
          <t>User:</t>
        </r>
        <r>
          <rPr>
            <sz val="9"/>
            <color indexed="81"/>
            <rFont val="Tahoma"/>
            <family val="2"/>
          </rPr>
          <t xml:space="preserve">
- HS 3,00 từ 1/9/2014
- HS 3,33 từ 01/9/2016 (NL trước hạn năm 2016)
- HS 3,66 từ 01/9/2019
- HS 3,99 từ 01/9/2021 (NL trước hạn)</t>
        </r>
      </text>
    </comment>
    <comment ref="W194" authorId="6" shapeId="0">
      <text>
        <r>
          <rPr>
            <b/>
            <sz val="9"/>
            <color indexed="81"/>
            <rFont val="Tahoma"/>
            <family val="2"/>
          </rPr>
          <t>user:</t>
        </r>
        <r>
          <rPr>
            <sz val="9"/>
            <color indexed="81"/>
            <rFont val="Tahoma"/>
            <family val="2"/>
          </rPr>
          <t xml:space="preserve">
Trưởng BM Giáo dục chính trị từ 01/4/2021
</t>
        </r>
      </text>
    </comment>
    <comment ref="X194"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5"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9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AK195" authorId="4" shapeId="0">
      <text>
        <r>
          <rPr>
            <b/>
            <sz val="9"/>
            <color indexed="81"/>
            <rFont val="Tahoma"/>
            <family val="2"/>
          </rPr>
          <t>Admin:</t>
        </r>
        <r>
          <rPr>
            <sz val="9"/>
            <color indexed="81"/>
            <rFont val="Tahoma"/>
            <family val="2"/>
          </rPr>
          <t xml:space="preserve">
Thôi giữ CV Phó BT Đoàn TN từ 05/4/2018</t>
        </r>
      </text>
    </comment>
    <comment ref="R196" authorId="6"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
+ HS 3,66 từ 01/9/2021</t>
        </r>
      </text>
    </comment>
    <comment ref="X196" authorId="1" shapeId="0">
      <text>
        <r>
          <rPr>
            <b/>
            <sz val="9"/>
            <color indexed="81"/>
            <rFont val="Tahoma"/>
            <family val="2"/>
          </rPr>
          <t>User:</t>
        </r>
        <r>
          <rPr>
            <sz val="9"/>
            <color indexed="81"/>
            <rFont val="Tahoma"/>
            <family val="2"/>
          </rPr>
          <t xml:space="preserve">
- 6% từ 01/09/2015
+ 7% từ 01/9/2016
+ 8% từ 01/9/2017
+ 9% từ 01/9/2018
+ 10% từ 01/9/2019
+ 11% từ 01/9/2020
+ 12% từ 01/9/2021
+ 13% từ 01/9/2022
+ 14% từ 01/9/2023</t>
        </r>
      </text>
    </comment>
    <comment ref="R197"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97" authorId="6"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X197" authorId="7"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
+ 15% từ 01/03/2021
+ 16% từ 01/03/2022
+ 17% từ 01/03/2023
+ 18% từ 01/03/2024</t>
        </r>
      </text>
    </comment>
    <comment ref="R198" authorId="1" shapeId="0">
      <text>
        <r>
          <rPr>
            <b/>
            <sz val="9"/>
            <color indexed="81"/>
            <rFont val="Tahoma"/>
            <family val="2"/>
          </rPr>
          <t>User:</t>
        </r>
        <r>
          <rPr>
            <sz val="9"/>
            <color indexed="81"/>
            <rFont val="Tahoma"/>
            <family val="2"/>
          </rPr>
          <t xml:space="preserve">
- HS 3,00 từ 01/9/2015
- HS 3,33 từ 01/9/2018
- HS 3,66 từ 01/9/2021
</t>
        </r>
      </text>
    </comment>
    <comment ref="X198"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9" authorId="1" shapeId="0">
      <text>
        <r>
          <rPr>
            <b/>
            <sz val="9"/>
            <color indexed="81"/>
            <rFont val="Tahoma"/>
            <family val="2"/>
          </rPr>
          <t>User:</t>
        </r>
        <r>
          <rPr>
            <sz val="9"/>
            <color indexed="81"/>
            <rFont val="Tahoma"/>
            <family val="2"/>
          </rPr>
          <t xml:space="preserve">
+ HS 3,00 từ 01/9/2015
+ HS 3,33 từ 01/9/2018
+ HS 3,66 từ 01/9/2021</t>
        </r>
      </text>
    </comment>
    <comment ref="X199"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00"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200"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01/09/2022
- 13% từ 01/9/2023</t>
        </r>
      </text>
    </comment>
    <comment ref="AK200" authorId="6"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R201" authorId="1" shapeId="0">
      <text>
        <r>
          <rPr>
            <b/>
            <sz val="9"/>
            <color indexed="81"/>
            <rFont val="Tahoma"/>
            <family val="2"/>
          </rPr>
          <t>User:</t>
        </r>
        <r>
          <rPr>
            <sz val="9"/>
            <color indexed="81"/>
            <rFont val="Tahoma"/>
            <family val="2"/>
          </rPr>
          <t xml:space="preserve">
HS 3,33 từ 01/9/2015
- HS 3,66 từ 01/9/2017 (Nâng lương trước hạn 2017)
- HS 3,99 từ 01/9/2020
- HS 4,32 từ 01/9/2023</t>
        </r>
      </text>
    </comment>
    <comment ref="X201"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02" authorId="4" shapeId="0">
      <text>
        <r>
          <rPr>
            <b/>
            <sz val="9"/>
            <color indexed="81"/>
            <rFont val="Tahoma"/>
            <family val="2"/>
          </rPr>
          <t>Admin:</t>
        </r>
        <r>
          <rPr>
            <sz val="9"/>
            <color indexed="81"/>
            <rFont val="Tahoma"/>
            <family val="2"/>
          </rPr>
          <t xml:space="preserve">
- HS 2,67 từ 01/09/2016
- HS 3,00 từ 01/9/2019
- HS 3,33 từ 01/9/2021</t>
        </r>
      </text>
    </comment>
    <comment ref="X202" authorId="6" shapeId="0">
      <text>
        <r>
          <rPr>
            <b/>
            <sz val="9"/>
            <color indexed="81"/>
            <rFont val="Tahoma"/>
            <family val="2"/>
          </rPr>
          <t>user:</t>
        </r>
        <r>
          <rPr>
            <sz val="9"/>
            <color indexed="81"/>
            <rFont val="Tahoma"/>
            <family val="2"/>
          </rPr>
          <t xml:space="preserve">
- 5% từ 01/9/2020
- 6% từ 01/9/2021
- 7% từ 01/9/2022
- 8% từ 01/9/2023</t>
        </r>
      </text>
    </comment>
    <comment ref="R203" authorId="4" shapeId="0">
      <text>
        <r>
          <rPr>
            <b/>
            <sz val="9"/>
            <color indexed="81"/>
            <rFont val="Tahoma"/>
            <family val="2"/>
          </rPr>
          <t>Admin:</t>
        </r>
        <r>
          <rPr>
            <sz val="9"/>
            <color indexed="81"/>
            <rFont val="Tahoma"/>
            <family val="2"/>
          </rPr>
          <t xml:space="preserve">
+ HS 3,00 từ 01/3/2017
+ HS 3,33 từ 01/3/2020
+ HS 3,66 từ 01/03/2023</t>
        </r>
      </text>
    </comment>
    <comment ref="X203" authorId="1" shapeId="0">
      <text>
        <r>
          <rPr>
            <b/>
            <sz val="9"/>
            <color indexed="81"/>
            <rFont val="Tahoma"/>
            <family val="2"/>
          </rPr>
          <t>User:</t>
        </r>
        <r>
          <rPr>
            <sz val="9"/>
            <color indexed="81"/>
            <rFont val="Tahoma"/>
            <family val="2"/>
          </rPr>
          <t xml:space="preserve">
- 5% từ 01/9/2015
- 6% từ 01/09/2016
- 7% từ 01/09/2017
- 8% từ 01/09/2018
- 9% từ 01/9/2019
- 10% từ 01/9/2020
- 11% từ 01/9/2021
- 12% từ 01/9/2022
- 13% từ 01/9/2023</t>
        </r>
      </text>
    </comment>
    <comment ref="R204"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204"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E205" authorId="0" shapeId="0">
      <text>
        <r>
          <rPr>
            <b/>
            <sz val="9"/>
            <color indexed="81"/>
            <rFont val="Tahoma"/>
            <family val="2"/>
          </rPr>
          <t>Windows User:</t>
        </r>
        <r>
          <rPr>
            <sz val="9"/>
            <color indexed="81"/>
            <rFont val="Tahoma"/>
            <family val="2"/>
          </rPr>
          <t xml:space="preserve">
- Phó Trưởng Trung tâm Thư viện từ 01/10/2022</t>
        </r>
      </text>
    </comment>
    <comment ref="R205" authorId="3" shapeId="0">
      <text>
        <r>
          <rPr>
            <b/>
            <sz val="9"/>
            <color indexed="81"/>
            <rFont val="Tahoma"/>
            <family val="2"/>
          </rPr>
          <t>Quynh:</t>
        </r>
        <r>
          <rPr>
            <sz val="9"/>
            <color indexed="81"/>
            <rFont val="Tahoma"/>
            <family val="2"/>
          </rPr>
          <t xml:space="preserve">
- HS 3,33 từ 01/3/19
- HS 3,66 từ 01/03/2022
</t>
        </r>
      </text>
    </comment>
    <comment ref="W205" authorId="6" shapeId="0">
      <text>
        <r>
          <rPr>
            <b/>
            <sz val="9"/>
            <color indexed="81"/>
            <rFont val="Tahoma"/>
            <family val="2"/>
          </rPr>
          <t>user:</t>
        </r>
        <r>
          <rPr>
            <sz val="9"/>
            <color indexed="81"/>
            <rFont val="Tahoma"/>
            <family val="2"/>
          </rPr>
          <t xml:space="preserve">
- QĐ BN Phó TK CNTT từ 01/9/2020
- QĐ BN Trưởng TT Thư viện từ 01/5/2023</t>
        </r>
      </text>
    </comment>
    <comment ref="X205" authorId="6" shapeId="0">
      <text>
        <r>
          <rPr>
            <b/>
            <sz val="9"/>
            <color indexed="81"/>
            <rFont val="Tahoma"/>
            <family val="2"/>
          </rPr>
          <t>user:</t>
        </r>
        <r>
          <rPr>
            <sz val="9"/>
            <color indexed="81"/>
            <rFont val="Tahoma"/>
            <family val="2"/>
          </rPr>
          <t xml:space="preserve">
+ 15% từ 01/5/2019
+ 16% từ 01/5/2020
+ 17% từ 01/5/2021
+ 18% từ 01/5/2022
+ 19% từ 01/5/2023</t>
        </r>
      </text>
    </comment>
    <comment ref="R206" authorId="4" shapeId="0">
      <text>
        <r>
          <rPr>
            <b/>
            <sz val="9"/>
            <color indexed="81"/>
            <rFont val="Tahoma"/>
            <family val="2"/>
          </rPr>
          <t>Admin:</t>
        </r>
        <r>
          <rPr>
            <sz val="9"/>
            <color indexed="81"/>
            <rFont val="Tahoma"/>
            <family val="2"/>
          </rPr>
          <t xml:space="preserve">
- HS 3,33 NL truoc hạn từ 01/9/2015
- HS 3,66 từ 01/9/2018
- HS 3,99 từ 01/9/2020 (NL trước hạn)
- HS 4,32 từ 01/9/2023</t>
        </r>
      </text>
    </comment>
    <comment ref="X206"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07"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207" authorId="1" shapeId="0">
      <text>
        <r>
          <rPr>
            <b/>
            <sz val="9"/>
            <color indexed="81"/>
            <rFont val="Tahoma"/>
            <family val="2"/>
          </rPr>
          <t>User:</t>
        </r>
        <r>
          <rPr>
            <sz val="9"/>
            <color indexed="81"/>
            <rFont val="Tahoma"/>
            <family val="2"/>
          </rPr>
          <t xml:space="preserve">
- Miễn nhiệm Trưởng bộ môn Công nghệ phần mềm từ 01/9/2015</t>
        </r>
      </text>
    </comment>
    <comment ref="X207" authorId="6"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
+ 13% từ 01/9/2021
+ 14% từ 01/9/2022
+ 15% từ 01/9/2023</t>
        </r>
      </text>
    </comment>
    <comment ref="R208"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01/9/2022</t>
        </r>
      </text>
    </comment>
    <comment ref="W208" authorId="1" shapeId="0">
      <text>
        <r>
          <rPr>
            <b/>
            <sz val="9"/>
            <color indexed="81"/>
            <rFont val="Tahoma"/>
            <family val="2"/>
          </rPr>
          <t>User:</t>
        </r>
        <r>
          <rPr>
            <sz val="9"/>
            <color indexed="81"/>
            <rFont val="Tahoma"/>
            <family val="2"/>
          </rPr>
          <t xml:space="preserve">
- Miễn nhiệm trưởng BM Mạng và phần cứng từ 01/9/15</t>
        </r>
      </text>
    </comment>
    <comment ref="X208"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09" authorId="1" shapeId="0">
      <text>
        <r>
          <rPr>
            <b/>
            <sz val="9"/>
            <color indexed="81"/>
            <rFont val="Tahoma"/>
            <family val="2"/>
          </rPr>
          <t>User:</t>
        </r>
        <r>
          <rPr>
            <sz val="9"/>
            <color indexed="81"/>
            <rFont val="Tahoma"/>
            <family val="2"/>
          </rPr>
          <t xml:space="preserve">
- HS 3,00 từ 01/9/2015
- HS 3,33 từ 01/9/2018
- HS 3,66 từ 01/9/2021</t>
        </r>
      </text>
    </comment>
    <comment ref="X209" authorId="1" shapeId="0">
      <text>
        <r>
          <rPr>
            <b/>
            <sz val="9"/>
            <color indexed="81"/>
            <rFont val="Tahoma"/>
            <family val="2"/>
          </rPr>
          <t>User:</t>
        </r>
        <r>
          <rPr>
            <sz val="9"/>
            <color indexed="81"/>
            <rFont val="Tahoma"/>
            <family val="2"/>
          </rPr>
          <t xml:space="preserve">
- 6% từ 1/9/2015
- 7% từ 019/2016
- 8% từ 01/9/2017
- 9% từ 01/9/2018
- 10% từ 01/9/2019
- 11% từ 01/9/2020
- 12% từ 01/9/2021
- 13% từ 01/9/2022
- 14% từ 01/9/2023</t>
        </r>
      </text>
    </comment>
    <comment ref="R210"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01/9/2022 (NL trước hạn)</t>
        </r>
      </text>
    </comment>
    <comment ref="W210" authorId="1"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X210" authorId="7" shapeId="0">
      <text>
        <r>
          <rPr>
            <b/>
            <sz val="8"/>
            <color indexed="81"/>
            <rFont val="Tahoma"/>
            <family val="2"/>
          </rPr>
          <t>admin:</t>
        </r>
        <r>
          <rPr>
            <sz val="8"/>
            <color indexed="81"/>
            <rFont val="Tahoma"/>
            <family val="2"/>
          </rPr>
          <t xml:space="preserve">
+ 7% từ 01/05/2014
+ 8% từ 01/05/2015
+ 9% từ 01/05/2016
+ 10% từ 01/5/2017
+ 11% từ 01/5/2018
+ 12% từ 01/5/2019
+ 13% từ 01/5/2020
+ 14% từ 01/5/2021
+ 15% từ 01/5/2022
+ 16% từ 01/5/2023</t>
        </r>
      </text>
    </comment>
    <comment ref="R211" authorId="1" shapeId="0">
      <text>
        <r>
          <rPr>
            <b/>
            <sz val="9"/>
            <color indexed="81"/>
            <rFont val="Tahoma"/>
            <family val="2"/>
          </rPr>
          <t>User:</t>
        </r>
        <r>
          <rPr>
            <sz val="9"/>
            <color indexed="81"/>
            <rFont val="Tahoma"/>
            <family val="2"/>
          </rPr>
          <t xml:space="preserve">
- Bậc 3, HS 3,00 từ 01/12/2014
- HS 3,66 từ 01/12/2020
- HS 3,99 từ 01/12/2023</t>
        </r>
      </text>
    </comment>
    <comment ref="X211" authorId="7"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01/06/2020
+ Lên 14% từ 01/06/2021
+ Lên 15% từ 01/06/2022
+ Lên 16% từ 01/06/2023</t>
        </r>
      </text>
    </comment>
    <comment ref="R212"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12" authorId="1" shapeId="0">
      <text>
        <r>
          <rPr>
            <b/>
            <sz val="9"/>
            <color indexed="81"/>
            <rFont val="Tahoma"/>
            <family val="2"/>
          </rPr>
          <t>User:</t>
        </r>
        <r>
          <rPr>
            <sz val="9"/>
            <color indexed="81"/>
            <rFont val="Tahoma"/>
            <family val="2"/>
          </rPr>
          <t xml:space="preserve">
- Bổ nhiệm Trưởng BM Công nghệ phần mềm từ 01/9/2015 (Thôi từ 01/07/2022)
- Bổ nhiệm Phó Trưởng khoa CNTT từ 01/7/2022</t>
        </r>
      </text>
    </comment>
    <comment ref="X21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3" authorId="1" shapeId="0">
      <text>
        <r>
          <rPr>
            <b/>
            <sz val="9"/>
            <color indexed="81"/>
            <rFont val="Tahoma"/>
            <family val="2"/>
          </rPr>
          <t>User:</t>
        </r>
        <r>
          <rPr>
            <sz val="9"/>
            <color indexed="81"/>
            <rFont val="Tahoma"/>
            <family val="2"/>
          </rPr>
          <t xml:space="preserve">
- HS 3,00 từ 01/09/2015
- HS 3,33 từ 01/09/2018
- HS 3,66 từ 01/9/2021</t>
        </r>
      </text>
    </comment>
    <comment ref="X213"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4" authorId="1" shapeId="0">
      <text>
        <r>
          <rPr>
            <b/>
            <sz val="9"/>
            <color indexed="81"/>
            <rFont val="Tahoma"/>
            <family val="2"/>
          </rPr>
          <t>User:</t>
        </r>
        <r>
          <rPr>
            <sz val="9"/>
            <color indexed="81"/>
            <rFont val="Tahoma"/>
            <family val="2"/>
          </rPr>
          <t xml:space="preserve">
- HS 3,00 từ 01/9/2015
- HS 3,33 từ 01/9/2018
- HS 3,66 từ 01/9/2021</t>
        </r>
      </text>
    </comment>
    <comment ref="X214"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5" authorId="1" shapeId="0">
      <text>
        <r>
          <rPr>
            <b/>
            <sz val="9"/>
            <color indexed="81"/>
            <rFont val="Tahoma"/>
            <family val="2"/>
          </rPr>
          <t>User:</t>
        </r>
        <r>
          <rPr>
            <sz val="9"/>
            <color indexed="81"/>
            <rFont val="Tahoma"/>
            <family val="2"/>
          </rPr>
          <t xml:space="preserve">
- HS 3,00 từ 01/10/2015
- HS 3,33 từ 01/10/2018
- HS 3,66 từ 01/10/2021</t>
        </r>
      </text>
    </comment>
    <comment ref="X215" authorId="1" shapeId="0">
      <text>
        <r>
          <rPr>
            <b/>
            <sz val="9"/>
            <color indexed="81"/>
            <rFont val="Tahoma"/>
            <family val="2"/>
          </rPr>
          <t>User:</t>
        </r>
        <r>
          <rPr>
            <sz val="9"/>
            <color indexed="81"/>
            <rFont val="Tahoma"/>
            <family val="2"/>
          </rPr>
          <t xml:space="preserve">
- 6% từ 01/10/2015
- 7% từ 01/10/2016
- 8% từ 01/10/2017
- 9% từ 01/10/2018
- 10% từ 01/10/2019
- 11% từ 01/10/2020
- 12% từ 01/10/2021
- 13% từ 01/10/2022
- 14% từ 01/10/2023</t>
        </r>
      </text>
    </comment>
    <comment ref="R216" authorId="4" shapeId="0">
      <text>
        <r>
          <rPr>
            <b/>
            <sz val="9"/>
            <color indexed="81"/>
            <rFont val="Tahoma"/>
            <family val="2"/>
          </rPr>
          <t>Admin:</t>
        </r>
        <r>
          <rPr>
            <sz val="9"/>
            <color indexed="81"/>
            <rFont val="Tahoma"/>
            <family val="2"/>
          </rPr>
          <t xml:space="preserve">
- HS 3,00 từ 01/9/2015 (NL trước hạn)
- HS 3,33 từ 01/9/2018
- HS 3,66 từ 01/9/2020 (NL trước hạn)
- HS 3,99 từ 01/9/2023</t>
        </r>
      </text>
    </comment>
    <comment ref="W216" authorId="1" shapeId="0">
      <text>
        <r>
          <rPr>
            <b/>
            <sz val="9"/>
            <color indexed="81"/>
            <rFont val="Tahoma"/>
            <family val="2"/>
          </rPr>
          <t>User:</t>
        </r>
        <r>
          <rPr>
            <sz val="9"/>
            <color indexed="81"/>
            <rFont val="Tahoma"/>
            <family val="2"/>
          </rPr>
          <t xml:space="preserve">
- QĐ Bổ nhiệm Trưởng bộ môn Mạng máy tính từ 01/9/2015
- QĐ Bổ nhiệm Phó Trưởng khoa CNTT từ T10/2022</t>
        </r>
      </text>
    </comment>
    <comment ref="X216"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17" authorId="6" shapeId="0">
      <text>
        <r>
          <rPr>
            <b/>
            <sz val="9"/>
            <color indexed="81"/>
            <rFont val="Tahoma"/>
            <family val="2"/>
          </rPr>
          <t>user:</t>
        </r>
        <r>
          <rPr>
            <sz val="9"/>
            <color indexed="81"/>
            <rFont val="Tahoma"/>
            <family val="2"/>
          </rPr>
          <t xml:space="preserve">
- HS 3,33 từ 01/5/2021</t>
        </r>
      </text>
    </comment>
    <comment ref="X217" authorId="6" shapeId="0">
      <text>
        <r>
          <rPr>
            <b/>
            <sz val="9"/>
            <color indexed="81"/>
            <rFont val="Tahoma"/>
            <family val="2"/>
          </rPr>
          <t>user:</t>
        </r>
        <r>
          <rPr>
            <sz val="9"/>
            <color indexed="81"/>
            <rFont val="Tahoma"/>
            <family val="2"/>
          </rPr>
          <t xml:space="preserve">
+ 7% từ 01/5/2019
+ 8% từ 01/5/2020
+ 9% từ 01/5/2021
+ 10% từ 01/5/2022
+ 11% từ 01/5/2023</t>
        </r>
      </text>
    </comment>
    <comment ref="R218" authorId="6" shapeId="0">
      <text>
        <r>
          <rPr>
            <b/>
            <sz val="8"/>
            <color indexed="81"/>
            <rFont val="Tahoma"/>
            <family val="2"/>
          </rPr>
          <t>user:</t>
        </r>
        <r>
          <rPr>
            <sz val="8"/>
            <color indexed="81"/>
            <rFont val="Tahoma"/>
            <family val="2"/>
          </rPr>
          <t xml:space="preserve">
QĐ chuyển ngạch từ 01a.003 sang ngạch 15.111 từ 01/5/2012
- HS 3,33 từ 01/10/2016
- HS 3,66 từ 01/10/2019
- HS 3,99 từ 01/10/2021 (NL trước hạn)</t>
        </r>
      </text>
    </comment>
    <comment ref="X218" authorId="4" shapeId="0">
      <text>
        <r>
          <rPr>
            <b/>
            <sz val="9"/>
            <color indexed="81"/>
            <rFont val="Tahoma"/>
            <family val="2"/>
          </rPr>
          <t>Admin:</t>
        </r>
        <r>
          <rPr>
            <sz val="9"/>
            <color indexed="81"/>
            <rFont val="Tahoma"/>
            <family val="2"/>
          </rPr>
          <t xml:space="preserve">
- 5% từ 01/5/2017
- 6% từ 01/5/2018
- 7% từ 01/5/2019
- 8% từ 01/5/2020
- 9% từ 01/5/2021
- 10% từ 01/5/2022
- 11% từ 01/5/2023</t>
        </r>
      </text>
    </comment>
    <comment ref="R219"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X219" authorId="6" shapeId="0">
      <text>
        <r>
          <rPr>
            <b/>
            <sz val="9"/>
            <color indexed="81"/>
            <rFont val="Tahoma"/>
            <family val="2"/>
          </rPr>
          <t>user:</t>
        </r>
        <r>
          <rPr>
            <sz val="9"/>
            <color indexed="81"/>
            <rFont val="Tahoma"/>
            <family val="2"/>
          </rPr>
          <t xml:space="preserve">
- 5% từ 01/9/2018
- 6% từ 01/9/2019
- 7% từ 01/9/2020
- 8% từ 01/9/2021
- 9% từ 01/9/2023
- 10% từ 01/9/2023</t>
        </r>
      </text>
    </comment>
    <comment ref="R220"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20" authorId="6"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X220" authorId="7"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
+ 13% từ 01/9/2021
+ 14% từ 01/9/2022
+ 15% từ 01/9/2023</t>
        </r>
      </text>
    </comment>
    <comment ref="R221" authorId="4" shapeId="0">
      <text>
        <r>
          <rPr>
            <b/>
            <sz val="9"/>
            <color indexed="81"/>
            <rFont val="Tahoma"/>
            <family val="2"/>
          </rPr>
          <t>Admin:</t>
        </r>
        <r>
          <rPr>
            <sz val="9"/>
            <color indexed="81"/>
            <rFont val="Tahoma"/>
            <family val="2"/>
          </rPr>
          <t xml:space="preserve">
- 3,00 từ 01/10/2015
- 3,33 từ 01/10/2018
- 3,66 từ 01/10/2020 (Nâng lương trước hạn)
- 3,99 từ 01/10/2023
</t>
        </r>
      </text>
    </comment>
    <comment ref="X221" authorId="4" shapeId="0">
      <text>
        <r>
          <rPr>
            <b/>
            <sz val="9"/>
            <color indexed="81"/>
            <rFont val="Tahoma"/>
            <family val="2"/>
          </rPr>
          <t>Admin:</t>
        </r>
        <r>
          <rPr>
            <sz val="9"/>
            <color indexed="81"/>
            <rFont val="Tahoma"/>
            <family val="2"/>
          </rPr>
          <t xml:space="preserve">
- 7% từ 01/10/2016
- 8% từ 01/10/2017
- 9% từ 01/10/2018
- 10% từ 01/10/2019
- 11% từ 01/10/2020
- 12% từ 01/10/2021
- 13% từ 01/10/2022
- 14% từ 01/10/2023</t>
        </r>
      </text>
    </comment>
    <comment ref="R222"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01/09/2021
- HS 4,32 từ 01/09/2023 (NL trước hạn)</t>
        </r>
      </text>
    </comment>
    <comment ref="X222"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23" authorId="6" shapeId="0">
      <text>
        <r>
          <rPr>
            <b/>
            <sz val="9"/>
            <color indexed="81"/>
            <rFont val="Tahoma"/>
            <family val="2"/>
          </rPr>
          <t>user:</t>
        </r>
        <r>
          <rPr>
            <sz val="9"/>
            <color indexed="81"/>
            <rFont val="Tahoma"/>
            <family val="2"/>
          </rPr>
          <t xml:space="preserve">
- HS 3,33 từ 01/9/2019
- HS 3,66 từ 01/9/2021 (NL trước hạn)</t>
        </r>
      </text>
    </comment>
    <comment ref="W223" authorId="7"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X223" authorId="3" shapeId="0">
      <text>
        <r>
          <rPr>
            <b/>
            <sz val="9"/>
            <color indexed="81"/>
            <rFont val="Tahoma"/>
            <family val="2"/>
          </rPr>
          <t>Quynh:</t>
        </r>
        <r>
          <rPr>
            <sz val="9"/>
            <color indexed="81"/>
            <rFont val="Tahoma"/>
            <family val="2"/>
          </rPr>
          <t xml:space="preserve">
+ 5% từ 01/6/2018
+ 6% từ 01/6/2019
+ 7% từ 01/06/2020
+ 8% từ 01/06/2021
+ 9% từ 01/06/2022
+ 10% từ 01/06/2023</t>
        </r>
      </text>
    </comment>
    <comment ref="R224" authorId="4" shapeId="0">
      <text>
        <r>
          <rPr>
            <b/>
            <sz val="9"/>
            <color indexed="81"/>
            <rFont val="Tahoma"/>
            <family val="2"/>
          </rPr>
          <t>Admin:</t>
        </r>
        <r>
          <rPr>
            <sz val="9"/>
            <color indexed="81"/>
            <rFont val="Tahoma"/>
            <family val="2"/>
          </rPr>
          <t xml:space="preserve">
- HS 3,66 từ 01/9/2015 (NL trước hạn)
- HS 3,99 từ 01/9/2018
- HS 4,32 từ 01/9/2020 (NL trước hạn)
- HS 4,65 từ 01/9/2023</t>
        </r>
      </text>
    </comment>
    <comment ref="W224" authorId="6"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X224" authorId="6"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
+ 16% từ 01/9/2021
+ 17% từ 01/9/2022
+ 18% từ 01/9/2023</t>
        </r>
      </text>
    </comment>
    <comment ref="R225" authorId="1" shapeId="0">
      <text>
        <r>
          <rPr>
            <b/>
            <sz val="9"/>
            <color indexed="81"/>
            <rFont val="Tahoma"/>
            <family val="2"/>
          </rPr>
          <t>User:</t>
        </r>
        <r>
          <rPr>
            <sz val="9"/>
            <color indexed="81"/>
            <rFont val="Tahoma"/>
            <family val="2"/>
          </rPr>
          <t xml:space="preserve">
- HS 3,00 từ 01/09/2015
- HS 3,33 từ 01/09/2018
- HS 3,66 từ 01/09/2021</t>
        </r>
      </text>
    </comment>
    <comment ref="W225" authorId="7"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X225"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26" authorId="4" shapeId="0">
      <text>
        <r>
          <rPr>
            <b/>
            <sz val="9"/>
            <color indexed="81"/>
            <rFont val="Tahoma"/>
            <family val="2"/>
          </rPr>
          <t>Admin:</t>
        </r>
        <r>
          <rPr>
            <sz val="9"/>
            <color indexed="81"/>
            <rFont val="Tahoma"/>
            <family val="2"/>
          </rPr>
          <t xml:space="preserve">
- HS 3,66 từ 01/9/15- Nâng lương trước hạn
- HS 399 từ 01/9/2018
- HS 4,32 từ 01/9/2020 (Nâng lương trước hạn)
- HS 4,65 từ 01/9/2023</t>
        </r>
      </text>
    </comment>
    <comment ref="W226" authorId="4" shapeId="0">
      <text>
        <r>
          <rPr>
            <b/>
            <sz val="9"/>
            <color indexed="81"/>
            <rFont val="Tahoma"/>
            <family val="2"/>
          </rPr>
          <t>Admin:</t>
        </r>
        <r>
          <rPr>
            <sz val="9"/>
            <color indexed="81"/>
            <rFont val="Tahoma"/>
            <family val="2"/>
          </rPr>
          <t xml:space="preserve">
+ QĐ BN Trưởng bộ môn Công nghệ chế tạo từ 15/5/2016</t>
        </r>
      </text>
    </comment>
    <comment ref="X226"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7"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W227" authorId="1"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X227"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28" authorId="6" shapeId="0">
      <text>
        <r>
          <rPr>
            <b/>
            <sz val="9"/>
            <color indexed="81"/>
            <rFont val="Tahoma"/>
            <family val="2"/>
          </rPr>
          <t>user:</t>
        </r>
        <r>
          <rPr>
            <sz val="9"/>
            <color indexed="81"/>
            <rFont val="Tahoma"/>
            <family val="2"/>
          </rPr>
          <t xml:space="preserve">
- HS 3,99 từ 01/9/2019
- HS 4,32 từ 01/09/2022</t>
        </r>
      </text>
    </comment>
    <comment ref="X228"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9"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229"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30" authorId="1" shapeId="0">
      <text>
        <r>
          <rPr>
            <b/>
            <sz val="9"/>
            <color indexed="81"/>
            <rFont val="Tahoma"/>
            <family val="2"/>
          </rPr>
          <t>User:</t>
        </r>
        <r>
          <rPr>
            <sz val="9"/>
            <color indexed="81"/>
            <rFont val="Tahoma"/>
            <family val="2"/>
          </rPr>
          <t xml:space="preserve">
- HS 3,00 từ 01/09/2015
- HS 3,33 từ 01/09/2018
- HS 3,66 từ 01/09/2021</t>
        </r>
      </text>
    </comment>
    <comment ref="X230"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31" authorId="4" shapeId="0">
      <text>
        <r>
          <rPr>
            <b/>
            <sz val="9"/>
            <color indexed="81"/>
            <rFont val="Tahoma"/>
            <family val="2"/>
          </rPr>
          <t>Admin:</t>
        </r>
        <r>
          <rPr>
            <sz val="9"/>
            <color indexed="81"/>
            <rFont val="Tahoma"/>
            <family val="2"/>
          </rPr>
          <t xml:space="preserve">
- HS 3,00 từ 01/9/2016
- HS 3,33 từ 01/9/2019
- HS 3,66 từ 01/9/2022</t>
        </r>
      </text>
    </comment>
    <comment ref="X231" authorId="1" shapeId="0">
      <text>
        <r>
          <rPr>
            <b/>
            <sz val="9"/>
            <color indexed="81"/>
            <rFont val="Tahoma"/>
            <family val="2"/>
          </rPr>
          <t>User:</t>
        </r>
        <r>
          <rPr>
            <sz val="9"/>
            <color indexed="81"/>
            <rFont val="Tahoma"/>
            <family val="2"/>
          </rPr>
          <t xml:space="preserve">
- 6% từ 01/9/2016
- 7% từ 01/9/2017
- 8% từ 01/9/2018
- 9% từ 01/9/2019
- 10% từ 01/9/2020
- 11% từ 01/9/2021
- 12% từ 01/9/2022
- 13% từ 01/9/2023</t>
        </r>
      </text>
    </comment>
    <comment ref="R232" authorId="4" shapeId="0">
      <text>
        <r>
          <rPr>
            <b/>
            <sz val="9"/>
            <color indexed="81"/>
            <rFont val="Tahoma"/>
            <family val="2"/>
          </rPr>
          <t>Admin:</t>
        </r>
        <r>
          <rPr>
            <sz val="9"/>
            <color indexed="81"/>
            <rFont val="Tahoma"/>
            <family val="2"/>
          </rPr>
          <t xml:space="preserve">
- HS 3,00 từ 01/9/2016
- HS 3,33 từ 01/9/2019
- HS 3,66 từ 01/9/2022</t>
        </r>
      </text>
    </comment>
    <comment ref="X23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3" authorId="4" shapeId="0">
      <text>
        <r>
          <rPr>
            <b/>
            <sz val="9"/>
            <color indexed="81"/>
            <rFont val="Tahoma"/>
            <family val="2"/>
          </rPr>
          <t>Admin:</t>
        </r>
        <r>
          <rPr>
            <sz val="9"/>
            <color indexed="81"/>
            <rFont val="Tahoma"/>
            <family val="2"/>
          </rPr>
          <t xml:space="preserve">
- HS 3,00 từ 01/9/2016
- HS 3,33 từ 01/9/2019
- HS 3,66 từ 01/9/2022</t>
        </r>
      </text>
    </comment>
    <comment ref="X23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4" authorId="1" shapeId="0">
      <text>
        <r>
          <rPr>
            <b/>
            <sz val="9"/>
            <color indexed="81"/>
            <rFont val="Tahoma"/>
            <family val="2"/>
          </rPr>
          <t>User:</t>
        </r>
        <r>
          <rPr>
            <sz val="9"/>
            <color indexed="81"/>
            <rFont val="Tahoma"/>
            <family val="2"/>
          </rPr>
          <t xml:space="preserve">
- HS 2,67 từ 1/9/2014
- HS 3,00 từ 01/9/2017
- HS 3,33 từ 01/9/2020
- HS 3,66 từ 01/9/2023</t>
        </r>
      </text>
    </comment>
    <comment ref="W234" authorId="1"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X234"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35" authorId="4" shapeId="0">
      <text>
        <r>
          <rPr>
            <b/>
            <sz val="9"/>
            <color indexed="81"/>
            <rFont val="Tahoma"/>
            <family val="2"/>
          </rPr>
          <t>Admin:</t>
        </r>
        <r>
          <rPr>
            <sz val="9"/>
            <color indexed="81"/>
            <rFont val="Tahoma"/>
            <family val="2"/>
          </rPr>
          <t xml:space="preserve">
- HS 3,00 từ 01/10/2016
- HS 3,33 từ 01/10/2019
- HS 3,66 từ 01/10/2022</t>
        </r>
      </text>
    </comment>
    <comment ref="X235" authorId="4" shapeId="0">
      <text>
        <r>
          <rPr>
            <b/>
            <sz val="9"/>
            <color indexed="81"/>
            <rFont val="Tahoma"/>
            <family val="2"/>
          </rPr>
          <t>Admin:</t>
        </r>
        <r>
          <rPr>
            <sz val="9"/>
            <color indexed="81"/>
            <rFont val="Tahoma"/>
            <family val="2"/>
          </rPr>
          <t xml:space="preserve">
+ 8% từ 01/8/2018
+ 9% từ 01/8/2019
+ 10% từ 01/8/2020
+ 11% từ 01/8/2021
+ 12% từ 01/8/2022
+ 13% từ 01/8/2023</t>
        </r>
      </text>
    </comment>
    <comment ref="R236" authorId="4" shapeId="0">
      <text>
        <r>
          <rPr>
            <b/>
            <sz val="9"/>
            <color indexed="81"/>
            <rFont val="Tahoma"/>
            <family val="2"/>
          </rPr>
          <t>Admin:</t>
        </r>
        <r>
          <rPr>
            <sz val="9"/>
            <color indexed="81"/>
            <rFont val="Tahoma"/>
            <family val="2"/>
          </rPr>
          <t xml:space="preserve">
- HS 2,67 từ 01/10/2016
- HS 3,00 từ 01/10/2019
- HS 3,33 từ 01/10/2022</t>
        </r>
      </text>
    </comment>
    <comment ref="X236"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t>
        </r>
      </text>
    </comment>
    <comment ref="R237" authorId="4" shapeId="0">
      <text>
        <r>
          <rPr>
            <b/>
            <sz val="9"/>
            <color indexed="81"/>
            <rFont val="Tahoma"/>
            <family val="2"/>
          </rPr>
          <t>Admin:</t>
        </r>
        <r>
          <rPr>
            <sz val="9"/>
            <color indexed="81"/>
            <rFont val="Tahoma"/>
            <family val="2"/>
          </rPr>
          <t xml:space="preserve">
- HS 2,67 từ 01/09/2016
- HS 3,00 từ 01/9/2019</t>
        </r>
      </text>
    </comment>
    <comment ref="X237" authorId="6" shapeId="0">
      <text>
        <r>
          <rPr>
            <b/>
            <sz val="9"/>
            <color indexed="81"/>
            <rFont val="Tahoma"/>
            <family val="2"/>
          </rPr>
          <t>user:</t>
        </r>
        <r>
          <rPr>
            <sz val="9"/>
            <color indexed="81"/>
            <rFont val="Tahoma"/>
            <family val="2"/>
          </rPr>
          <t xml:space="preserve">
- 5% từ 01/09/2021
- 6% từ 01/09/2022
- 7% từ 01/9/2023</t>
        </r>
      </text>
    </comment>
    <comment ref="R238" authorId="3" shapeId="0">
      <text>
        <r>
          <rPr>
            <b/>
            <sz val="9"/>
            <color indexed="81"/>
            <rFont val="Tahoma"/>
            <family val="2"/>
          </rPr>
          <t>Quynh:</t>
        </r>
        <r>
          <rPr>
            <sz val="9"/>
            <color indexed="81"/>
            <rFont val="Tahoma"/>
            <family val="2"/>
          </rPr>
          <t xml:space="preserve">
- HS 2,67 từ 01/4/2019
- HS 3,00 từ 01/4/2022</t>
        </r>
      </text>
    </comment>
    <comment ref="X238" authorId="6" shapeId="0">
      <text>
        <r>
          <rPr>
            <b/>
            <sz val="9"/>
            <color indexed="81"/>
            <rFont val="Tahoma"/>
            <family val="2"/>
          </rPr>
          <t>user:</t>
        </r>
        <r>
          <rPr>
            <sz val="9"/>
            <color indexed="81"/>
            <rFont val="Tahoma"/>
            <family val="2"/>
          </rPr>
          <t xml:space="preserve">
+ 7% từ 01/12/2019
+ 8% từ 01/12/2020
+ 9% từ 01/12/2021
+ 10% từ 01/12/2022
+ 11% từ 01/12/2023</t>
        </r>
      </text>
    </comment>
    <comment ref="R239" authorId="6" shapeId="0">
      <text>
        <r>
          <rPr>
            <b/>
            <sz val="9"/>
            <color indexed="81"/>
            <rFont val="Tahoma"/>
            <family val="2"/>
          </rPr>
          <t>user:</t>
        </r>
        <r>
          <rPr>
            <sz val="9"/>
            <color indexed="81"/>
            <rFont val="Tahoma"/>
            <family val="2"/>
          </rPr>
          <t xml:space="preserve">
- BN CDNN từ 01/10/2019 (HS 2,67)
- HS 3,00 từ 01/10/2022</t>
        </r>
      </text>
    </comment>
    <comment ref="X239" authorId="0" shapeId="0">
      <text>
        <r>
          <rPr>
            <b/>
            <sz val="9"/>
            <color indexed="81"/>
            <rFont val="Tahoma"/>
            <family val="2"/>
          </rPr>
          <t>Windows User:</t>
        </r>
        <r>
          <rPr>
            <sz val="9"/>
            <color indexed="81"/>
            <rFont val="Tahoma"/>
            <family val="2"/>
          </rPr>
          <t xml:space="preserve">
- 5% từ 01/10/2022
- 6% từ 01/10/2023</t>
        </r>
      </text>
    </comment>
    <comment ref="R240" authorId="3" shapeId="0">
      <text>
        <r>
          <rPr>
            <b/>
            <sz val="9"/>
            <color indexed="81"/>
            <rFont val="Tahoma"/>
            <family val="2"/>
          </rPr>
          <t>Quynh:</t>
        </r>
        <r>
          <rPr>
            <sz val="9"/>
            <color indexed="81"/>
            <rFont val="Tahoma"/>
            <family val="2"/>
          </rPr>
          <t xml:space="preserve">
- HS 1,989 (Tuyển dụng 01/4/19)
- HS 2,34 từ 01/04/2020
- HS 2,67 từ 01/04/2022 (NL trước hạn)</t>
        </r>
      </text>
    </comment>
    <comment ref="D241" authorId="6" shapeId="0">
      <text>
        <r>
          <rPr>
            <b/>
            <sz val="9"/>
            <color indexed="81"/>
            <rFont val="Tahoma"/>
            <family val="2"/>
          </rPr>
          <t>user:</t>
        </r>
        <r>
          <rPr>
            <sz val="9"/>
            <color indexed="81"/>
            <rFont val="Tahoma"/>
            <family val="2"/>
          </rPr>
          <t xml:space="preserve">
- Thuyên chuyển từ TC Nguyễn Hữu Cảnh về trường từ 15/06/2021</t>
        </r>
      </text>
    </comment>
    <comment ref="O241" authorId="0" shapeId="0">
      <text>
        <r>
          <rPr>
            <b/>
            <sz val="9"/>
            <color indexed="81"/>
            <rFont val="Tahoma"/>
            <family val="2"/>
          </rPr>
          <t>Windows User:</t>
        </r>
        <r>
          <rPr>
            <sz val="9"/>
            <color indexed="81"/>
            <rFont val="Tahoma"/>
            <family val="2"/>
          </rPr>
          <t xml:space="preserve">
- QĐ Chuyển mã CDNN từ V.09.02.07 sang V.09.02.03 từ 24/5/2023</t>
        </r>
      </text>
    </comment>
    <comment ref="R241" authorId="6" shapeId="0">
      <text>
        <r>
          <rPr>
            <b/>
            <sz val="9"/>
            <color indexed="81"/>
            <rFont val="Tahoma"/>
            <family val="2"/>
          </rPr>
          <t>user:</t>
        </r>
        <r>
          <rPr>
            <sz val="9"/>
            <color indexed="81"/>
            <rFont val="Tahoma"/>
            <family val="2"/>
          </rPr>
          <t xml:space="preserve">
- HS 4,32 từ 01/4/2022</t>
        </r>
      </text>
    </comment>
    <comment ref="X241" authorId="6" shapeId="0">
      <text>
        <r>
          <rPr>
            <b/>
            <sz val="9"/>
            <color indexed="81"/>
            <rFont val="Tahoma"/>
            <family val="2"/>
          </rPr>
          <t>user:</t>
        </r>
        <r>
          <rPr>
            <sz val="9"/>
            <color indexed="81"/>
            <rFont val="Tahoma"/>
            <family val="2"/>
          </rPr>
          <t xml:space="preserve">
- 17% từ 01/4/2022
- 18% từ 01/4/2023
- 19% từ 01/4/2024</t>
        </r>
      </text>
    </comment>
    <comment ref="R242" authorId="6" shapeId="0">
      <text>
        <r>
          <rPr>
            <b/>
            <sz val="9"/>
            <color indexed="81"/>
            <rFont val="Tahoma"/>
            <family val="2"/>
          </rPr>
          <t>user:</t>
        </r>
        <r>
          <rPr>
            <sz val="9"/>
            <color indexed="81"/>
            <rFont val="Tahoma"/>
            <family val="2"/>
          </rPr>
          <t xml:space="preserve">
- HS 2,67 từ 01/4/2021 (Mốc NL từ 01/03/2020)
- HS 3,00 từ 01/03/2022 (NL trước hạn)</t>
        </r>
      </text>
    </comment>
    <comment ref="X242" authorId="2" shapeId="0">
      <text>
        <r>
          <rPr>
            <b/>
            <sz val="9"/>
            <color indexed="81"/>
            <rFont val="Tahoma"/>
            <family val="2"/>
          </rPr>
          <t>huynh-panda:</t>
        </r>
        <r>
          <rPr>
            <sz val="9"/>
            <color indexed="81"/>
            <rFont val="Tahoma"/>
            <family val="2"/>
          </rPr>
          <t xml:space="preserve">
- 5% từ 01/3/2022
- 6% từ 01/3/2023
- 7% từ 01/3/2024</t>
        </r>
      </text>
    </comment>
    <comment ref="R243" authorId="0" shapeId="0">
      <text>
        <r>
          <rPr>
            <b/>
            <sz val="9"/>
            <color indexed="81"/>
            <rFont val="Tahoma"/>
            <family val="2"/>
          </rPr>
          <t>Windows User:</t>
        </r>
        <r>
          <rPr>
            <sz val="9"/>
            <color indexed="81"/>
            <rFont val="Tahoma"/>
            <family val="2"/>
          </rPr>
          <t xml:space="preserve">
- HS 2,67 từ 01/10/2022 (Tuyển dụng VC). Mốc NL 01/01/2022</t>
        </r>
      </text>
    </comment>
    <comment ref="X243" authorId="0" shapeId="0">
      <text>
        <r>
          <rPr>
            <b/>
            <sz val="9"/>
            <color indexed="81"/>
            <rFont val="Tahoma"/>
            <family val="2"/>
          </rPr>
          <t>Windows User:</t>
        </r>
        <r>
          <rPr>
            <sz val="9"/>
            <color indexed="81"/>
            <rFont val="Tahoma"/>
            <family val="2"/>
          </rPr>
          <t xml:space="preserve">
- 7% từ 01/10/2022 (Tuyển dụng viên chức)
- 8% từ 01/07/2022</t>
        </r>
      </text>
    </comment>
    <comment ref="R244" authorId="4" shapeId="0">
      <text>
        <r>
          <rPr>
            <b/>
            <sz val="9"/>
            <color indexed="81"/>
            <rFont val="Tahoma"/>
            <family val="2"/>
          </rPr>
          <t>Admin:</t>
        </r>
        <r>
          <rPr>
            <sz val="9"/>
            <color indexed="81"/>
            <rFont val="Tahoma"/>
            <family val="2"/>
          </rPr>
          <t xml:space="preserve">
- HS 2,67 từ 01/09/2016
- HS 3,00 từ 01/09/2019
- HS 3,33 từ 01/09/2021 (NL trước hạn)</t>
        </r>
      </text>
    </comment>
    <comment ref="W244" authorId="6" shapeId="0">
      <text>
        <r>
          <rPr>
            <b/>
            <sz val="9"/>
            <color indexed="81"/>
            <rFont val="Tahoma"/>
            <family val="2"/>
          </rPr>
          <t>user:</t>
        </r>
        <r>
          <rPr>
            <sz val="9"/>
            <color indexed="81"/>
            <rFont val="Tahoma"/>
            <family val="2"/>
          </rPr>
          <t xml:space="preserve">
Trưởng BM Cơ điện tử và Tự động hóa từ 01/01/2019</t>
        </r>
      </text>
    </comment>
    <comment ref="X244" authorId="6" shapeId="0">
      <text>
        <r>
          <rPr>
            <b/>
            <sz val="9"/>
            <color indexed="81"/>
            <rFont val="Tahoma"/>
            <family val="2"/>
          </rPr>
          <t>user:</t>
        </r>
        <r>
          <rPr>
            <sz val="9"/>
            <color indexed="81"/>
            <rFont val="Tahoma"/>
            <family val="2"/>
          </rPr>
          <t xml:space="preserve">
+ 11% từ 01/9/2019
+ 12% từ 01/9/2020
+ 13% từ 01/9/2021
+ 14% từ 01/9/2022
+ 15% từ 01/9/2023</t>
        </r>
      </text>
    </comment>
    <comment ref="R245" authorId="4" shapeId="0">
      <text>
        <r>
          <rPr>
            <b/>
            <sz val="9"/>
            <color indexed="81"/>
            <rFont val="Tahoma"/>
            <family val="2"/>
          </rPr>
          <t>Admin:</t>
        </r>
        <r>
          <rPr>
            <sz val="9"/>
            <color indexed="81"/>
            <rFont val="Tahoma"/>
            <family val="2"/>
          </rPr>
          <t xml:space="preserve">
- HS 3,00 từ 01/9/2016
- HS 3,33 từ 01/9/2019
- HS 3,66 từ 01/9/2022</t>
        </r>
      </text>
    </comment>
    <comment ref="X24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46" authorId="1" shapeId="0">
      <text>
        <r>
          <rPr>
            <b/>
            <sz val="9"/>
            <color indexed="81"/>
            <rFont val="Tahoma"/>
            <family val="2"/>
          </rPr>
          <t>User:</t>
        </r>
        <r>
          <rPr>
            <sz val="9"/>
            <color indexed="81"/>
            <rFont val="Tahoma"/>
            <family val="2"/>
          </rPr>
          <t xml:space="preserve">
HS 3,33 từ 01/9/2015
- HS 3,66 từ 01/9/2018
- HS 3,99 từ 01/9/2021</t>
        </r>
      </text>
    </comment>
    <comment ref="X246"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47"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47"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8" authorId="6" shapeId="0">
      <text>
        <r>
          <rPr>
            <b/>
            <sz val="9"/>
            <color indexed="81"/>
            <rFont val="Tahoma"/>
            <family val="2"/>
          </rPr>
          <t>user:</t>
        </r>
        <r>
          <rPr>
            <sz val="9"/>
            <color indexed="81"/>
            <rFont val="Tahoma"/>
            <family val="2"/>
          </rPr>
          <t xml:space="preserve">
- HS 3,33 từ 01/9/2019 (NL trước hạn)
- HS 3,66 từ 01/9/2022</t>
        </r>
      </text>
    </comment>
    <comment ref="X248"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9" authorId="4" shapeId="0">
      <text>
        <r>
          <rPr>
            <b/>
            <sz val="9"/>
            <color indexed="81"/>
            <rFont val="Tahoma"/>
            <family val="2"/>
          </rPr>
          <t>Admin:</t>
        </r>
        <r>
          <rPr>
            <sz val="9"/>
            <color indexed="81"/>
            <rFont val="Tahoma"/>
            <family val="2"/>
          </rPr>
          <t xml:space="preserve">
- 3,33 từ 01/12/2015 (NL trước hạn)
- HS 3,66 từ 01/12/2018
- HS 3.99 từ 01/12/2021</t>
        </r>
      </text>
    </comment>
    <comment ref="X249" authorId="7"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
+ 16% từ 01/03/2021
+ 17% từ 01/03/2022
+ 18% từ 01/03/2023
+ 19% từ 01/03/2024</t>
        </r>
      </text>
    </comment>
    <comment ref="D250" authorId="6" shapeId="0">
      <text>
        <r>
          <rPr>
            <b/>
            <sz val="9"/>
            <color indexed="81"/>
            <rFont val="Tahoma"/>
            <family val="2"/>
          </rPr>
          <t>user:</t>
        </r>
        <r>
          <rPr>
            <sz val="9"/>
            <color indexed="81"/>
            <rFont val="Tahoma"/>
            <family val="2"/>
          </rPr>
          <t xml:space="preserve">
- Thuyên chuyển từ Trường TC Bách Nghệ về trường từ 15/06/2021</t>
        </r>
      </text>
    </comment>
    <comment ref="O250" authorId="0" shapeId="0">
      <text>
        <r>
          <rPr>
            <b/>
            <sz val="9"/>
            <color indexed="81"/>
            <rFont val="Tahoma"/>
            <family val="2"/>
          </rPr>
          <t>Windows User:</t>
        </r>
        <r>
          <rPr>
            <sz val="9"/>
            <color indexed="81"/>
            <rFont val="Tahoma"/>
            <family val="2"/>
          </rPr>
          <t xml:space="preserve">
- QĐ Chuyển đỏi chức danh từ mã V.09.02.07 sang mã V.09.02.03 từ 24/5/2023</t>
        </r>
      </text>
    </comment>
    <comment ref="R250" authorId="0" shapeId="0">
      <text>
        <r>
          <rPr>
            <b/>
            <sz val="9"/>
            <color indexed="81"/>
            <rFont val="Tahoma"/>
            <family val="2"/>
          </rPr>
          <t>Windows User:</t>
        </r>
        <r>
          <rPr>
            <sz val="9"/>
            <color indexed="81"/>
            <rFont val="Tahoma"/>
            <family val="2"/>
          </rPr>
          <t xml:space="preserve">
- HS 3,99 từ 01/11/2022</t>
        </r>
      </text>
    </comment>
    <comment ref="X250" authorId="6" shapeId="0">
      <text>
        <r>
          <rPr>
            <b/>
            <sz val="9"/>
            <color indexed="81"/>
            <rFont val="Tahoma"/>
            <family val="2"/>
          </rPr>
          <t>user:</t>
        </r>
        <r>
          <rPr>
            <sz val="9"/>
            <color indexed="81"/>
            <rFont val="Tahoma"/>
            <family val="2"/>
          </rPr>
          <t xml:space="preserve">
+ 13% từ 01/10/2021
+ 14% từ 01/10/2022
+ 15% từ 01/10/2023</t>
        </r>
      </text>
    </comment>
    <comment ref="R251" authorId="3" shapeId="0">
      <text>
        <r>
          <rPr>
            <b/>
            <sz val="9"/>
            <color indexed="81"/>
            <rFont val="Tahoma"/>
            <family val="2"/>
          </rPr>
          <t>Quynh:</t>
        </r>
        <r>
          <rPr>
            <sz val="9"/>
            <color indexed="81"/>
            <rFont val="Tahoma"/>
            <family val="2"/>
          </rPr>
          <t xml:space="preserve">
- HS 2,67 từ 01/4/2019
- HS 3,00 từ 01/4/2021 (NL trước hạn)
- HS 3,33 từ 01/4/2024</t>
        </r>
      </text>
    </comment>
    <comment ref="X251" authorId="0" shapeId="0">
      <text>
        <r>
          <rPr>
            <b/>
            <sz val="9"/>
            <color indexed="81"/>
            <rFont val="Tahoma"/>
          </rPr>
          <t>Windows User:</t>
        </r>
        <r>
          <rPr>
            <sz val="9"/>
            <color indexed="81"/>
            <rFont val="Tahoma"/>
          </rPr>
          <t xml:space="preserve">
- Hưởng 5% từ 01/4/2024</t>
        </r>
      </text>
    </comment>
    <comment ref="R252" authorId="6" shapeId="0">
      <text>
        <r>
          <rPr>
            <b/>
            <sz val="9"/>
            <color indexed="81"/>
            <rFont val="Tahoma"/>
            <family val="2"/>
          </rPr>
          <t>user:</t>
        </r>
        <r>
          <rPr>
            <sz val="9"/>
            <color indexed="81"/>
            <rFont val="Tahoma"/>
            <family val="2"/>
          </rPr>
          <t xml:space="preserve">
- HS 2,34 từ 01/01/2020
- HS 2,67 từ 01/01/2022 (NL trước hạn)</t>
        </r>
      </text>
    </comment>
    <comment ref="W252" authorId="0" shapeId="0">
      <text>
        <r>
          <rPr>
            <b/>
            <sz val="9"/>
            <color indexed="81"/>
            <rFont val="Tahoma"/>
            <family val="2"/>
          </rPr>
          <t>Windows User:</t>
        </r>
        <r>
          <rPr>
            <sz val="9"/>
            <color indexed="81"/>
            <rFont val="Tahoma"/>
            <family val="2"/>
          </rPr>
          <t xml:space="preserve">
- Trưởng bộ môn Kỹ thuật Điện - Điện tử từ 01/10/2023</t>
        </r>
      </text>
    </comment>
    <comment ref="R253" authorId="3" shapeId="0">
      <text>
        <r>
          <rPr>
            <b/>
            <sz val="9"/>
            <color indexed="81"/>
            <rFont val="Tahoma"/>
            <family val="2"/>
          </rPr>
          <t>Quynh:</t>
        </r>
        <r>
          <rPr>
            <sz val="9"/>
            <color indexed="81"/>
            <rFont val="Tahoma"/>
            <family val="2"/>
          </rPr>
          <t xml:space="preserve">
- HS 2,34 từ 01/4/2019
- HS 2,67 từ 01/4/2022</t>
        </r>
      </text>
    </comment>
    <comment ref="W253" authorId="0" shapeId="0">
      <text>
        <r>
          <rPr>
            <b/>
            <sz val="9"/>
            <color indexed="81"/>
            <rFont val="Tahoma"/>
            <family val="2"/>
          </rPr>
          <t>Windows User:</t>
        </r>
        <r>
          <rPr>
            <sz val="9"/>
            <color indexed="81"/>
            <rFont val="Tahoma"/>
            <family val="2"/>
          </rPr>
          <t xml:space="preserve">
- QĐ Bổ nhiệm Trưởng BM Điện CN từ 01/10/2022</t>
        </r>
      </text>
    </comment>
    <comment ref="X253" authorId="0" shapeId="0">
      <text>
        <r>
          <rPr>
            <b/>
            <sz val="9"/>
            <color indexed="81"/>
            <rFont val="Tahoma"/>
          </rPr>
          <t>Windows User:</t>
        </r>
        <r>
          <rPr>
            <sz val="9"/>
            <color indexed="81"/>
            <rFont val="Tahoma"/>
          </rPr>
          <t xml:space="preserve">
- 5% từ 01/4/2024</t>
        </r>
      </text>
    </comment>
    <comment ref="R254" authorId="0" shapeId="0">
      <text>
        <r>
          <rPr>
            <b/>
            <sz val="9"/>
            <color indexed="81"/>
            <rFont val="Tahoma"/>
            <family val="2"/>
          </rPr>
          <t>Windows User:</t>
        </r>
        <r>
          <rPr>
            <sz val="9"/>
            <color indexed="81"/>
            <rFont val="Tahoma"/>
            <family val="2"/>
          </rPr>
          <t xml:space="preserve">
- HS 2,67 từ 01/10/2023</t>
        </r>
      </text>
    </comment>
    <comment ref="R255" authorId="0" shapeId="0">
      <text>
        <r>
          <rPr>
            <b/>
            <sz val="9"/>
            <color indexed="81"/>
            <rFont val="Tahoma"/>
            <family val="2"/>
          </rPr>
          <t>Windows User:</t>
        </r>
        <r>
          <rPr>
            <sz val="9"/>
            <color indexed="81"/>
            <rFont val="Tahoma"/>
            <family val="2"/>
          </rPr>
          <t xml:space="preserve">
- HS 2,34 từ 01/10/2023</t>
        </r>
      </text>
    </comment>
    <comment ref="R256" authorId="1" shapeId="0">
      <text>
        <r>
          <rPr>
            <b/>
            <sz val="9"/>
            <color indexed="81"/>
            <rFont val="Tahoma"/>
            <family val="2"/>
          </rPr>
          <t>User:</t>
        </r>
        <r>
          <rPr>
            <sz val="9"/>
            <color indexed="81"/>
            <rFont val="Tahoma"/>
            <family val="2"/>
          </rPr>
          <t xml:space="preserve">
- HS 3.33 từ 01/09/2013 (NL trước hạn)
- HS 3,66 từ 01/9/2016 
- HS 3,99 từ 01/9/2018 (NL trước hạn)
- HS 4,32 từ 01/9/2021
- HS 4,65 từ 01/9/2023 (NL trước hạn)</t>
        </r>
      </text>
    </comment>
    <comment ref="W256" authorId="1" shapeId="0">
      <text>
        <r>
          <rPr>
            <b/>
            <sz val="9"/>
            <color indexed="81"/>
            <rFont val="Tahoma"/>
            <family val="2"/>
          </rPr>
          <t>User:</t>
        </r>
        <r>
          <rPr>
            <sz val="9"/>
            <color indexed="81"/>
            <rFont val="Tahoma"/>
            <family val="2"/>
          </rPr>
          <t xml:space="preserve">
- QĐ Bổ nhiệm Trưởng khoa CN Động lực từ 01/8/2015
</t>
        </r>
      </text>
    </comment>
    <comment ref="X256" authorId="6" shapeId="0">
      <text>
        <r>
          <rPr>
            <b/>
            <sz val="9"/>
            <color indexed="81"/>
            <rFont val="Tahoma"/>
            <family val="2"/>
          </rPr>
          <t>user:</t>
        </r>
        <r>
          <rPr>
            <sz val="9"/>
            <color indexed="81"/>
            <rFont val="Tahoma"/>
            <family val="2"/>
          </rPr>
          <t xml:space="preserve">
- 15% từ 01/9/2021
- 16% từ 01/9/2022</t>
        </r>
      </text>
    </comment>
    <comment ref="R257" authorId="4" shapeId="0">
      <text>
        <r>
          <rPr>
            <b/>
            <sz val="9"/>
            <color indexed="81"/>
            <rFont val="Tahoma"/>
            <family val="2"/>
          </rPr>
          <t>Admin:</t>
        </r>
        <r>
          <rPr>
            <sz val="9"/>
            <color indexed="81"/>
            <rFont val="Tahoma"/>
            <family val="2"/>
          </rPr>
          <t xml:space="preserve">
- HS 3,33 từ 01/9/2015 (NL trước hạn)
- HS 3,66 từ 01/9/2018
- HS 3,99 từ 01/9/2020 (NL trước hạn)
- HS 4,32 từ 01/09/2023</t>
        </r>
      </text>
    </comment>
    <comment ref="W257" authorId="6" shapeId="0">
      <text>
        <r>
          <rPr>
            <sz val="8"/>
            <color indexed="81"/>
            <rFont val="Tahoma"/>
            <family val="2"/>
          </rPr>
          <t>QĐ bổ nhiệmTTCM từ 01/09/2012
- Bổ nhiệm Trưởng bộ môn Gầm - Ô tô từ 01/9/2015</t>
        </r>
      </text>
    </comment>
    <comment ref="X257"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58" authorId="1" shapeId="0">
      <text>
        <r>
          <rPr>
            <b/>
            <sz val="9"/>
            <color indexed="81"/>
            <rFont val="Tahoma"/>
            <family val="2"/>
          </rPr>
          <t>User:</t>
        </r>
        <r>
          <rPr>
            <sz val="9"/>
            <color indexed="81"/>
            <rFont val="Tahoma"/>
            <family val="2"/>
          </rPr>
          <t xml:space="preserve">
- HS 3,00 từ 01/9/2014
- HS 3,33 từ 01/9/2016 (NL trước hạn 2016)
- HS 3,66 từ 01/9/2019
- HS 3,99 từ 01/9/2022</t>
        </r>
      </text>
    </comment>
    <comment ref="W258" authorId="6" shapeId="0">
      <text>
        <r>
          <rPr>
            <b/>
            <sz val="9"/>
            <color indexed="81"/>
            <rFont val="Tahoma"/>
            <family val="2"/>
          </rPr>
          <t>user:</t>
        </r>
        <r>
          <rPr>
            <sz val="9"/>
            <color indexed="81"/>
            <rFont val="Tahoma"/>
            <family val="2"/>
          </rPr>
          <t xml:space="preserve">
- BN Trưởng BM Động cơ Ô tô từ T9/2020</t>
        </r>
      </text>
    </comment>
    <comment ref="X258" authorId="1" shapeId="0">
      <text>
        <r>
          <rPr>
            <b/>
            <sz val="9"/>
            <color indexed="81"/>
            <rFont val="Tahoma"/>
            <family val="2"/>
          </rPr>
          <t>User:</t>
        </r>
        <r>
          <rPr>
            <sz val="9"/>
            <color indexed="81"/>
            <rFont val="Tahoma"/>
            <family val="2"/>
          </rPr>
          <t xml:space="preserve">
- 6% từ 01/9/15
- 7% từ 01/9/2016
- 8% từ 01/9/2017
- 9% từ 01/9/2018
- 10% từ 01/9/2019
- 11% từ 01/9/2020
- 12% từ 01/9/2021
- 13% từ 01/9/2022
- 14% từ 01/9/2023</t>
        </r>
      </text>
    </comment>
    <comment ref="R259" authorId="1" shapeId="0">
      <text>
        <r>
          <rPr>
            <b/>
            <sz val="9"/>
            <color indexed="81"/>
            <rFont val="Tahoma"/>
            <family val="2"/>
          </rPr>
          <t>User:</t>
        </r>
        <r>
          <rPr>
            <sz val="9"/>
            <color indexed="81"/>
            <rFont val="Tahoma"/>
            <family val="2"/>
          </rPr>
          <t xml:space="preserve">
+ hệ số 2,34 từ 1/9/2014
+ HS 2,67 từ 01/9/2016 (NL trước hạn 2016)
+ HS 3,00 từ 01/9/2019
+ HS 3,33 từ 01/9/2021 (NL trước hạn)</t>
        </r>
      </text>
    </comment>
    <comment ref="W259" authorId="3" shapeId="0">
      <text>
        <r>
          <rPr>
            <b/>
            <sz val="9"/>
            <color indexed="81"/>
            <rFont val="Tahoma"/>
            <family val="2"/>
          </rPr>
          <t>Quynh:</t>
        </r>
        <r>
          <rPr>
            <sz val="9"/>
            <color indexed="81"/>
            <rFont val="Tahoma"/>
            <family val="2"/>
          </rPr>
          <t xml:space="preserve">
- BN Trưởng bộ môn Điện Ô tô từ 01/01/2019
</t>
        </r>
      </text>
    </comment>
    <comment ref="X259"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0"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
- HS 3,33 từ 01/9/2021 (NL trước hạn)</t>
        </r>
      </text>
    </comment>
    <comment ref="X260"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1"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61" authorId="1"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X261"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62" authorId="1" shapeId="0">
      <text>
        <r>
          <rPr>
            <b/>
            <sz val="9"/>
            <color indexed="81"/>
            <rFont val="Tahoma"/>
            <family val="2"/>
          </rPr>
          <t>User:</t>
        </r>
        <r>
          <rPr>
            <sz val="9"/>
            <color indexed="81"/>
            <rFont val="Tahoma"/>
            <family val="2"/>
          </rPr>
          <t xml:space="preserve">
- HS 3,00 từ 01/9/2015
- HS 3,33 từ 01/9/2018
- HS 3,66 từ 01/9/2021</t>
        </r>
      </text>
    </comment>
    <comment ref="X26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63"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26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4"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64" authorId="1"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X26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5" authorId="6" shapeId="0">
      <text>
        <r>
          <rPr>
            <b/>
            <sz val="9"/>
            <color indexed="81"/>
            <rFont val="Tahoma"/>
            <family val="2"/>
          </rPr>
          <t>user:</t>
        </r>
        <r>
          <rPr>
            <sz val="9"/>
            <color indexed="81"/>
            <rFont val="Tahoma"/>
            <family val="2"/>
          </rPr>
          <t xml:space="preserve">
- BN CDNN từ 01/10/2019 (HS 2,34)</t>
        </r>
      </text>
    </comment>
    <comment ref="R266" authorId="4" shapeId="0">
      <text>
        <r>
          <rPr>
            <b/>
            <sz val="9"/>
            <color indexed="81"/>
            <rFont val="Tahoma"/>
            <family val="2"/>
          </rPr>
          <t>Admin:</t>
        </r>
        <r>
          <rPr>
            <sz val="9"/>
            <color indexed="81"/>
            <rFont val="Tahoma"/>
            <family val="2"/>
          </rPr>
          <t xml:space="preserve">
- HS 3,00 từ 01/9/15 (NL trước hạn)
- HS 3,33 từ 01/9/18
- HS 3,66 từ 01/9/2021</t>
        </r>
      </text>
    </comment>
    <comment ref="X266"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7" authorId="1" shapeId="0">
      <text>
        <r>
          <rPr>
            <b/>
            <sz val="9"/>
            <color indexed="81"/>
            <rFont val="Tahoma"/>
            <family val="2"/>
          </rPr>
          <t>User:</t>
        </r>
        <r>
          <rPr>
            <sz val="9"/>
            <color indexed="81"/>
            <rFont val="Tahoma"/>
            <family val="2"/>
          </rPr>
          <t xml:space="preserve">
- HS 2,67 từ 01/9/2014
- HS 3,00 từ 01/9/2017
- HS 3,33 từ 01/9/2019 (NL trước hạn)
- HS 3,66 từ 01/9/2022</t>
        </r>
      </text>
    </comment>
    <comment ref="X267" authorId="1" shapeId="0">
      <text>
        <r>
          <rPr>
            <b/>
            <sz val="9"/>
            <color indexed="81"/>
            <rFont val="Tahoma"/>
            <family val="2"/>
          </rPr>
          <t>User:</t>
        </r>
        <r>
          <rPr>
            <sz val="9"/>
            <color indexed="81"/>
            <rFont val="Tahoma"/>
            <family val="2"/>
          </rPr>
          <t xml:space="preserve">
- 5% từ 01/5/2015
- 6% từ 01/5/2016
- 7% từ 01/05/2017
- 8% từ 01/5/2018
- 9% từ 01/5/2019
- 10% từ 01/5/2020
- 11% từ 01/5/2021
- 12% từ 01/5/2022
- 13% từ 01/5/2023</t>
        </r>
      </text>
    </comment>
    <comment ref="R268" authorId="1" shapeId="0">
      <text>
        <r>
          <rPr>
            <b/>
            <sz val="9"/>
            <color indexed="81"/>
            <rFont val="Tahoma"/>
            <family val="2"/>
          </rPr>
          <t>User:</t>
        </r>
        <r>
          <rPr>
            <sz val="9"/>
            <color indexed="81"/>
            <rFont val="Tahoma"/>
            <family val="2"/>
          </rPr>
          <t xml:space="preserve">
- Bậc 2, HS 2,67 từ 01/03/2015
- HS 3,00 từ 01/03/2018
- HS 3,33 từ 01/03/2020 (Nâng lương trước hạn)
- HS 3,66 từ 01/03/2023</t>
        </r>
      </text>
    </comment>
    <comment ref="X268" authorId="3" shapeId="0">
      <text>
        <r>
          <rPr>
            <b/>
            <sz val="9"/>
            <color indexed="81"/>
            <rFont val="Tahoma"/>
            <family val="2"/>
          </rPr>
          <t>Quynh:</t>
        </r>
        <r>
          <rPr>
            <sz val="9"/>
            <color indexed="81"/>
            <rFont val="Tahoma"/>
            <family val="2"/>
          </rPr>
          <t xml:space="preserve">
+ 7% từ 01/3/2019
+ 8% từ 01/03/2020
+ 9% từ 01/03/2021
+ 10% từ 01/03/2022
+ 11% từ 01/03/2023
+ 12% từ 01/03/2024</t>
        </r>
      </text>
    </comment>
    <comment ref="R269" authorId="4" shapeId="0">
      <text>
        <r>
          <rPr>
            <b/>
            <sz val="9"/>
            <color indexed="81"/>
            <rFont val="Tahoma"/>
            <family val="2"/>
          </rPr>
          <t>Admin:</t>
        </r>
        <r>
          <rPr>
            <sz val="9"/>
            <color indexed="81"/>
            <rFont val="Tahoma"/>
            <family val="2"/>
          </rPr>
          <t xml:space="preserve">
- HS 2,67 từ 01/9/15 (NL trước hạn)
- HS 3,00 từ 01/9/2018
- HS 3,33 từ 01/9/2021
- HS 3,66 từ 01/9/2023 (NL trước hạn)</t>
        </r>
      </text>
    </comment>
    <comment ref="X269"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70" authorId="4" shapeId="0">
      <text>
        <r>
          <rPr>
            <b/>
            <sz val="9"/>
            <color indexed="81"/>
            <rFont val="Tahoma"/>
            <family val="2"/>
          </rPr>
          <t>Admin:</t>
        </r>
        <r>
          <rPr>
            <sz val="9"/>
            <color indexed="81"/>
            <rFont val="Tahoma"/>
            <family val="2"/>
          </rPr>
          <t xml:space="preserve">
- HS 2,67 từ 01/10/2015 (NL trước hạn)
- 3,00 từ 01/10/2018
- 3,33 từ 01/10/2020 (NL trước hạn)
- 3,66 từ 01/10/2023</t>
        </r>
      </text>
    </comment>
    <comment ref="X270"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
</t>
        </r>
      </text>
    </comment>
    <comment ref="R271" authorId="6" shapeId="0">
      <text>
        <r>
          <rPr>
            <b/>
            <sz val="9"/>
            <color indexed="81"/>
            <rFont val="Tahoma"/>
            <family val="2"/>
          </rPr>
          <t>user:</t>
        </r>
        <r>
          <rPr>
            <sz val="9"/>
            <color indexed="81"/>
            <rFont val="Tahoma"/>
            <family val="2"/>
          </rPr>
          <t xml:space="preserve">
- BNCDNN từ 01/10/2019
- HS 3,33 từ 01/12/2019
- HS 3,66 từ 01/12/2022</t>
        </r>
      </text>
    </comment>
    <comment ref="X271" authorId="6" shapeId="0">
      <text>
        <r>
          <rPr>
            <b/>
            <sz val="9"/>
            <color indexed="81"/>
            <rFont val="Tahoma"/>
            <family val="2"/>
          </rPr>
          <t>user:</t>
        </r>
        <r>
          <rPr>
            <sz val="9"/>
            <color indexed="81"/>
            <rFont val="Tahoma"/>
            <family val="2"/>
          </rPr>
          <t xml:space="preserve">
- 10% từ 01/12/2020
- 11% từ 01/12/2021
- 12% từ 01/12/2022
- 13% từ 01/12/2023</t>
        </r>
      </text>
    </comment>
    <comment ref="R272" authorId="0" shapeId="0">
      <text>
        <r>
          <rPr>
            <b/>
            <sz val="9"/>
            <color indexed="81"/>
            <rFont val="Tahoma"/>
            <family val="2"/>
          </rPr>
          <t>Windows User:</t>
        </r>
        <r>
          <rPr>
            <sz val="9"/>
            <color indexed="81"/>
            <rFont val="Tahoma"/>
            <family val="2"/>
          </rPr>
          <t xml:space="preserve">
- HS 3,00 hưởng từ 01/10/2022 (TD viên chức). Mốc NL từ 01/1/2020
- HS 3,33 từ 01/01/2023</t>
        </r>
      </text>
    </comment>
    <comment ref="X272" authorId="0" shapeId="0">
      <text>
        <r>
          <rPr>
            <b/>
            <sz val="9"/>
            <color indexed="81"/>
            <rFont val="Tahoma"/>
            <family val="2"/>
          </rPr>
          <t>Windows User:</t>
        </r>
        <r>
          <rPr>
            <sz val="9"/>
            <color indexed="81"/>
            <rFont val="Tahoma"/>
            <family val="2"/>
          </rPr>
          <t xml:space="preserve">
- 9% từ ngày 01/01/2023
- 10% từ ngày 01/01/2024</t>
        </r>
      </text>
    </comment>
    <comment ref="R273" authorId="6" shapeId="0">
      <text>
        <r>
          <rPr>
            <b/>
            <sz val="9"/>
            <color indexed="81"/>
            <rFont val="Tahoma"/>
            <family val="2"/>
          </rPr>
          <t>user:</t>
        </r>
        <r>
          <rPr>
            <sz val="9"/>
            <color indexed="81"/>
            <rFont val="Tahoma"/>
            <family val="2"/>
          </rPr>
          <t xml:space="preserve">
- BN CDNN từ 01/10/2019 (HS 2,34)
- HS 2,67 từ 01/10/2021 (NL trước hạn)</t>
        </r>
      </text>
    </comment>
    <comment ref="R274" authorId="6" shapeId="0">
      <text>
        <r>
          <rPr>
            <b/>
            <sz val="9"/>
            <color indexed="81"/>
            <rFont val="Tahoma"/>
            <family val="2"/>
          </rPr>
          <t>user:</t>
        </r>
        <r>
          <rPr>
            <sz val="9"/>
            <color indexed="81"/>
            <rFont val="Tahoma"/>
            <family val="2"/>
          </rPr>
          <t xml:space="preserve">
- HS 2,67 từ 01/01/2020
- HS 3,00 từ 01/01/2022 (NL trước hạn)
</t>
        </r>
      </text>
    </comment>
    <comment ref="R275" authorId="6" shapeId="0">
      <text>
        <r>
          <rPr>
            <b/>
            <sz val="9"/>
            <color indexed="81"/>
            <rFont val="Tahoma"/>
            <family val="2"/>
          </rPr>
          <t>user:</t>
        </r>
        <r>
          <rPr>
            <sz val="9"/>
            <color indexed="81"/>
            <rFont val="Tahoma"/>
            <family val="2"/>
          </rPr>
          <t xml:space="preserve">
- HS 3,00 từ 01/5/2021 (Mốc NL từ 01/7/2018)
- HS 3,33 từ 01/7/2021
- HS 3,66 từ 01/7/2023 (NL trước hạn)</t>
        </r>
      </text>
    </comment>
    <comment ref="X275" authorId="2" shapeId="0">
      <text>
        <r>
          <rPr>
            <b/>
            <sz val="9"/>
            <color indexed="81"/>
            <rFont val="Tahoma"/>
            <family val="2"/>
          </rPr>
          <t>huynh-panda:</t>
        </r>
        <r>
          <rPr>
            <sz val="9"/>
            <color indexed="81"/>
            <rFont val="Tahoma"/>
            <family val="2"/>
          </rPr>
          <t xml:space="preserve">
- 10% từ 01/07/2022
- 11% từ 01/07/2023</t>
        </r>
      </text>
    </comment>
    <comment ref="R276" authorId="6" shapeId="0">
      <text>
        <r>
          <rPr>
            <b/>
            <sz val="9"/>
            <color indexed="81"/>
            <rFont val="Tahoma"/>
            <family val="2"/>
          </rPr>
          <t>user:</t>
        </r>
        <r>
          <rPr>
            <sz val="9"/>
            <color indexed="81"/>
            <rFont val="Tahoma"/>
            <family val="2"/>
          </rPr>
          <t xml:space="preserve">
- QĐ TD từ 01/03/2021: HS 1,989
- QĐ BN CDNN từ 01/03/2022: HS 2,34</t>
        </r>
      </text>
    </comment>
    <comment ref="R277" authorId="6" shapeId="0">
      <text>
        <r>
          <rPr>
            <b/>
            <sz val="9"/>
            <color indexed="81"/>
            <rFont val="Tahoma"/>
            <family val="2"/>
          </rPr>
          <t>user:</t>
        </r>
        <r>
          <rPr>
            <sz val="9"/>
            <color indexed="81"/>
            <rFont val="Tahoma"/>
            <family val="2"/>
          </rPr>
          <t xml:space="preserve">
- HS 2,34 từ 01/5/2021</t>
        </r>
      </text>
    </comment>
    <comment ref="R278" authorId="6" shapeId="0">
      <text>
        <r>
          <rPr>
            <b/>
            <sz val="9"/>
            <color indexed="81"/>
            <rFont val="Tahoma"/>
            <family val="2"/>
          </rPr>
          <t>user:</t>
        </r>
        <r>
          <rPr>
            <sz val="9"/>
            <color indexed="81"/>
            <rFont val="Tahoma"/>
            <family val="2"/>
          </rPr>
          <t xml:space="preserve">
- HS 2,34 từ 01/05/2021</t>
        </r>
      </text>
    </comment>
    <comment ref="R279" authorId="2" shapeId="0">
      <text>
        <r>
          <rPr>
            <b/>
            <sz val="9"/>
            <color indexed="81"/>
            <rFont val="Tahoma"/>
            <family val="2"/>
          </rPr>
          <t>huynh-panda:</t>
        </r>
        <r>
          <rPr>
            <sz val="9"/>
            <color indexed="81"/>
            <rFont val="Tahoma"/>
            <family val="2"/>
          </rPr>
          <t xml:space="preserve">
- HS 2,34 từ 01/04/2022</t>
        </r>
      </text>
    </comment>
    <comment ref="R280"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
- HS 3,66 từ 01/09/2022 (NL trước hạn)</t>
        </r>
      </text>
    </comment>
    <comment ref="W280" authorId="1"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
- QĐ Thôi giữ chức vụ Trưởng khoa từ 01/3/2024. HS phụ cấp chức vụ 0,35 được bảo lưu đến hết T04/2024</t>
        </r>
      </text>
    </comment>
    <comment ref="X280" authorId="6" shapeId="0">
      <text>
        <r>
          <rPr>
            <b/>
            <sz val="9"/>
            <color indexed="81"/>
            <rFont val="Tahoma"/>
            <family val="2"/>
          </rPr>
          <t>user:</t>
        </r>
        <r>
          <rPr>
            <sz val="9"/>
            <color indexed="81"/>
            <rFont val="Tahoma"/>
            <family val="2"/>
          </rPr>
          <t xml:space="preserve">
- 6% từ 01/9/2020
- 7% từ 01/9/2021
- 8% từ 01/9/2022
- 9% từ 01/9/2023</t>
        </r>
      </text>
    </comment>
    <comment ref="R281" authorId="4" shapeId="0">
      <text>
        <r>
          <rPr>
            <b/>
            <sz val="9"/>
            <color indexed="81"/>
            <rFont val="Tahoma"/>
            <family val="2"/>
          </rPr>
          <t>Admin:</t>
        </r>
        <r>
          <rPr>
            <sz val="9"/>
            <color indexed="81"/>
            <rFont val="Tahoma"/>
            <family val="2"/>
          </rPr>
          <t xml:space="preserve">
- HS 2,67 từ 01/09/2017
- HS 3,00 từ 01/09/2019 (NL trước hạn)
- HS 3,33 từ 01/09/2022</t>
        </r>
      </text>
    </comment>
    <comment ref="X281" authorId="0" shapeId="0">
      <text>
        <r>
          <rPr>
            <b/>
            <sz val="9"/>
            <color indexed="81"/>
            <rFont val="Tahoma"/>
            <family val="2"/>
          </rPr>
          <t>Windows User:</t>
        </r>
        <r>
          <rPr>
            <sz val="9"/>
            <color indexed="81"/>
            <rFont val="Tahoma"/>
            <family val="2"/>
          </rPr>
          <t xml:space="preserve">
- 5% từ 01/3/2022
- 6% từ 01/03/2023
- 7% từ 01/03/2024</t>
        </r>
      </text>
    </comment>
    <comment ref="R282" authorId="4" shapeId="0">
      <text>
        <r>
          <rPr>
            <b/>
            <sz val="9"/>
            <color indexed="81"/>
            <rFont val="Tahoma"/>
            <family val="2"/>
          </rPr>
          <t>Admin:</t>
        </r>
        <r>
          <rPr>
            <sz val="9"/>
            <color indexed="81"/>
            <rFont val="Tahoma"/>
            <family val="2"/>
          </rPr>
          <t xml:space="preserve">
- HS 3,00 từ 01/9/2016
- HS 3,33 từ 01/9/2019
- HS 3,66 từ 01/9/2022</t>
        </r>
      </text>
    </comment>
    <comment ref="X28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83" authorId="4" shapeId="0">
      <text>
        <r>
          <rPr>
            <b/>
            <sz val="9"/>
            <color indexed="81"/>
            <rFont val="Tahoma"/>
            <family val="2"/>
          </rPr>
          <t>Admin:</t>
        </r>
        <r>
          <rPr>
            <sz val="9"/>
            <color indexed="81"/>
            <rFont val="Tahoma"/>
            <family val="2"/>
          </rPr>
          <t xml:space="preserve">
- HS 3,66 từ 01/9/2016
- HS 3,99 từ 01/9/2019
- HS 4,32 từ 01/9/2022
</t>
        </r>
      </text>
    </comment>
    <comment ref="X283"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84" authorId="6" shapeId="0">
      <text>
        <r>
          <rPr>
            <b/>
            <sz val="9"/>
            <color indexed="81"/>
            <rFont val="Tahoma"/>
            <family val="2"/>
          </rPr>
          <t>user:</t>
        </r>
        <r>
          <rPr>
            <sz val="9"/>
            <color indexed="81"/>
            <rFont val="Tahoma"/>
            <family val="2"/>
          </rPr>
          <t xml:space="preserve">
- HS 3,00 từ 01/3/2021 (Mốc NL 01/11/2020)
- HS 3,33 từ 01/11/2022 (NL trước hạn)</t>
        </r>
      </text>
    </comment>
    <comment ref="X284" authorId="0" shapeId="0">
      <text>
        <r>
          <rPr>
            <b/>
            <sz val="9"/>
            <color indexed="81"/>
            <rFont val="Tahoma"/>
            <family val="2"/>
          </rPr>
          <t>Windows User:</t>
        </r>
        <r>
          <rPr>
            <sz val="9"/>
            <color indexed="81"/>
            <rFont val="Tahoma"/>
            <family val="2"/>
          </rPr>
          <t xml:space="preserve">
- 5% từ 01/11/2022
- 6% từ 01/11/2023
</t>
        </r>
      </text>
    </comment>
    <comment ref="R285"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85" authorId="4" shapeId="0">
      <text>
        <r>
          <rPr>
            <b/>
            <sz val="9"/>
            <color indexed="81"/>
            <rFont val="Tahoma"/>
            <family val="2"/>
          </rPr>
          <t>Admin:</t>
        </r>
        <r>
          <rPr>
            <sz val="9"/>
            <color indexed="81"/>
            <rFont val="Tahoma"/>
            <family val="2"/>
          </rPr>
          <t xml:space="preserve">
+ 5% từ 01/5/2016
+ 6% từ 01/5/2017
+ 7% từ 01/5/2018
+ 8% từ 01/5/2019
+ 9% từ 01/5/2020
+ 10% từ 01/5/2021
+ 11% từ 01/5/2022
+ 12% từ 01/5/2023</t>
        </r>
      </text>
    </comment>
  </commentList>
</comments>
</file>

<file path=xl/sharedStrings.xml><?xml version="1.0" encoding="utf-8"?>
<sst xmlns="http://schemas.openxmlformats.org/spreadsheetml/2006/main" count="6171" uniqueCount="1687">
  <si>
    <t>Nguyễn Văn Tấn</t>
  </si>
  <si>
    <t>1603205307716</t>
  </si>
  <si>
    <t xml:space="preserve">N3 </t>
  </si>
  <si>
    <t>N2</t>
  </si>
  <si>
    <t>A2.1</t>
  </si>
  <si>
    <t>01</t>
  </si>
  <si>
    <t>02</t>
  </si>
  <si>
    <t>03</t>
  </si>
  <si>
    <t>04</t>
  </si>
  <si>
    <t>06</t>
  </si>
  <si>
    <t>07</t>
  </si>
  <si>
    <t>08</t>
  </si>
  <si>
    <t>09</t>
  </si>
  <si>
    <t>10</t>
  </si>
  <si>
    <t>11</t>
  </si>
  <si>
    <t>12</t>
  </si>
  <si>
    <t>13</t>
  </si>
  <si>
    <t>14</t>
  </si>
  <si>
    <t>15</t>
  </si>
  <si>
    <t>16</t>
  </si>
  <si>
    <t>17</t>
  </si>
  <si>
    <t>18</t>
  </si>
  <si>
    <t>NỮ</t>
  </si>
  <si>
    <t>B. HỢP ĐỒNG LÀM VIỆC LẦN ĐẦU</t>
  </si>
  <si>
    <t>Nguyễn Thị Nhuận</t>
  </si>
  <si>
    <t>x</t>
  </si>
  <si>
    <t xml:space="preserve">TỔNG CỘNG </t>
  </si>
  <si>
    <t xml:space="preserve">NGƯỜI LẬP BẢNG </t>
  </si>
  <si>
    <t xml:space="preserve">HỌ VÀ TÊN </t>
  </si>
  <si>
    <t xml:space="preserve">Ngạch </t>
  </si>
  <si>
    <t xml:space="preserve">Hệ số </t>
  </si>
  <si>
    <t>Hệ số PCCV</t>
  </si>
  <si>
    <t xml:space="preserve">GHI CHÚ </t>
  </si>
  <si>
    <t xml:space="preserve">Độc lập - Tự do - Hạnh phúc </t>
  </si>
  <si>
    <t>19</t>
  </si>
  <si>
    <t>20</t>
  </si>
  <si>
    <t>21</t>
  </si>
  <si>
    <t>22</t>
  </si>
  <si>
    <t>06.031</t>
  </si>
  <si>
    <t>01.003</t>
  </si>
  <si>
    <t>01.011</t>
  </si>
  <si>
    <t>01.006</t>
  </si>
  <si>
    <t>Tăng Cẩm Huê</t>
  </si>
  <si>
    <t>01.004</t>
  </si>
  <si>
    <t>01.007</t>
  </si>
  <si>
    <t>01.008</t>
  </si>
  <si>
    <t>Hồ Văn Sĩ</t>
  </si>
  <si>
    <t>Vương Thanh Thủy</t>
  </si>
  <si>
    <t>Nguyễn Thị Thủy</t>
  </si>
  <si>
    <t>Nguyễn Nguyên Hoàng Ngọc Quyên</t>
  </si>
  <si>
    <t>C. HỢP ĐỒNG LÀM VIỆC CÓ THỜI HẠN</t>
  </si>
  <si>
    <t>D. HỢP ĐỒNG LÀM VIỆC KHÔNG THỜI HẠN</t>
  </si>
  <si>
    <t xml:space="preserve"> </t>
  </si>
  <si>
    <t>Nữ</t>
  </si>
  <si>
    <t>Hệ số PC khác</t>
  </si>
  <si>
    <t>STT TRÊN BẢNG LƯƠNG</t>
  </si>
  <si>
    <t>CỘNG BIÊN CHẾ</t>
  </si>
  <si>
    <t>HSVK</t>
  </si>
  <si>
    <t xml:space="preserve">CỘNG HÒA XÃ HỘI CHỦ NGHĨA VIỆT NAM </t>
  </si>
  <si>
    <t>Lê Quý Hưng Quốc</t>
  </si>
  <si>
    <t>Trần Thị Thu Hà</t>
  </si>
  <si>
    <t>Đỗ Tuấn Việt</t>
  </si>
  <si>
    <t>Lê Thị Hồng Vân</t>
  </si>
  <si>
    <t>Phan Anh Tuấn Kiệt</t>
  </si>
  <si>
    <t>Nguyễn Thanh Vũ</t>
  </si>
  <si>
    <t>Huỳnh Thị Mai</t>
  </si>
  <si>
    <t>Nguyễn Sanh Cường</t>
  </si>
  <si>
    <t>Nguyễn Thị Thanh Tú</t>
  </si>
  <si>
    <t>Ngô Phong Cường</t>
  </si>
  <si>
    <t>Số tài khoản</t>
  </si>
  <si>
    <t>1603205182270</t>
  </si>
  <si>
    <t>1603205182523</t>
  </si>
  <si>
    <t>1603205178809</t>
  </si>
  <si>
    <t>1603205178896</t>
  </si>
  <si>
    <t>1603205182371</t>
  </si>
  <si>
    <t>1603205182184</t>
  </si>
  <si>
    <t>1603205182496</t>
  </si>
  <si>
    <t>1603205179042</t>
  </si>
  <si>
    <t>1603205178917</t>
  </si>
  <si>
    <t>1603205182126</t>
  </si>
  <si>
    <t>1603205182211</t>
  </si>
  <si>
    <t>1603205189699</t>
  </si>
  <si>
    <t>1603205182517</t>
  </si>
  <si>
    <t>1603205178692</t>
  </si>
  <si>
    <t>1603205179036</t>
  </si>
  <si>
    <t>1603205189913</t>
  </si>
  <si>
    <t>1603205190147</t>
  </si>
  <si>
    <t>1603205179020</t>
  </si>
  <si>
    <t>1603205182530</t>
  </si>
  <si>
    <t>1603205179007</t>
  </si>
  <si>
    <t>1603205190074</t>
  </si>
  <si>
    <t>1603205182190</t>
  </si>
  <si>
    <t>1603205179173</t>
  </si>
  <si>
    <t>1603205189784</t>
  </si>
  <si>
    <t>1603205179013</t>
  </si>
  <si>
    <t>1603205189965</t>
  </si>
  <si>
    <t>1603205179180</t>
  </si>
  <si>
    <t>1603205182438</t>
  </si>
  <si>
    <t>1603205189886</t>
  </si>
  <si>
    <t>1603205182660</t>
  </si>
  <si>
    <t>1603205189920</t>
  </si>
  <si>
    <t>1603205189936</t>
  </si>
  <si>
    <t>1603205178923</t>
  </si>
  <si>
    <t>1603205178975</t>
  </si>
  <si>
    <t>1603205178981</t>
  </si>
  <si>
    <t>1603205182480</t>
  </si>
  <si>
    <t>1603205179109</t>
  </si>
  <si>
    <t>1603205178969</t>
  </si>
  <si>
    <t>1603205178998</t>
  </si>
  <si>
    <t>1603205178900</t>
  </si>
  <si>
    <t>1603205182450</t>
  </si>
  <si>
    <t>1603205182473</t>
  </si>
  <si>
    <t>1603205179150</t>
  </si>
  <si>
    <t>1603205182228</t>
  </si>
  <si>
    <t>1603205189761</t>
  </si>
  <si>
    <t>1603205178788</t>
  </si>
  <si>
    <t>1603205189971</t>
  </si>
  <si>
    <t>1603205178952</t>
  </si>
  <si>
    <t>1603205182132</t>
  </si>
  <si>
    <t>1603205182149</t>
  </si>
  <si>
    <t>1603205182234</t>
  </si>
  <si>
    <t>1603205190068</t>
  </si>
  <si>
    <t>1603205178736</t>
  </si>
  <si>
    <t>1603205182415</t>
  </si>
  <si>
    <t>1603205178720</t>
  </si>
  <si>
    <t>1603205179071</t>
  </si>
  <si>
    <t>1603205178850</t>
  </si>
  <si>
    <t>1603205179196</t>
  </si>
  <si>
    <t>1603205178794</t>
  </si>
  <si>
    <t>1603205182336</t>
  </si>
  <si>
    <t>1603205179059</t>
  </si>
  <si>
    <t>thẻ ATM</t>
  </si>
  <si>
    <t>1603205183266</t>
  </si>
  <si>
    <t>15.113</t>
  </si>
  <si>
    <t>1603205182690</t>
  </si>
  <si>
    <t>1603205185051</t>
  </si>
  <si>
    <t>1603205185311</t>
  </si>
  <si>
    <t>1603205185210</t>
  </si>
  <si>
    <t>1603205185118</t>
  </si>
  <si>
    <t>1603205185278</t>
  </si>
  <si>
    <t>1603205185305</t>
  </si>
  <si>
    <t>1603205185160</t>
  </si>
  <si>
    <t>1603205185199</t>
  </si>
  <si>
    <t>1603205185147</t>
  </si>
  <si>
    <t>1603205185550</t>
  </si>
  <si>
    <t>1603205185580</t>
  </si>
  <si>
    <t>1603205185596</t>
  </si>
  <si>
    <t>1603205185600</t>
  </si>
  <si>
    <t>1603205185652</t>
  </si>
  <si>
    <t>1603205185675</t>
  </si>
  <si>
    <t>1603205185681</t>
  </si>
  <si>
    <t>1603205185698</t>
  </si>
  <si>
    <t>1603205185760</t>
  </si>
  <si>
    <t>1603205185912</t>
  </si>
  <si>
    <t>1603205185935</t>
  </si>
  <si>
    <t>1603205185958</t>
  </si>
  <si>
    <t>1603205185964</t>
  </si>
  <si>
    <t>1603205185970</t>
  </si>
  <si>
    <t>1603205186133</t>
  </si>
  <si>
    <t>1603205186140</t>
  </si>
  <si>
    <t>1603205186156</t>
  </si>
  <si>
    <t>1603205186127</t>
  </si>
  <si>
    <t>1603205186162</t>
  </si>
  <si>
    <t>1603205186179</t>
  </si>
  <si>
    <t>1603205186191</t>
  </si>
  <si>
    <t>1603205186350</t>
  </si>
  <si>
    <t>1603205186372</t>
  </si>
  <si>
    <t>1603205186468</t>
  </si>
  <si>
    <t>191</t>
  </si>
  <si>
    <t>1603205186480</t>
  </si>
  <si>
    <t>1603205186501</t>
  </si>
  <si>
    <t>1603205185284</t>
  </si>
  <si>
    <t>4</t>
  </si>
  <si>
    <t>5</t>
  </si>
  <si>
    <t>LOẠI 
VC</t>
  </si>
  <si>
    <t>24</t>
  </si>
  <si>
    <t xml:space="preserve">HIỆU TRƯỞNG </t>
  </si>
  <si>
    <t>05</t>
  </si>
  <si>
    <t>MS CỐ ĐỊNH TỪ T8/2008</t>
  </si>
  <si>
    <t>QL012</t>
  </si>
  <si>
    <t>QL015</t>
  </si>
  <si>
    <t>QL016</t>
  </si>
  <si>
    <t>QL019</t>
  </si>
  <si>
    <t>QL020</t>
  </si>
  <si>
    <t>QL022</t>
  </si>
  <si>
    <t>PPK023</t>
  </si>
  <si>
    <t>PPK028</t>
  </si>
  <si>
    <t>PPK029</t>
  </si>
  <si>
    <t>PPK030</t>
  </si>
  <si>
    <t>PPK031</t>
  </si>
  <si>
    <t>PPK033</t>
  </si>
  <si>
    <t>PPK034</t>
  </si>
  <si>
    <t>PPK035</t>
  </si>
  <si>
    <t>TT050</t>
  </si>
  <si>
    <t>TT051</t>
  </si>
  <si>
    <t>TT052</t>
  </si>
  <si>
    <t>TT053</t>
  </si>
  <si>
    <t>TT054</t>
  </si>
  <si>
    <t>TT055</t>
  </si>
  <si>
    <t>TT056</t>
  </si>
  <si>
    <t>TT057</t>
  </si>
  <si>
    <t>TT058</t>
  </si>
  <si>
    <t>TT059</t>
  </si>
  <si>
    <t>TT060</t>
  </si>
  <si>
    <t>NV063</t>
  </si>
  <si>
    <t>GV075</t>
  </si>
  <si>
    <t>GV080</t>
  </si>
  <si>
    <t>GV081</t>
  </si>
  <si>
    <t>NV084</t>
  </si>
  <si>
    <t>GV088</t>
  </si>
  <si>
    <t>GV089</t>
  </si>
  <si>
    <t>GV090</t>
  </si>
  <si>
    <t>GV091</t>
  </si>
  <si>
    <t>GV092</t>
  </si>
  <si>
    <t>GV094</t>
  </si>
  <si>
    <t>GV096</t>
  </si>
  <si>
    <t>GV097</t>
  </si>
  <si>
    <t>GV098</t>
  </si>
  <si>
    <t>GV099</t>
  </si>
  <si>
    <t>GV100</t>
  </si>
  <si>
    <t>GV101</t>
  </si>
  <si>
    <t>GV104</t>
  </si>
  <si>
    <t>GV105</t>
  </si>
  <si>
    <t>GV106</t>
  </si>
  <si>
    <t>GV082</t>
  </si>
  <si>
    <t>GV087</t>
  </si>
  <si>
    <t>GV093</t>
  </si>
  <si>
    <t>GV107</t>
  </si>
  <si>
    <t>GV108</t>
  </si>
  <si>
    <t>NV109</t>
  </si>
  <si>
    <t>NV110</t>
  </si>
  <si>
    <t>GV111</t>
  </si>
  <si>
    <t>GV112</t>
  </si>
  <si>
    <t>GV113</t>
  </si>
  <si>
    <t>GV114</t>
  </si>
  <si>
    <t>GV115</t>
  </si>
  <si>
    <t>GV119</t>
  </si>
  <si>
    <t>GV126</t>
  </si>
  <si>
    <t>GV134</t>
  </si>
  <si>
    <t>GV135</t>
  </si>
  <si>
    <t>GV136</t>
  </si>
  <si>
    <t>GV138</t>
  </si>
  <si>
    <t>GV139</t>
  </si>
  <si>
    <t>GV140</t>
  </si>
  <si>
    <t>GV142</t>
  </si>
  <si>
    <t>GV143</t>
  </si>
  <si>
    <t>GV144</t>
  </si>
  <si>
    <t>GV145</t>
  </si>
  <si>
    <t>GV146</t>
  </si>
  <si>
    <t>GV148</t>
  </si>
  <si>
    <t>GV149</t>
  </si>
  <si>
    <t>TT153</t>
  </si>
  <si>
    <t>GV155</t>
  </si>
  <si>
    <t>GV156</t>
  </si>
  <si>
    <t>GV157</t>
  </si>
  <si>
    <t>GV158</t>
  </si>
  <si>
    <t>GV159</t>
  </si>
  <si>
    <t>GV160</t>
  </si>
  <si>
    <t>GV163</t>
  </si>
  <si>
    <t>GV168</t>
  </si>
  <si>
    <t>GV172</t>
  </si>
  <si>
    <t>GV173</t>
  </si>
  <si>
    <t>GV174</t>
  </si>
  <si>
    <t>GV176</t>
  </si>
  <si>
    <t>GV183</t>
  </si>
  <si>
    <t>NV188</t>
  </si>
  <si>
    <t>NV189</t>
  </si>
  <si>
    <t>NV190</t>
  </si>
  <si>
    <t>NV192</t>
  </si>
  <si>
    <t>NV193</t>
  </si>
  <si>
    <t>NV194</t>
  </si>
  <si>
    <t>NV195</t>
  </si>
  <si>
    <t>NV197</t>
  </si>
  <si>
    <t>NV199</t>
  </si>
  <si>
    <t>NV200</t>
  </si>
  <si>
    <t>NV202</t>
  </si>
  <si>
    <t>NV203</t>
  </si>
  <si>
    <t>NV204</t>
  </si>
  <si>
    <t>NV207</t>
  </si>
  <si>
    <t>NV208</t>
  </si>
  <si>
    <t>QL</t>
  </si>
  <si>
    <t>PPK</t>
  </si>
  <si>
    <t>TT</t>
  </si>
  <si>
    <t>GV</t>
  </si>
  <si>
    <t>NV</t>
  </si>
  <si>
    <t>CD</t>
  </si>
  <si>
    <t>CV</t>
  </si>
  <si>
    <t>Võ Thị Hồng Lan</t>
  </si>
  <si>
    <t>GV212</t>
  </si>
  <si>
    <t>1603205218440</t>
  </si>
  <si>
    <t>Vũ Hạnh Chiêu</t>
  </si>
  <si>
    <t>GV213</t>
  </si>
  <si>
    <t>1603205219414</t>
  </si>
  <si>
    <t>1603205186786</t>
  </si>
  <si>
    <t>Đỗ Trọng Quý</t>
  </si>
  <si>
    <t>1603205231796</t>
  </si>
  <si>
    <t>Đinh Thị Huyên</t>
  </si>
  <si>
    <t>Đặng Ngọc Đoàn</t>
  </si>
  <si>
    <t>Triệu Phú Nguyên</t>
  </si>
  <si>
    <t>Nguyễn Thành Đức</t>
  </si>
  <si>
    <t>Lư Thị Yến Vũ</t>
  </si>
  <si>
    <t>Phan Thị Thùy Trang</t>
  </si>
  <si>
    <t>Bùi Văn Dũng</t>
  </si>
  <si>
    <t>Lê Hồng Thái</t>
  </si>
  <si>
    <t>Đỗ Thị Hải Yến</t>
  </si>
  <si>
    <t>Nguyễn Văn Minh</t>
  </si>
  <si>
    <t>Trần Việt Khánh</t>
  </si>
  <si>
    <t>Trần Đình Khải</t>
  </si>
  <si>
    <t>Trần Thị Ánh Tuyết</t>
  </si>
  <si>
    <t>Nguyễn Thị Thu Hồng</t>
  </si>
  <si>
    <t>Nguyễn Thị Khánh Thư</t>
  </si>
  <si>
    <t>Hà Như Mai</t>
  </si>
  <si>
    <t>Nguyễn Mạnh Phương</t>
  </si>
  <si>
    <t>Nguyễn Phú Tân</t>
  </si>
  <si>
    <t>Nguyễn Cao Phong</t>
  </si>
  <si>
    <t>23</t>
  </si>
  <si>
    <t>25</t>
  </si>
  <si>
    <t>26</t>
  </si>
  <si>
    <t>27</t>
  </si>
  <si>
    <t>28</t>
  </si>
  <si>
    <t>29</t>
  </si>
  <si>
    <t>30</t>
  </si>
  <si>
    <t>31</t>
  </si>
  <si>
    <t>32</t>
  </si>
  <si>
    <t>33</t>
  </si>
  <si>
    <t>1603205229056</t>
  </si>
  <si>
    <t>1603205229368</t>
  </si>
  <si>
    <t>1603205185203</t>
  </si>
  <si>
    <t>1603205228841</t>
  </si>
  <si>
    <t>1603205233018</t>
  </si>
  <si>
    <t>1603205234187</t>
  </si>
  <si>
    <t>1603205233313</t>
  </si>
  <si>
    <t>1603205231376</t>
  </si>
  <si>
    <t>1603205234010</t>
  </si>
  <si>
    <t>1603205232890</t>
  </si>
  <si>
    <t>1603205233178</t>
  </si>
  <si>
    <t>1603205189942</t>
  </si>
  <si>
    <t>1603205229027</t>
  </si>
  <si>
    <t>1603205235088</t>
  </si>
  <si>
    <t>1603205235065</t>
  </si>
  <si>
    <t>1603205234692</t>
  </si>
  <si>
    <t>1603205186632</t>
  </si>
  <si>
    <t>1603205235506</t>
  </si>
  <si>
    <t>35</t>
  </si>
  <si>
    <t>36</t>
  </si>
  <si>
    <t>37</t>
  </si>
  <si>
    <t>40</t>
  </si>
  <si>
    <t>41</t>
  </si>
  <si>
    <t>42</t>
  </si>
  <si>
    <t>43</t>
  </si>
  <si>
    <t>44</t>
  </si>
  <si>
    <t>45</t>
  </si>
  <si>
    <t>46</t>
  </si>
  <si>
    <t>48</t>
  </si>
  <si>
    <t>49</t>
  </si>
  <si>
    <t>50</t>
  </si>
  <si>
    <t>51</t>
  </si>
  <si>
    <t>52</t>
  </si>
  <si>
    <t>53</t>
  </si>
  <si>
    <t>54</t>
  </si>
  <si>
    <t>55</t>
  </si>
  <si>
    <t>56</t>
  </si>
  <si>
    <t>57</t>
  </si>
  <si>
    <t>58</t>
  </si>
  <si>
    <t>59</t>
  </si>
  <si>
    <t>61</t>
  </si>
  <si>
    <t>63</t>
  </si>
  <si>
    <t>64</t>
  </si>
  <si>
    <t>136</t>
  </si>
  <si>
    <t>65</t>
  </si>
  <si>
    <t>66</t>
  </si>
  <si>
    <t>67</t>
  </si>
  <si>
    <t>68</t>
  </si>
  <si>
    <t>69</t>
  </si>
  <si>
    <t>70</t>
  </si>
  <si>
    <t>71</t>
  </si>
  <si>
    <t>72</t>
  </si>
  <si>
    <t>73</t>
  </si>
  <si>
    <t>74</t>
  </si>
  <si>
    <t>75</t>
  </si>
  <si>
    <t>76</t>
  </si>
  <si>
    <t>77</t>
  </si>
  <si>
    <t>80</t>
  </si>
  <si>
    <t>83</t>
  </si>
  <si>
    <t>84</t>
  </si>
  <si>
    <t>85</t>
  </si>
  <si>
    <t>86</t>
  </si>
  <si>
    <t>87</t>
  </si>
  <si>
    <t>88</t>
  </si>
  <si>
    <t>89</t>
  </si>
  <si>
    <t>90</t>
  </si>
  <si>
    <t>91</t>
  </si>
  <si>
    <t>92</t>
  </si>
  <si>
    <t>94</t>
  </si>
  <si>
    <t>96</t>
  </si>
  <si>
    <t>98</t>
  </si>
  <si>
    <t>99</t>
  </si>
  <si>
    <t>100</t>
  </si>
  <si>
    <t>101</t>
  </si>
  <si>
    <t>102</t>
  </si>
  <si>
    <t>103</t>
  </si>
  <si>
    <t>104</t>
  </si>
  <si>
    <t>105</t>
  </si>
  <si>
    <t>106</t>
  </si>
  <si>
    <t>107</t>
  </si>
  <si>
    <t>108</t>
  </si>
  <si>
    <t>110</t>
  </si>
  <si>
    <t>111</t>
  </si>
  <si>
    <t>112</t>
  </si>
  <si>
    <t>114</t>
  </si>
  <si>
    <t>115</t>
  </si>
  <si>
    <t>116</t>
  </si>
  <si>
    <t>117</t>
  </si>
  <si>
    <t>118</t>
  </si>
  <si>
    <t>119</t>
  </si>
  <si>
    <t>120</t>
  </si>
  <si>
    <t>121</t>
  </si>
  <si>
    <t>122</t>
  </si>
  <si>
    <t>123</t>
  </si>
  <si>
    <t>124</t>
  </si>
  <si>
    <t>125</t>
  </si>
  <si>
    <t>127</t>
  </si>
  <si>
    <t>128</t>
  </si>
  <si>
    <t>129</t>
  </si>
  <si>
    <t>131</t>
  </si>
  <si>
    <t>132</t>
  </si>
  <si>
    <t>133</t>
  </si>
  <si>
    <t>134</t>
  </si>
  <si>
    <t>135</t>
  </si>
  <si>
    <t>34</t>
  </si>
  <si>
    <t>137</t>
  </si>
  <si>
    <t>138</t>
  </si>
  <si>
    <t>139</t>
  </si>
  <si>
    <t>140</t>
  </si>
  <si>
    <t>141</t>
  </si>
  <si>
    <t>142</t>
  </si>
  <si>
    <t>143</t>
  </si>
  <si>
    <t>144</t>
  </si>
  <si>
    <t>145</t>
  </si>
  <si>
    <t>146</t>
  </si>
  <si>
    <t>147</t>
  </si>
  <si>
    <t>149</t>
  </si>
  <si>
    <t>150</t>
  </si>
  <si>
    <t>151</t>
  </si>
  <si>
    <t>152</t>
  </si>
  <si>
    <t>153</t>
  </si>
  <si>
    <t>154</t>
  </si>
  <si>
    <t>155</t>
  </si>
  <si>
    <t>156</t>
  </si>
  <si>
    <t>157</t>
  </si>
  <si>
    <t>158</t>
  </si>
  <si>
    <t>159</t>
  </si>
  <si>
    <t>160</t>
  </si>
  <si>
    <t>161</t>
  </si>
  <si>
    <t>162</t>
  </si>
  <si>
    <t>163</t>
  </si>
  <si>
    <t>164</t>
  </si>
  <si>
    <t>165</t>
  </si>
  <si>
    <t>166</t>
  </si>
  <si>
    <t>167</t>
  </si>
  <si>
    <t>171</t>
  </si>
  <si>
    <t>172</t>
  </si>
  <si>
    <t>173</t>
  </si>
  <si>
    <t>174</t>
  </si>
  <si>
    <t>175</t>
  </si>
  <si>
    <t>176</t>
  </si>
  <si>
    <t>177</t>
  </si>
  <si>
    <t>179</t>
  </si>
  <si>
    <t>180</t>
  </si>
  <si>
    <t>181</t>
  </si>
  <si>
    <t>182</t>
  </si>
  <si>
    <t>183</t>
  </si>
  <si>
    <t>184</t>
  </si>
  <si>
    <t>185</t>
  </si>
  <si>
    <t>186</t>
  </si>
  <si>
    <t>187</t>
  </si>
  <si>
    <t>188</t>
  </si>
  <si>
    <t>189</t>
  </si>
  <si>
    <t>190</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</si>
  <si>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</si>
  <si>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</si>
  <si>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</si>
  <si>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</si>
  <si>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</si>
  <si>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</si>
  <si>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</si>
  <si>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</si>
  <si>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</si>
  <si>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</si>
  <si>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</si>
  <si>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</si>
  <si>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</si>
  <si>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</si>
  <si>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</si>
  <si>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</si>
  <si>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</si>
  <si>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</si>
  <si>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</si>
  <si>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</si>
  <si>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</si>
  <si>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</si>
  <si>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</si>
  <si>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</si>
  <si>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</si>
  <si>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</si>
  <si>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</si>
  <si>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</si>
  <si>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</si>
  <si>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</si>
  <si>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</si>
  <si>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</si>
  <si>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</si>
  <si>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</si>
  <si>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227</t>
  </si>
  <si>
    <t>228</t>
  </si>
  <si>
    <t>229</t>
  </si>
  <si>
    <t>230</t>
  </si>
  <si>
    <t>231</t>
  </si>
  <si>
    <t>232</t>
  </si>
  <si>
    <t>233</t>
  </si>
  <si>
    <t>234</t>
  </si>
  <si>
    <t>BH THẤT NGHIỆP 1%</t>
  </si>
  <si>
    <t>BH THẤT NGHIỆP</t>
  </si>
  <si>
    <t>Tỷ lệ  PCƯĐ (hide)</t>
  </si>
  <si>
    <t>TC VÙNG KK (hide)</t>
  </si>
  <si>
    <t>1603205249149</t>
  </si>
  <si>
    <t>GV214</t>
  </si>
  <si>
    <t>GV216</t>
  </si>
  <si>
    <t>GV218</t>
  </si>
  <si>
    <t>GV219</t>
  </si>
  <si>
    <t>GV220</t>
  </si>
  <si>
    <t>GV221</t>
  </si>
  <si>
    <t>GV222</t>
  </si>
  <si>
    <t>GV223</t>
  </si>
  <si>
    <t>GV224</t>
  </si>
  <si>
    <t>GV225</t>
  </si>
  <si>
    <t>GV226</t>
  </si>
  <si>
    <t>GV228</t>
  </si>
  <si>
    <t>GV229</t>
  </si>
  <si>
    <t>GV230</t>
  </si>
  <si>
    <t>GV231</t>
  </si>
  <si>
    <t>GV238</t>
  </si>
  <si>
    <t>GV239</t>
  </si>
  <si>
    <t>GV240</t>
  </si>
  <si>
    <t>GV243</t>
  </si>
  <si>
    <t>GV247</t>
  </si>
  <si>
    <t xml:space="preserve">PC ƯU ĐÃI </t>
  </si>
  <si>
    <t>PC 
Ưu đãi</t>
  </si>
  <si>
    <t>GV249</t>
  </si>
  <si>
    <t>ĐH</t>
  </si>
  <si>
    <t>Th.S</t>
  </si>
  <si>
    <t>CĐ</t>
  </si>
  <si>
    <t>SC</t>
  </si>
  <si>
    <t>TC</t>
  </si>
  <si>
    <t>Nguyễn Duy Hải</t>
  </si>
  <si>
    <t xml:space="preserve">1 ngày lương </t>
  </si>
  <si>
    <t>47</t>
  </si>
  <si>
    <t>Trần Vĩnh Xuyên</t>
  </si>
  <si>
    <t>Trần Thị Hương</t>
  </si>
  <si>
    <t>Nguyễn Thị Hiền</t>
  </si>
  <si>
    <t>Nguyễn Ngọc Thọ</t>
  </si>
  <si>
    <t>Nguyễn Ngọc Tuyên</t>
  </si>
  <si>
    <t>Trần Minh Thông</t>
  </si>
  <si>
    <t>Nguyễn Thanh Hùng</t>
  </si>
  <si>
    <t>BHYT 1.5%</t>
  </si>
  <si>
    <t>38</t>
  </si>
  <si>
    <t>Trịnh Khắc Vũ</t>
  </si>
  <si>
    <t>Phạm Thị Lê Chi</t>
  </si>
  <si>
    <t>Đỗ Thị Thơm</t>
  </si>
  <si>
    <t>Lê Thị Mai Hường</t>
  </si>
  <si>
    <t>Nguyễn Thùy Linh</t>
  </si>
  <si>
    <t>Nguyễn Bạch Cẩm Dung</t>
  </si>
  <si>
    <t>Nguyễn Thái Bình</t>
  </si>
  <si>
    <t>Giang Phi Hùng</t>
  </si>
  <si>
    <t>Lâm Thị Phương Thùy</t>
  </si>
  <si>
    <t>GV250</t>
  </si>
  <si>
    <t>GV252</t>
  </si>
  <si>
    <t>GV253</t>
  </si>
  <si>
    <t>GV254</t>
  </si>
  <si>
    <t>GV255</t>
  </si>
  <si>
    <t>GV256</t>
  </si>
  <si>
    <t>GV258</t>
  </si>
  <si>
    <t>GV259</t>
  </si>
  <si>
    <t>GV260</t>
  </si>
  <si>
    <t>GV261</t>
  </si>
  <si>
    <t>GV262</t>
  </si>
  <si>
    <t>GV263</t>
  </si>
  <si>
    <t>GV264</t>
  </si>
  <si>
    <t>GV265</t>
  </si>
  <si>
    <t>GV266</t>
  </si>
  <si>
    <t>GV267</t>
  </si>
  <si>
    <t>GV269</t>
  </si>
  <si>
    <t>GV270</t>
  </si>
  <si>
    <t>GV284</t>
  </si>
  <si>
    <t>GV286</t>
  </si>
  <si>
    <t>GV287</t>
  </si>
  <si>
    <t>GV288</t>
  </si>
  <si>
    <t>1603205246662</t>
  </si>
  <si>
    <t>1603205250618</t>
  </si>
  <si>
    <t>1603205249841</t>
  </si>
  <si>
    <t>1603205250601</t>
  </si>
  <si>
    <t>1603205186270</t>
  </si>
  <si>
    <t>1603205186264</t>
  </si>
  <si>
    <t>1603205246344</t>
  </si>
  <si>
    <t>1603205250682</t>
  </si>
  <si>
    <t>1603205247012</t>
  </si>
  <si>
    <t>1603205246338</t>
  </si>
  <si>
    <t>1603205246213</t>
  </si>
  <si>
    <t>1603205246271</t>
  </si>
  <si>
    <t>1603205251259</t>
  </si>
  <si>
    <t>1603205246560</t>
  </si>
  <si>
    <t>1603205250790</t>
  </si>
  <si>
    <t>1603205250676</t>
  </si>
  <si>
    <t>1603205250699</t>
  </si>
  <si>
    <t>1603205246309</t>
  </si>
  <si>
    <t>1603205186678</t>
  </si>
  <si>
    <t>1603205246577</t>
  </si>
  <si>
    <t>235</t>
  </si>
  <si>
    <t>236</t>
  </si>
  <si>
    <t>237</t>
  </si>
  <si>
    <t>238</t>
  </si>
  <si>
    <t>239</t>
  </si>
  <si>
    <t>240</t>
  </si>
  <si>
    <t>241</t>
  </si>
  <si>
    <t>242</t>
  </si>
  <si>
    <t>243</t>
  </si>
  <si>
    <t>244</t>
  </si>
  <si>
    <t>245</t>
  </si>
  <si>
    <t>246</t>
  </si>
  <si>
    <t>247</t>
  </si>
  <si>
    <t>248</t>
  </si>
  <si>
    <t>249</t>
  </si>
  <si>
    <t>250</t>
  </si>
  <si>
    <t>251</t>
  </si>
  <si>
    <t>252</t>
  </si>
  <si>
    <t>253</t>
  </si>
  <si>
    <t>254</t>
  </si>
  <si>
    <t>255</t>
  </si>
  <si>
    <t>257</t>
  </si>
  <si>
    <t>259</t>
  </si>
  <si>
    <t>260</t>
  </si>
  <si>
    <t>261</t>
  </si>
  <si>
    <t>262</t>
  </si>
  <si>
    <t>263</t>
  </si>
  <si>
    <t xml:space="preserve">Nộp 1 ngày lương </t>
  </si>
  <si>
    <t>113</t>
  </si>
  <si>
    <t>62</t>
  </si>
  <si>
    <t>178</t>
  </si>
  <si>
    <t>Hồng Mộng Tuyết Dung</t>
  </si>
  <si>
    <t>Nguyễn Thị Kim Anh</t>
  </si>
  <si>
    <t>Nguyễn Thị Hải Hà</t>
  </si>
  <si>
    <t>Ninh Đỗ Hiệp</t>
  </si>
  <si>
    <t>Trần Thị Ánh Phượng</t>
  </si>
  <si>
    <t>Vũ Thị Thu Thủy</t>
  </si>
  <si>
    <t>Bùi Thị Dương</t>
  </si>
  <si>
    <t>Huỳnh Thị Minh Ly</t>
  </si>
  <si>
    <t>Giáp Thị Vượng</t>
  </si>
  <si>
    <t>Nguyễn Thị Thanh Thảo</t>
  </si>
  <si>
    <t>Giáp Văn Thịnh</t>
  </si>
  <si>
    <t>Bùi Thị Lan Anh</t>
  </si>
  <si>
    <t>1603205203183</t>
  </si>
  <si>
    <t>1603205245965</t>
  </si>
  <si>
    <t>1603205246134</t>
  </si>
  <si>
    <t>1603205246090</t>
  </si>
  <si>
    <t>1603205246157</t>
  </si>
  <si>
    <t xml:space="preserve"> CỘNG HỢP ĐỒNG LV LẦN ĐẦU</t>
  </si>
  <si>
    <t>Phạm Thị Vinh</t>
  </si>
  <si>
    <t>1603205269412</t>
  </si>
  <si>
    <t>148</t>
  </si>
  <si>
    <t>Nguyễn Minh Đức Cường</t>
  </si>
  <si>
    <t>Kiều Trung Tín</t>
  </si>
  <si>
    <t>Nguyễn Văn Danh</t>
  </si>
  <si>
    <t>1603205274861</t>
  </si>
  <si>
    <t>1603205276158</t>
  </si>
  <si>
    <t>1603205246321</t>
  </si>
  <si>
    <t>1603205276141</t>
  </si>
  <si>
    <t>1603205185261</t>
  </si>
  <si>
    <t>1603205275388</t>
  </si>
  <si>
    <t>Hệ số lương +VK + PCCV (hide)</t>
  </si>
  <si>
    <t>Trần Quốc Duy</t>
  </si>
  <si>
    <t>1603205294780</t>
  </si>
  <si>
    <t xml:space="preserve">ỦY BAN NHÂN DÂN TP. HỒ CHÍ MINH </t>
  </si>
  <si>
    <t>Nguyễn Vũ Xuân Thì</t>
  </si>
  <si>
    <t>Trần Thị Minh Thoa</t>
  </si>
  <si>
    <t>1603205246186</t>
  </si>
  <si>
    <t>1603205303449</t>
  </si>
  <si>
    <t>1603205309314</t>
  </si>
  <si>
    <t>06.032</t>
  </si>
  <si>
    <t>1603205356140</t>
  </si>
  <si>
    <t>711A74605287</t>
  </si>
  <si>
    <t>% PC THÂM NIÊN</t>
  </si>
  <si>
    <t>STT</t>
  </si>
  <si>
    <t>A1</t>
  </si>
  <si>
    <t>HS</t>
  </si>
  <si>
    <t>BHXH</t>
  </si>
  <si>
    <t>BHYT</t>
  </si>
  <si>
    <t>A2.2</t>
  </si>
  <si>
    <t>A0</t>
  </si>
  <si>
    <t>B</t>
  </si>
  <si>
    <t>HỌ VÀ TÊN</t>
  </si>
  <si>
    <t>BẬC</t>
  </si>
  <si>
    <t>NH</t>
  </si>
  <si>
    <t>KD</t>
  </si>
  <si>
    <t>DL</t>
  </si>
  <si>
    <t>DDT</t>
  </si>
  <si>
    <t>DT</t>
  </si>
  <si>
    <t>TTR</t>
  </si>
  <si>
    <t>QHQT</t>
  </si>
  <si>
    <t>M</t>
  </si>
  <si>
    <t>CK</t>
  </si>
  <si>
    <t>KHCB</t>
  </si>
  <si>
    <t>CNTT</t>
  </si>
  <si>
    <t>KHVT</t>
  </si>
  <si>
    <t>YT</t>
  </si>
  <si>
    <t>DLUC</t>
  </si>
  <si>
    <t>BT</t>
  </si>
  <si>
    <t>CỘNG</t>
  </si>
  <si>
    <t>KHẤU TRỪ</t>
  </si>
  <si>
    <t>THÀNH TIỀN</t>
  </si>
  <si>
    <t>HỆ SỐ</t>
  </si>
  <si>
    <t>A. BIÊN CHẾ</t>
  </si>
  <si>
    <t>TỔNG HỢP</t>
  </si>
  <si>
    <t>Tổng số</t>
  </si>
  <si>
    <t>PHỤ CẤP VK</t>
  </si>
  <si>
    <t>Biên chế</t>
  </si>
  <si>
    <t>Hợp đồng lần đầu</t>
  </si>
  <si>
    <t>Các hợp đồng khác</t>
  </si>
  <si>
    <t>N3</t>
  </si>
  <si>
    <t>TVTL</t>
  </si>
  <si>
    <t>QS</t>
  </si>
  <si>
    <t>TO</t>
  </si>
  <si>
    <t>Đ</t>
  </si>
  <si>
    <t>(9) = (8) x LTT</t>
  </si>
  <si>
    <t>(16) = (7) + (9) + (11) + (13) + (14) + (15)</t>
  </si>
  <si>
    <t>(17) = (16) x 7%</t>
  </si>
  <si>
    <t>(18) = (16) x 1.5%</t>
  </si>
  <si>
    <t>(19) = (16) x 1%</t>
  </si>
  <si>
    <t>(21) = (20) x LTT</t>
  </si>
  <si>
    <t>(22) = (6) + (6 x 8) + (10) x % PCƯĐ x LTT</t>
  </si>
  <si>
    <t>Đỗ Thị Ngát</t>
  </si>
  <si>
    <t>Trần Trung Hiếu</t>
  </si>
  <si>
    <t>Nguyễn Thùy Dương</t>
  </si>
  <si>
    <t>1603205353368</t>
  </si>
  <si>
    <t>1603205353345</t>
  </si>
  <si>
    <t>1603205246373</t>
  </si>
  <si>
    <t>1603205356610</t>
  </si>
  <si>
    <t>1603205398451</t>
  </si>
  <si>
    <t>BHXH 8%</t>
  </si>
  <si>
    <t>Hoàng Phúc Bảo</t>
  </si>
  <si>
    <t>Hà Quốc Bảo</t>
  </si>
  <si>
    <t>Chế Vân Cầm</t>
  </si>
  <si>
    <t>Dương Đức Kiên</t>
  </si>
  <si>
    <t>Nguyễn Văn Hậu</t>
  </si>
  <si>
    <t>Trần Văn Lượng</t>
  </si>
  <si>
    <t>Đặng Thu Hà</t>
  </si>
  <si>
    <t>Nguyễn Thị Bích Liễu</t>
  </si>
  <si>
    <t>Vương Hội Khánh</t>
  </si>
  <si>
    <t>1603205399028</t>
  </si>
  <si>
    <t>1603205398372</t>
  </si>
  <si>
    <t>1603205399194</t>
  </si>
  <si>
    <t>1603205398400</t>
  </si>
  <si>
    <t>1603205398576</t>
  </si>
  <si>
    <t>1603205398770</t>
  </si>
  <si>
    <t>1603205246400</t>
  </si>
  <si>
    <t>1603205254263</t>
  </si>
  <si>
    <t>1603205249292</t>
  </si>
  <si>
    <t>Đinh Đồng Hiệp</t>
  </si>
  <si>
    <t>Phạm Thị Thanh Thúy</t>
  </si>
  <si>
    <t>QĐ đều động VC từ trường TCKT-KT Nguyễn Hữu Cảnh về trường từ 16/7/2014. Nhập BL T8/2014</t>
  </si>
  <si>
    <t>QĐ Tuyển dụng VC từ 01/12/13. Lập bảng truy lãnh riêng, cập nhật BL T8/2014</t>
  </si>
  <si>
    <t>Trần Thị Diễm Thúy</t>
  </si>
  <si>
    <t>Nguyễn Thị Hồng Thắm</t>
  </si>
  <si>
    <t>Phạm Hữu Lộc</t>
  </si>
  <si>
    <t>130</t>
  </si>
  <si>
    <t>170</t>
  </si>
  <si>
    <t>Đinh Văn Đệ</t>
  </si>
  <si>
    <t>Lê Quang Liêm</t>
  </si>
  <si>
    <t>Châu Văn Bảo</t>
  </si>
  <si>
    <t>Lê Hồng Anh Tuấn</t>
  </si>
  <si>
    <t>Nguyễn Tiến Việt Dũng</t>
  </si>
  <si>
    <t>Lương Minh Dũng</t>
  </si>
  <si>
    <t>Nguyễn Văn Chì</t>
  </si>
  <si>
    <t>Nguyễn Văn Chiến</t>
  </si>
  <si>
    <t>Trương Hữu Lộc</t>
  </si>
  <si>
    <t>Mai Nguyễn Hoàng Yến</t>
  </si>
  <si>
    <t>Bùi Đặng Hoàng Tuấn</t>
  </si>
  <si>
    <t>1603215001359</t>
  </si>
  <si>
    <t>1603215001371</t>
  </si>
  <si>
    <t>1603215001365</t>
  </si>
  <si>
    <t>1603215001126</t>
  </si>
  <si>
    <t>1603205426614</t>
  </si>
  <si>
    <t>1603205341369</t>
  </si>
  <si>
    <t>1603205357194</t>
  </si>
  <si>
    <t>1603205398734</t>
  </si>
  <si>
    <t xml:space="preserve">QĐ Thuyên chuyển từ ĐH Công nghiệp về trường T01/2015. </t>
  </si>
  <si>
    <t>Hưởng PCUĐ nghề  20% (trên hệ số lương hiện hưởng).</t>
  </si>
  <si>
    <t>60</t>
  </si>
  <si>
    <t>109</t>
  </si>
  <si>
    <t>168</t>
  </si>
  <si>
    <t>Lâm Viết Dũng</t>
  </si>
  <si>
    <t>Nguyễn Trọng Nghĩa</t>
  </si>
  <si>
    <t>Nguyễn Thị Thùy</t>
  </si>
  <si>
    <t>Nguyễn Thị Tuyết</t>
  </si>
  <si>
    <t>Nguyễn Kính</t>
  </si>
  <si>
    <t>Nguyễn Thị Ngọc Anh</t>
  </si>
  <si>
    <t xml:space="preserve">PCTN cấp ủy viên HS 0,3 trên MLTT từ 15/4/15. </t>
  </si>
  <si>
    <t>Dương Thị Hồng</t>
  </si>
  <si>
    <t>V.07.01.03</t>
  </si>
  <si>
    <t>Lê Thị Thu Thảo</t>
  </si>
  <si>
    <t>Trần Nguyên Bảo Trân</t>
  </si>
  <si>
    <t>Đào Anh Tuấn</t>
  </si>
  <si>
    <t>Võ Thị Kim Thư</t>
  </si>
  <si>
    <t>Trần Thanh Trúc</t>
  </si>
  <si>
    <t>Bùi Ánh Tuyết</t>
  </si>
  <si>
    <t>Hoàng Thị Trang</t>
  </si>
  <si>
    <t>Lê Văn Bình</t>
  </si>
  <si>
    <t>Lưu Thị Thúy</t>
  </si>
  <si>
    <t>Phạm Quỳnh Như</t>
  </si>
  <si>
    <t>Trịnh Hoàng Hiệp</t>
  </si>
  <si>
    <t>Lữ Xuân Trang</t>
  </si>
  <si>
    <t>Phạm Thị Thu Hiền</t>
  </si>
  <si>
    <t>Nguyễn Thị Thu Hà</t>
  </si>
  <si>
    <t>Mai Chiếm Tuấn</t>
  </si>
  <si>
    <t>Nguyễn Thành Nam</t>
  </si>
  <si>
    <t>MÃ SỐ
NGẠCH LƯƠNG</t>
  </si>
  <si>
    <t>HỆ SỐ LƯƠNG</t>
  </si>
  <si>
    <t>HS PCTN nhà giáo</t>
  </si>
  <si>
    <t>CỘNG HỆ SỐ</t>
  </si>
  <si>
    <t>Nghỉ việc không được hưởng lương</t>
  </si>
  <si>
    <t>BHXH trả thay lương</t>
  </si>
  <si>
    <t>Tổng cộng tiền lương và BHXH được hưởng</t>
  </si>
  <si>
    <t>THUẾ THU NHẬP</t>
  </si>
  <si>
    <t>50200000021</t>
  </si>
  <si>
    <t>11100000791</t>
  </si>
  <si>
    <t>50800000800</t>
  </si>
  <si>
    <t>11100000746</t>
  </si>
  <si>
    <t>11100000732</t>
  </si>
  <si>
    <t>11100000761</t>
  </si>
  <si>
    <t>50200000160</t>
  </si>
  <si>
    <t>50800000104</t>
  </si>
  <si>
    <t>50800000001</t>
  </si>
  <si>
    <t>11100000704</t>
  </si>
  <si>
    <t>50200000102</t>
  </si>
  <si>
    <t>11100000785</t>
  </si>
  <si>
    <t>11100000702</t>
  </si>
  <si>
    <t>11100000742</t>
  </si>
  <si>
    <t>11100000707</t>
  </si>
  <si>
    <t>11100000723</t>
  </si>
  <si>
    <t>11100000802</t>
  </si>
  <si>
    <t>11100000713</t>
  </si>
  <si>
    <t>11100000776</t>
  </si>
  <si>
    <t>11100066861</t>
  </si>
  <si>
    <t>11100000727</t>
  </si>
  <si>
    <t>11100000722</t>
  </si>
  <si>
    <t>11100067878</t>
  </si>
  <si>
    <t>11100000799</t>
  </si>
  <si>
    <t>11100000789</t>
  </si>
  <si>
    <t>11100000775</t>
  </si>
  <si>
    <t>11100000764</t>
  </si>
  <si>
    <t>11100000714</t>
  </si>
  <si>
    <t>11100000747</t>
  </si>
  <si>
    <t>11100000763</t>
  </si>
  <si>
    <t>11100000748</t>
  </si>
  <si>
    <t>11100082588</t>
  </si>
  <si>
    <t>11100000716</t>
  </si>
  <si>
    <t>11100000773</t>
  </si>
  <si>
    <t>11100000708</t>
  </si>
  <si>
    <t>11100000750</t>
  </si>
  <si>
    <t>11100000755</t>
  </si>
  <si>
    <t>11100000754</t>
  </si>
  <si>
    <t>11100000719</t>
  </si>
  <si>
    <t>11100000770</t>
  </si>
  <si>
    <t>11100000751</t>
  </si>
  <si>
    <t>20500006963</t>
  </si>
  <si>
    <t>11100122860</t>
  </si>
  <si>
    <t>11100000787</t>
  </si>
  <si>
    <t>11100091472</t>
  </si>
  <si>
    <t>11100000797</t>
  </si>
  <si>
    <t>11100000774</t>
  </si>
  <si>
    <t>11100067051</t>
  </si>
  <si>
    <t>11100000801</t>
  </si>
  <si>
    <t>11100000795</t>
  </si>
  <si>
    <t>11100000796</t>
  </si>
  <si>
    <t>11100066702</t>
  </si>
  <si>
    <t>11100000705</t>
  </si>
  <si>
    <t>11100000737</t>
  </si>
  <si>
    <t>11100066939</t>
  </si>
  <si>
    <t>11100000793</t>
  </si>
  <si>
    <t>20500004676</t>
  </si>
  <si>
    <t>11100066953</t>
  </si>
  <si>
    <t>11100000778</t>
  </si>
  <si>
    <t>11100000772</t>
  </si>
  <si>
    <t>11100000782</t>
  </si>
  <si>
    <t>11100000783</t>
  </si>
  <si>
    <t>11100000779</t>
  </si>
  <si>
    <t>11100000786</t>
  </si>
  <si>
    <t>11100075983</t>
  </si>
  <si>
    <t>11100000777</t>
  </si>
  <si>
    <t>11100000739</t>
  </si>
  <si>
    <t>51200002068</t>
  </si>
  <si>
    <t>60300000171</t>
  </si>
  <si>
    <t>51200001010</t>
  </si>
  <si>
    <t>60300000132</t>
  </si>
  <si>
    <t>60300000125</t>
  </si>
  <si>
    <t>60300000115</t>
  </si>
  <si>
    <t>60300000060</t>
  </si>
  <si>
    <t>60200000550</t>
  </si>
  <si>
    <t>11100067231</t>
  </si>
  <si>
    <t>11100000814</t>
  </si>
  <si>
    <t>11100082715</t>
  </si>
  <si>
    <t>11100096301</t>
  </si>
  <si>
    <t>40800000177</t>
  </si>
  <si>
    <t>11100071598</t>
  </si>
  <si>
    <t>11100110132</t>
  </si>
  <si>
    <t>11100096323</t>
  </si>
  <si>
    <t>11100082586</t>
  </si>
  <si>
    <t>11100083326</t>
  </si>
  <si>
    <t>31100001367</t>
  </si>
  <si>
    <t>11100071848</t>
  </si>
  <si>
    <t>11100000813</t>
  </si>
  <si>
    <t>11100071850</t>
  </si>
  <si>
    <t>11100082545</t>
  </si>
  <si>
    <t>11100096289</t>
  </si>
  <si>
    <t>11100110117</t>
  </si>
  <si>
    <t>11100071847</t>
  </si>
  <si>
    <t>11100096307</t>
  </si>
  <si>
    <t>11100096279</t>
  </si>
  <si>
    <t>11100119660</t>
  </si>
  <si>
    <t>21000001731</t>
  </si>
  <si>
    <t>11100109469</t>
  </si>
  <si>
    <t>11100083294</t>
  </si>
  <si>
    <t>11100115707</t>
  </si>
  <si>
    <t>11100071604</t>
  </si>
  <si>
    <t>11100115717</t>
  </si>
  <si>
    <t>11100082854</t>
  </si>
  <si>
    <t>11100115710</t>
  </si>
  <si>
    <t>11100083302</t>
  </si>
  <si>
    <t>11100115699</t>
  </si>
  <si>
    <t>11100115705</t>
  </si>
  <si>
    <t>40700000691</t>
  </si>
  <si>
    <t>11100121674</t>
  </si>
  <si>
    <t>60400000280</t>
  </si>
  <si>
    <t>60300000100</t>
  </si>
  <si>
    <t>60100001140</t>
  </si>
  <si>
    <t>60200000602</t>
  </si>
  <si>
    <t>60200000731</t>
  </si>
  <si>
    <t>60200000588</t>
  </si>
  <si>
    <t>60200000517</t>
  </si>
  <si>
    <t>11100115709</t>
  </si>
  <si>
    <t>60300000097</t>
  </si>
  <si>
    <t>11100083308</t>
  </si>
  <si>
    <t>11100071601</t>
  </si>
  <si>
    <t>40400000515</t>
  </si>
  <si>
    <t>40400000575</t>
  </si>
  <si>
    <t>11100000784</t>
  </si>
  <si>
    <t>11100097744</t>
  </si>
  <si>
    <t>11100067776</t>
  </si>
  <si>
    <t>11100093891</t>
  </si>
  <si>
    <t>11100067248</t>
  </si>
  <si>
    <t>11100067268</t>
  </si>
  <si>
    <t>11100067215</t>
  </si>
  <si>
    <t>20500005408</t>
  </si>
  <si>
    <t>11100116900</t>
  </si>
  <si>
    <t>11100109967</t>
  </si>
  <si>
    <t>11100067217</t>
  </si>
  <si>
    <t>11100119654</t>
  </si>
  <si>
    <t>11100071858</t>
  </si>
  <si>
    <t>11100071600</t>
  </si>
  <si>
    <t>11100083384</t>
  </si>
  <si>
    <t>11100082510</t>
  </si>
  <si>
    <t>11100082750</t>
  </si>
  <si>
    <t>11100082723</t>
  </si>
  <si>
    <t>11100097762</t>
  </si>
  <si>
    <t>11100082584</t>
  </si>
  <si>
    <t>11100097748</t>
  </si>
  <si>
    <t>11100097753</t>
  </si>
  <si>
    <t>11100096302</t>
  </si>
  <si>
    <t>11100083259</t>
  </si>
  <si>
    <t>11100096314</t>
  </si>
  <si>
    <t>11100096288</t>
  </si>
  <si>
    <t>11100096278</t>
  </si>
  <si>
    <t>11100096317</t>
  </si>
  <si>
    <t>11100096308</t>
  </si>
  <si>
    <t>11100096304</t>
  </si>
  <si>
    <t>11100096296</t>
  </si>
  <si>
    <t>11100113288</t>
  </si>
  <si>
    <t>11100096269</t>
  </si>
  <si>
    <t>11100109686</t>
  </si>
  <si>
    <t>11100109539</t>
  </si>
  <si>
    <t>11100109963</t>
  </si>
  <si>
    <t>11100110126</t>
  </si>
  <si>
    <t>11100110135</t>
  </si>
  <si>
    <t>11100110124</t>
  </si>
  <si>
    <t>11100109988</t>
  </si>
  <si>
    <t>11100109943</t>
  </si>
  <si>
    <t>11100109944</t>
  </si>
  <si>
    <t>11100109681</t>
  </si>
  <si>
    <t>11100109985</t>
  </si>
  <si>
    <t>11100111411</t>
  </si>
  <si>
    <t>21100001259</t>
  </si>
  <si>
    <t>21000001100</t>
  </si>
  <si>
    <t>11100110014</t>
  </si>
  <si>
    <t>11100119655</t>
  </si>
  <si>
    <t>11100119656</t>
  </si>
  <si>
    <t>11100119664</t>
  </si>
  <si>
    <t>11100119659</t>
  </si>
  <si>
    <t>20500004671</t>
  </si>
  <si>
    <t>21000001726</t>
  </si>
  <si>
    <t>11100119638</t>
  </si>
  <si>
    <t>21000001760</t>
  </si>
  <si>
    <t>21000001128</t>
  </si>
  <si>
    <t>21000001080</t>
  </si>
  <si>
    <t>21100001269</t>
  </si>
  <si>
    <t>31100001684</t>
  </si>
  <si>
    <t>21100001291</t>
  </si>
  <si>
    <t>31100001649</t>
  </si>
  <si>
    <t>31100001689</t>
  </si>
  <si>
    <t>31100001640</t>
  </si>
  <si>
    <t>31100001602</t>
  </si>
  <si>
    <t>30800000127</t>
  </si>
  <si>
    <t>31100001615</t>
  </si>
  <si>
    <t>50700000360</t>
  </si>
  <si>
    <t>50700000482</t>
  </si>
  <si>
    <t>50700000362</t>
  </si>
  <si>
    <t>11100115711</t>
  </si>
  <si>
    <t>11100071597</t>
  </si>
  <si>
    <t>11100083298</t>
  </si>
  <si>
    <t>11100000812</t>
  </si>
  <si>
    <t>11100000805</t>
  </si>
  <si>
    <t>11100071602</t>
  </si>
  <si>
    <t>40400000544</t>
  </si>
  <si>
    <t>MÃ SỐ VIÊN CHỨC`</t>
  </si>
  <si>
    <t>TỔNG CỘNG TIỀN LƯƠNG CÒN ĐƯỢC NHẬN</t>
  </si>
  <si>
    <t>HỆ SỐ PC VƯỢT KHUNG</t>
  </si>
  <si>
    <t>41200001203</t>
  </si>
  <si>
    <t>40800000327</t>
  </si>
  <si>
    <t>11100115721</t>
  </si>
  <si>
    <t>11100115722</t>
  </si>
  <si>
    <t>40800000361</t>
  </si>
  <si>
    <t>11100115706</t>
  </si>
  <si>
    <t>40800000245</t>
  </si>
  <si>
    <t>40700000887</t>
  </si>
  <si>
    <t>40800000380</t>
  </si>
  <si>
    <t>40700000674</t>
  </si>
  <si>
    <t>11100115720</t>
  </si>
  <si>
    <t>40900000037</t>
  </si>
  <si>
    <t>40800000301</t>
  </si>
  <si>
    <t>40700000683</t>
  </si>
  <si>
    <t>11100082861</t>
  </si>
  <si>
    <t>50700000433</t>
  </si>
  <si>
    <t>50700000428</t>
  </si>
  <si>
    <t>20500006345</t>
  </si>
  <si>
    <t>11100109912</t>
  </si>
  <si>
    <t>21100001275</t>
  </si>
  <si>
    <t>CẤP BẬC - CHỨC VỤ</t>
  </si>
  <si>
    <t>HỆ SỐ PCTNVK</t>
  </si>
  <si>
    <t>LƯƠNG HỆ SỐ</t>
  </si>
  <si>
    <t>KÝ NHẬN</t>
  </si>
  <si>
    <t>NGHỈ VIỆC KHÔNG ĐƯỢC HƯỞNG LƯƠNG</t>
  </si>
  <si>
    <t>BHXH TRẢ THAY LƯƠNG</t>
  </si>
  <si>
    <t>TỔNG CỘNG TIỀN LƯƠNG VÀ BHXH ĐƯỢC HƯỞNG</t>
  </si>
  <si>
    <t>SỐ NGÀY NGHỈ</t>
  </si>
  <si>
    <t xml:space="preserve">CỘNG HỆ SỐ PHỤ CẤP </t>
  </si>
  <si>
    <t>Bùi Anh Tuấn</t>
  </si>
  <si>
    <t xml:space="preserve">BẢNG THANH TOÁN TIỀN LƯƠNG </t>
  </si>
  <si>
    <t>CỘNG CÁC KHOẢN KHẤU TRỪ</t>
  </si>
  <si>
    <t xml:space="preserve">HỆ SỐ LƯƠNG </t>
  </si>
  <si>
    <t>CỘNG HS PHỤ CẤP</t>
  </si>
  <si>
    <t>HS PCTNVK</t>
  </si>
  <si>
    <t>HSPC CV</t>
  </si>
  <si>
    <t>HSPC TNNG</t>
  </si>
  <si>
    <t>TỔNG TIỀN LƯƠNG CÒN ĐƯỢC NHẬN</t>
  </si>
  <si>
    <t>ỦY BAN NHÂN DÂN THÀNH PHỐ HỒ CHÍ MINH</t>
  </si>
  <si>
    <t>Mẫu số C02a - HD</t>
  </si>
  <si>
    <t>Số: ……………………………………</t>
  </si>
  <si>
    <t>Nợ: ……………………………………</t>
  </si>
  <si>
    <t>Có: …………………………………….</t>
  </si>
  <si>
    <t>TỶ LỆ PCTNNG</t>
  </si>
  <si>
    <t>Hệ số PC TNNG</t>
  </si>
  <si>
    <t>11100000798</t>
  </si>
  <si>
    <t>11100000810</t>
  </si>
  <si>
    <t>11100109549</t>
  </si>
  <si>
    <t>21000001676</t>
  </si>
  <si>
    <t>11100096272</t>
  </si>
  <si>
    <t>11100122989</t>
  </si>
  <si>
    <t>11100000738</t>
  </si>
  <si>
    <t>11100000741</t>
  </si>
  <si>
    <t>40900000624</t>
  </si>
  <si>
    <t>Hệ số TNVK</t>
  </si>
  <si>
    <t xml:space="preserve">Hệ số TNVK </t>
  </si>
  <si>
    <t>126</t>
  </si>
  <si>
    <t>PC TRÁCH NHIỆM</t>
  </si>
  <si>
    <t xml:space="preserve">Hệ số PCƯĐ </t>
  </si>
  <si>
    <t>25% PCƯĐ</t>
  </si>
  <si>
    <t>Giảng viên khoa KHCB</t>
  </si>
  <si>
    <t>Giảng viên khoa Công nghệ Cơ khí</t>
  </si>
  <si>
    <t>93</t>
  </si>
  <si>
    <t>Hoàng Văn Viết</t>
  </si>
  <si>
    <t>NGƯỜI LẬP BIỂU</t>
  </si>
  <si>
    <t>10=6+7+8+9</t>
  </si>
  <si>
    <t>14=11-12+13</t>
  </si>
  <si>
    <t>19=15+16+17+18</t>
  </si>
  <si>
    <t>Nhân viên phòng Công tác Chính trị - HSSV</t>
  </si>
  <si>
    <t>Nhân viên phòng Tuyển sinh - Đào tạo</t>
  </si>
  <si>
    <t>Phó Hiệu trưởng</t>
  </si>
  <si>
    <t>Vũ Như Quỳnh</t>
  </si>
  <si>
    <t>Nhân viên phòng Quản trị - Dịch vụ</t>
  </si>
  <si>
    <t>Nhân viên phòng Tổ chức - Hành chính - Tổng hợp</t>
  </si>
  <si>
    <t>PC ĐỘC HẠI</t>
  </si>
  <si>
    <t>26=14-19+21+23+25</t>
  </si>
  <si>
    <t>HS PCƯĐ</t>
  </si>
  <si>
    <t xml:space="preserve">PC 
Trách nhiệm </t>
  </si>
  <si>
    <t>PC
Độc hại</t>
  </si>
  <si>
    <t>24=(6+7+8)* Tỷ lệ PCUĐ</t>
  </si>
  <si>
    <t>KẾ TOÁN TRƯỞNG</t>
  </si>
  <si>
    <t>97</t>
  </si>
  <si>
    <t>V.05.02.07</t>
  </si>
  <si>
    <t>V.01.02.02</t>
  </si>
  <si>
    <t>V.05.02.08</t>
  </si>
  <si>
    <t>V.08.01.03</t>
  </si>
  <si>
    <t>V.08.03.07</t>
  </si>
  <si>
    <t>V.10.02.06</t>
  </si>
  <si>
    <t>1603205534256</t>
  </si>
  <si>
    <t>HS PC CHỨC VỤ</t>
  </si>
  <si>
    <t>Huỳnh Thị Cẩm Hoa</t>
  </si>
  <si>
    <t>QĐ Thuyên chuyển công tác về Trường từ ngày 15/07/2018. Nhập BL của Trường từ T08/2017</t>
  </si>
  <si>
    <t>39</t>
  </si>
  <si>
    <t>95</t>
  </si>
  <si>
    <t>Ghi chú: Nghỉ việc hưởng chế độ BHXH từ 20/5/2016 đến 06/7/2016Tháng 5 + Tháng 6/2016 chưa trừ lương</t>
  </si>
  <si>
    <t>QĐ thôi giữ chức vụ Tổ trưởng tổ VP-QLHS. QĐ điều động về phòng TS-ĐT từ 01/8/2017</t>
  </si>
  <si>
    <t>QĐ điều động về Tổ Thanh tra - PC từ 01/8/2017</t>
  </si>
  <si>
    <t xml:space="preserve">ĐƠN VỊ: TRƯỜNG CAO ĐẲNG LÝ TỰ TRỌNG </t>
  </si>
  <si>
    <t xml:space="preserve">TRƯỜNG CAO ĐẲNG LÝ TỰ TRỌNG TP. HCM </t>
  </si>
  <si>
    <t>Nhân viên phòng Khảo thí và KĐCL</t>
  </si>
  <si>
    <t>Trần Hồng Thảo</t>
  </si>
  <si>
    <t>Nguyễn Mỹ Tiên</t>
  </si>
  <si>
    <t>GV Khoa Kinh tế</t>
  </si>
  <si>
    <t>Trần Thị Ngọc Dung</t>
  </si>
  <si>
    <t>Hide</t>
  </si>
  <si>
    <t xml:space="preserve">Có QĐ Tuyển dụng từ 01/10/2017. </t>
  </si>
  <si>
    <t>Phan Thị Ngọc Phượng</t>
  </si>
  <si>
    <t>Đinh Hồng Minh</t>
  </si>
  <si>
    <t>Nguyễn Ngọc Trang</t>
  </si>
  <si>
    <t>Trương Việt Khánh Trang</t>
  </si>
  <si>
    <t>Hồ Minh Lợi</t>
  </si>
  <si>
    <t>Trang Thị Xuân Uyên</t>
  </si>
  <si>
    <t>Phạm Minh Nghĩa</t>
  </si>
  <si>
    <t>Lê Xuân Thiện</t>
  </si>
  <si>
    <t>Nguyễn Văn Thành</t>
  </si>
  <si>
    <t>Nguyễn Khoa</t>
  </si>
  <si>
    <t>Võ Đắc Thịnh</t>
  </si>
  <si>
    <t>Tạ Minh Cường</t>
  </si>
  <si>
    <t>Nguyễn Chí Nhân</t>
  </si>
  <si>
    <t>Nguyễn Vân Giang</t>
  </si>
  <si>
    <t>Huỳnh Ngọc Mai</t>
  </si>
  <si>
    <t>Nguyễn Thị Huyền Nga</t>
  </si>
  <si>
    <t>Phan Đức Long</t>
  </si>
  <si>
    <t>Phạm Thị Thu Nga</t>
  </si>
  <si>
    <t>Võ Cường</t>
  </si>
  <si>
    <t>Nguyễn Minh Đức</t>
  </si>
  <si>
    <t>Phan Văn Thành</t>
  </si>
  <si>
    <t>Đặng Thị Nhật Minh</t>
  </si>
  <si>
    <t>Nguyễn Đức Thắng</t>
  </si>
  <si>
    <t>Nguyễn Hồng Đức</t>
  </si>
  <si>
    <t>Nguyễn Thanh Vĩnh Phúc</t>
  </si>
  <si>
    <t>Trần Công Tiến</t>
  </si>
  <si>
    <t>Nguyễn Thanh Tú</t>
  </si>
  <si>
    <t>Nguyễn Văn Yên</t>
  </si>
  <si>
    <t>Vũ Quang Khải</t>
  </si>
  <si>
    <t>Đỗ Thị Phương Khanh</t>
  </si>
  <si>
    <t>Trương Thị Phương Hồng</t>
  </si>
  <si>
    <t>Nguyễn Tứ Cảnh</t>
  </si>
  <si>
    <t>Phan Thị Xuân Trang</t>
  </si>
  <si>
    <t>Nguyễn Ngọc Hiệp</t>
  </si>
  <si>
    <t>Nguyễn Thị Cẩm Thạch</t>
  </si>
  <si>
    <t>Nguyễn Anh Tăng</t>
  </si>
  <si>
    <t>Ngô Hoàng Anh</t>
  </si>
  <si>
    <t>Nguyễn Anh Kiệt</t>
  </si>
  <si>
    <t>Nguyễn Thị Dinh</t>
  </si>
  <si>
    <t>Nguyễn Văn Đông</t>
  </si>
  <si>
    <t>Đặng Thế Huân</t>
  </si>
  <si>
    <t>Nguyễn Thị Thu Tâm</t>
  </si>
  <si>
    <t>Nguyễn Thị Bảo Trân</t>
  </si>
  <si>
    <t>Võ Anh Hào</t>
  </si>
  <si>
    <t>Nguyễn Trần Thanh Nhàn</t>
  </si>
  <si>
    <t>Trần Hiếu Trinh</t>
  </si>
  <si>
    <t>Lê Tiến Đạt</t>
  </si>
  <si>
    <t>Võ Thị Xuân Thơ</t>
  </si>
  <si>
    <t>Nguyễn Tất Thắng</t>
  </si>
  <si>
    <t>Đặng Đức Minh</t>
  </si>
  <si>
    <t>Nguyễn Thị Tố Nga</t>
  </si>
  <si>
    <t>Nguyễn Thị Ngọc Hiền</t>
  </si>
  <si>
    <t>Lê Thế Huân</t>
  </si>
  <si>
    <t>Mạnh Lê Hoàn</t>
  </si>
  <si>
    <t>Nguyễn Văn Sơn</t>
  </si>
  <si>
    <t>Nguyễn Thanh Sơn</t>
  </si>
  <si>
    <t>Võ Minh Quang</t>
  </si>
  <si>
    <t>Hà Nhật Thanh</t>
  </si>
  <si>
    <t>Nguyễn Anh Tuấn</t>
  </si>
  <si>
    <t>Chung Trần Thế Vinh</t>
  </si>
  <si>
    <t>Nguyễn Thị Kim Dung</t>
  </si>
  <si>
    <t>Nguyễn Ngọc Quỳnh</t>
  </si>
  <si>
    <t>Nguyễn Hữu Thiện</t>
  </si>
  <si>
    <t>Quách Minh Thử</t>
  </si>
  <si>
    <t>Vũ Đức Pháp</t>
  </si>
  <si>
    <t>Nguyễn Hữu Mạnh</t>
  </si>
  <si>
    <t>Đặng Thái Sơn</t>
  </si>
  <si>
    <t>Vũ Thị Thái Linh</t>
  </si>
  <si>
    <t>Lê Thái Hùng</t>
  </si>
  <si>
    <t>Nguyễn Văn Đôn</t>
  </si>
  <si>
    <t>Nguyễn Trọng Phú</t>
  </si>
  <si>
    <t>Thân Thị Nhung</t>
  </si>
  <si>
    <t>Trần Thị Phương Oanh</t>
  </si>
  <si>
    <t>Đỗ Thị Tâm</t>
  </si>
  <si>
    <t>Mai Thu Hương</t>
  </si>
  <si>
    <t>Võ Thị Lệ Trân</t>
  </si>
  <si>
    <t>Vũ Ngọc Quang</t>
  </si>
  <si>
    <t>Đỗ Văn Trông</t>
  </si>
  <si>
    <t>Dương Minh Chung</t>
  </si>
  <si>
    <t>Đặng Thị Kiến Trúc</t>
  </si>
  <si>
    <t>Nguyễn Phương Hà</t>
  </si>
  <si>
    <t>Trần Thị Hồng Thu</t>
  </si>
  <si>
    <t>Lê Nguyễn Mỹ Trâm</t>
  </si>
  <si>
    <t>Dương Ngọc Vọng</t>
  </si>
  <si>
    <t>Cao Thị Hồng Thắm</t>
  </si>
  <si>
    <t>Nguyễn Tiến Dũng</t>
  </si>
  <si>
    <t>Nguyễn Minh Thái</t>
  </si>
  <si>
    <t>Phan Văn Hòa</t>
  </si>
  <si>
    <t>Bùi Thành Dũng</t>
  </si>
  <si>
    <t>Nguyễn Thành Long</t>
  </si>
  <si>
    <t>Đỗ Huỳnh Thanh Phong</t>
  </si>
  <si>
    <t>Trần Đình Khoa</t>
  </si>
  <si>
    <t>Hồ Văn Hóa</t>
  </si>
  <si>
    <t>Bùi Thị Ngọc Sương</t>
  </si>
  <si>
    <t>Lê Minh Phong</t>
  </si>
  <si>
    <t>Ngô Thanh Điền</t>
  </si>
  <si>
    <t>Lương Thị Thắm</t>
  </si>
  <si>
    <t>Huỳnh Thị Xuân Mai</t>
  </si>
  <si>
    <t>Lê Thị Nữ</t>
  </si>
  <si>
    <t>Trần Văn Lý</t>
  </si>
  <si>
    <t>Trần Văn Cu Anh</t>
  </si>
  <si>
    <t>Hiệu trưởng</t>
  </si>
  <si>
    <t>TP. Kế hoạch - Tài chính</t>
  </si>
  <si>
    <t>TP. QLKH &amp; HTQT</t>
  </si>
  <si>
    <t>Trưởng phòng Quản trị - Dịch vụ</t>
  </si>
  <si>
    <t>Trưởng khoa Kinh tế</t>
  </si>
  <si>
    <t>Trưởng Trung tâm Y tế</t>
  </si>
  <si>
    <t>Phó Trưởng phòng Quản trị - Dịch vụ</t>
  </si>
  <si>
    <t>Phó Trưởng khoa CNTT</t>
  </si>
  <si>
    <t>Trưởng BM Hóa khoa KHCB</t>
  </si>
  <si>
    <t>Tổ trưởng Tổ QL Ký túc xá SV</t>
  </si>
  <si>
    <t>Giảng viên khoa Lý luận chính trị</t>
  </si>
  <si>
    <t>Giảng viên khoa CN May - Thời trang</t>
  </si>
  <si>
    <t>Phó Trưởng phòng Kế hoạch - Tài chính</t>
  </si>
  <si>
    <t>Phó Trưởng khoa Lý luận chính trị</t>
  </si>
  <si>
    <t>Trưởng BM khoa CNTT</t>
  </si>
  <si>
    <t>Tổ trưởng tổ sửa chữa cơ bản</t>
  </si>
  <si>
    <t>Nhân viên phòng Kế hoạch - Tài chính</t>
  </si>
  <si>
    <t>Nhân viên TT Dạy nghề Lý Tự Trọng</t>
  </si>
  <si>
    <t>Giảng viên khoa Kinh tế</t>
  </si>
  <si>
    <t>Giảng viên khoa CNTT</t>
  </si>
  <si>
    <t>Nhân viên Trung tâm Y tế</t>
  </si>
  <si>
    <t>Nhân viên Trung tâm Dạy nghề Lý Tự Trọng</t>
  </si>
  <si>
    <t>0016100006590009</t>
  </si>
  <si>
    <t>0016100006756004</t>
  </si>
  <si>
    <t>169</t>
  </si>
  <si>
    <t xml:space="preserve">LOẠI, HẠNG VC </t>
  </si>
  <si>
    <t>III</t>
  </si>
  <si>
    <t>256</t>
  </si>
  <si>
    <t>258</t>
  </si>
  <si>
    <t xml:space="preserve">PCTN kế toán trưởng HS 0,2 trên MLTT từ 06/02/2017. </t>
  </si>
  <si>
    <t>Cao Văn Tuấn</t>
  </si>
  <si>
    <t xml:space="preserve">Có QĐ tuyển dụng, HĐLV từ 01/4/2018. </t>
  </si>
  <si>
    <t>Trần Nam Anh</t>
  </si>
  <si>
    <t>Nguyễn Thị Vân</t>
  </si>
  <si>
    <t>NV Văn thư lưu trữ; Phòng TC-HC-TH</t>
  </si>
  <si>
    <t>Nghỉ hộ sản hưởng BHXH, đi làm lại từ 04/5/2018. Nhập lại trên BL T5/2018.</t>
  </si>
  <si>
    <r>
      <t>Hưởng PCTN cấp ủy viên HS 0,3 trên MLTT từ T1/2015.</t>
    </r>
    <r>
      <rPr>
        <sz val="8"/>
        <color indexed="10"/>
        <rFont val="Times New Roman"/>
        <family val="1"/>
      </rPr>
      <t xml:space="preserve"> 
</t>
    </r>
  </si>
  <si>
    <t>Nhân viên Bảo vệ phòng Tổ chức - Hành chính - Tổng hợp</t>
  </si>
  <si>
    <t>Lưu Hoàng Hải Yến</t>
  </si>
  <si>
    <t>Thái Thị My Sa</t>
  </si>
  <si>
    <t>Phạm Quang Vũ</t>
  </si>
  <si>
    <t>Nguyễn Thanh Giang</t>
  </si>
  <si>
    <t>Nguyễn Cao Thắng</t>
  </si>
  <si>
    <t>GV Khoa CN Cơ khí</t>
  </si>
  <si>
    <t>(Ban hành kèm theo Thông tư số 107/2017-BTC</t>
  </si>
  <si>
    <t xml:space="preserve"> ngày 10/10/2017 của Bộ Tài chính)</t>
  </si>
  <si>
    <t>Phó Trưởng khoa KHCB</t>
  </si>
  <si>
    <t>Tưởng phòng Khảo thí và KĐCL</t>
  </si>
  <si>
    <t>Nguyễn Hồng Phúc</t>
  </si>
  <si>
    <t>Cao Xuân Giang</t>
  </si>
  <si>
    <t>Lê Thị Phương Thảo</t>
  </si>
  <si>
    <t>Nguyễn Lương Tâm</t>
  </si>
  <si>
    <t>Trần Thế Sơn</t>
  </si>
  <si>
    <t>Lương Xuân Thịnh</t>
  </si>
  <si>
    <t>1603205584782</t>
  </si>
  <si>
    <t>Hồ Ngọc Chi</t>
  </si>
  <si>
    <t>Trưởng BM GDTC khoa KHCB</t>
  </si>
  <si>
    <t>Huỳnh Quốc Dũng</t>
  </si>
  <si>
    <t>Giảng viên Khoa Công nghệ thông tin</t>
  </si>
  <si>
    <t>Giảng viên Khoa Kinh tế</t>
  </si>
  <si>
    <t>Nhân viên TT Quan hệ doanh nghiệp</t>
  </si>
  <si>
    <t>226</t>
  </si>
  <si>
    <t>Trưởng phòng Tổ chức - Hành chính - Tổng hợp</t>
  </si>
  <si>
    <t>Trần Giang Nam</t>
  </si>
  <si>
    <t>Trần Văn Đông</t>
  </si>
  <si>
    <t>Nguyễn Trọng Thạch</t>
  </si>
  <si>
    <t>Nguyễn Khắc Huy</t>
  </si>
  <si>
    <t>024911362</t>
  </si>
  <si>
    <t>024943779</t>
  </si>
  <si>
    <t>079082001582</t>
  </si>
  <si>
    <t>Số CMND</t>
  </si>
  <si>
    <t>71000000474</t>
  </si>
  <si>
    <t>71000000507</t>
  </si>
  <si>
    <t>71000000520</t>
  </si>
  <si>
    <t>81000000899</t>
  </si>
  <si>
    <t>81000000898</t>
  </si>
  <si>
    <t>31000001254</t>
  </si>
  <si>
    <t>80600000693</t>
  </si>
  <si>
    <t>80600000454</t>
  </si>
  <si>
    <t>80600000227</t>
  </si>
  <si>
    <t>60900000967</t>
  </si>
  <si>
    <t>80600000436</t>
  </si>
  <si>
    <t>81000000906</t>
  </si>
  <si>
    <t>81000000908</t>
  </si>
  <si>
    <t>81200000317</t>
  </si>
  <si>
    <t>81000000911</t>
  </si>
  <si>
    <t>81000001014</t>
  </si>
  <si>
    <t>80400000647</t>
  </si>
  <si>
    <t>90100000741</t>
  </si>
  <si>
    <t>80500002218</t>
  </si>
  <si>
    <t>81000000903</t>
  </si>
  <si>
    <t>90100000730</t>
  </si>
  <si>
    <t>80500000584</t>
  </si>
  <si>
    <t>90400000056</t>
  </si>
  <si>
    <t>90400000059</t>
  </si>
  <si>
    <t>025439037</t>
  </si>
  <si>
    <t>079167006972</t>
  </si>
  <si>
    <t>025348886</t>
  </si>
  <si>
    <t>079171008822</t>
  </si>
  <si>
    <t>072081001354</t>
  </si>
  <si>
    <t>074182000157</t>
  </si>
  <si>
    <t>046068000245</t>
  </si>
  <si>
    <t>079186007086</t>
  </si>
  <si>
    <t>079073005167</t>
  </si>
  <si>
    <t>079072000577</t>
  </si>
  <si>
    <t>046077000191</t>
  </si>
  <si>
    <t>079085003003</t>
  </si>
  <si>
    <t>035179002848</t>
  </si>
  <si>
    <t>079072011875</t>
  </si>
  <si>
    <t>034189004248</t>
  </si>
  <si>
    <t>017090000191</t>
  </si>
  <si>
    <t>079076001426</t>
  </si>
  <si>
    <t>079084013225</t>
  </si>
  <si>
    <t>079170004279</t>
  </si>
  <si>
    <t>079064008054</t>
  </si>
  <si>
    <t>048065000101</t>
  </si>
  <si>
    <t>040178000738</t>
  </si>
  <si>
    <t>072065001832</t>
  </si>
  <si>
    <t>051068000336</t>
  </si>
  <si>
    <t>025919554</t>
  </si>
  <si>
    <t>026062453</t>
  </si>
  <si>
    <t>060084000219</t>
  </si>
  <si>
    <t>023630039</t>
  </si>
  <si>
    <t>025817153</t>
  </si>
  <si>
    <t>025845340</t>
  </si>
  <si>
    <t>060074000079</t>
  </si>
  <si>
    <t>001172012821</t>
  </si>
  <si>
    <t>QĐ Bổ nhiệm Phó Hiệu trưởng từ 15/4/2019</t>
  </si>
  <si>
    <t>MÃ ĐƠN VỊ: 1058083</t>
  </si>
  <si>
    <t>GV Khoa xây dựng</t>
  </si>
  <si>
    <t>Phó Trưởng khoa Xây dựng</t>
  </si>
  <si>
    <t>Bằng chữ:</t>
  </si>
  <si>
    <t>Giảng viên khoa May - Thời trang</t>
  </si>
  <si>
    <t>Giảng viên khoa Cơ khí</t>
  </si>
  <si>
    <t>Giảng viên khoa  Động lực</t>
  </si>
  <si>
    <t>Giảng viên khoa Điện - Điện tử</t>
  </si>
  <si>
    <t>Giảng viên khoa Động lực</t>
  </si>
  <si>
    <t>GV Khoa May - Thời trang</t>
  </si>
  <si>
    <t>GV Khoa Điện - Điện tử</t>
  </si>
  <si>
    <t>GV Khoa Cơ khí</t>
  </si>
  <si>
    <t>Giảng viên khoa Nhiệt - Lạnh</t>
  </si>
  <si>
    <t>Giảng viên khoa  May - Thời trang</t>
  </si>
  <si>
    <t>Trưởng BM khoa Động lực</t>
  </si>
  <si>
    <t>Trưởng BM khoa  Điện - Điện tử</t>
  </si>
  <si>
    <t>Trưởng bộ môn khoa Cơ khí</t>
  </si>
  <si>
    <t>Phó Trưởng khoa Nhiệt lạnh</t>
  </si>
  <si>
    <t>Phó Trưởng khoa Nhiệt - Lạnh</t>
  </si>
  <si>
    <t>Phó Trưởng khoa Cơ khí</t>
  </si>
  <si>
    <t>Trưởng khoa Cơ khí</t>
  </si>
  <si>
    <t>Trưởng khoa Động lực</t>
  </si>
  <si>
    <t>Trưởng BM khoa Điện - Điện tử</t>
  </si>
  <si>
    <t>Giảng viên khoa  Điện - Điện tử</t>
  </si>
  <si>
    <t>Giảng viên khoa  Nhiệt - Lạnh</t>
  </si>
  <si>
    <t>Giảng viên khoa  Cơ khí</t>
  </si>
  <si>
    <t>Hưởng PCTN Bí thư Đoàn TN 0.45 Mức lương tối thiểu từ T7/19</t>
  </si>
  <si>
    <t>Phó Trưởng khoa Điện - Điện tử</t>
  </si>
  <si>
    <t>Trưởng TT Điều hành và quản lý dữ liệu</t>
  </si>
  <si>
    <t>Trưởng Trung tâm Thư viện</t>
  </si>
  <si>
    <t>25=24*1.490.000</t>
  </si>
  <si>
    <t>23=22*1.490.000</t>
  </si>
  <si>
    <t>21=20*1.490.000</t>
  </si>
  <si>
    <t>11=10*1.490.000</t>
  </si>
  <si>
    <t>Nhân viên Trung tâm Điều hành và quản lý dữ liệu</t>
  </si>
  <si>
    <t>Trương Thị Hồng</t>
  </si>
  <si>
    <t>GV Khoa KHCB</t>
  </si>
  <si>
    <t>Lý Văn Trung</t>
  </si>
  <si>
    <t>Giảng viên Khoa  Động lực</t>
  </si>
  <si>
    <t>Giảng viên Khoa  May - Thời trang</t>
  </si>
  <si>
    <t>GV Khoa CNTT</t>
  </si>
  <si>
    <t>Nguyễn Thị Minh Thùy</t>
  </si>
  <si>
    <t>Võ Tấn Kiệt</t>
  </si>
  <si>
    <t>701191100000289</t>
  </si>
  <si>
    <t>701191100000289342</t>
  </si>
  <si>
    <t>701191100000289263</t>
  </si>
  <si>
    <t>701191100000289114</t>
  </si>
  <si>
    <t>Nhân viên Trung tâm Thư viện</t>
  </si>
  <si>
    <t>CỘNG CÁC HỢP ĐỒNG</t>
  </si>
  <si>
    <t>CỘNG HỢP ĐỒNG LAO ĐỘNG</t>
  </si>
  <si>
    <t>81</t>
  </si>
  <si>
    <t>82</t>
  </si>
  <si>
    <t>HỢP ĐỒNG LAO ĐỘNG</t>
  </si>
  <si>
    <t>78</t>
  </si>
  <si>
    <t>79</t>
  </si>
  <si>
    <t>Trưởng BM khoa  Cơ khí</t>
  </si>
  <si>
    <t>Trưởng khoa Khoa học cơ bản</t>
  </si>
  <si>
    <t>Trưởng phòng Tuyển sinh - Đào tạo</t>
  </si>
  <si>
    <t>Trưởng TT Quan hệ doanh nghiệp</t>
  </si>
  <si>
    <t>0016100006808004</t>
  </si>
  <si>
    <t>0016100006657006</t>
  </si>
  <si>
    <t xml:space="preserve">PCTN cấp ủy viên HS 0,3 trên MLTT từ T13/4/20. </t>
  </si>
  <si>
    <t>Nhân viên phòng Thanh tra Giáo dục - CT Sinh viên</t>
  </si>
  <si>
    <t>Phó trưởng phòng Thanh tra giáo dục - CT Sinh viên</t>
  </si>
  <si>
    <t>Trưởng phòng Thanh tra giáo dục - CT Sinh viên</t>
  </si>
  <si>
    <t>Phó Trưởng phòng Thanh tra giáo dục - CT Sinh viên</t>
  </si>
  <si>
    <t>Nhân viên phòng Thanh tra giáo dục - CT Sinh viên</t>
  </si>
  <si>
    <t>GV Khoa Động lực</t>
  </si>
  <si>
    <t>Huỳnh Chí Giỏi</t>
  </si>
  <si>
    <t>V.09.02.03</t>
  </si>
  <si>
    <t>Lâm Thị Phương Thảo</t>
  </si>
  <si>
    <t>Trình Minh Phong</t>
  </si>
  <si>
    <t>Giảng viên khoa xây dựng</t>
  </si>
  <si>
    <t>Nguyễn Hoàng Vinh</t>
  </si>
  <si>
    <t>Đỗ Hoàng Duy</t>
  </si>
  <si>
    <t>1603205634954</t>
  </si>
  <si>
    <t>1603205634960</t>
  </si>
  <si>
    <t>1603205634948</t>
  </si>
  <si>
    <t>1603205637010</t>
  </si>
  <si>
    <t>1603205637004</t>
  </si>
  <si>
    <t>QĐ BNCD NN từ 01/04/2020</t>
  </si>
  <si>
    <t>V.09.02.02</t>
  </si>
  <si>
    <t>Giảng viên khoa Công nghệ thông tin</t>
  </si>
  <si>
    <t>Phó phòng Tổ chức - Hành chính - Tổng hợp</t>
  </si>
  <si>
    <t>Phó Trưởng khoa. Khoa Công nghệ thông tin</t>
  </si>
  <si>
    <t>Phó Trưởng Phòng Tuyển sinh - Đào tạo</t>
  </si>
  <si>
    <t>Lê Thị Thúy Oanh</t>
  </si>
  <si>
    <t>Huỳnh Văn Quang</t>
  </si>
  <si>
    <t>Nguyễn Thiện Bình</t>
  </si>
  <si>
    <t>QĐ Tuyển dụng VC từ 01/10/20. Lập bảng TL riêng, cập nhật BL T11/2020</t>
  </si>
  <si>
    <t>Nghỉ bệnh hưởng BHXH từ 21 đến 29/10/2020</t>
  </si>
  <si>
    <t>Nghỉ bệnh hưởng chế độ BHXH từ 4/10/20 đến hết ngày 12/10/20</t>
  </si>
  <si>
    <t>083074000304</t>
  </si>
  <si>
    <t>Nhân viên Phòng Quản trị - Dịch vụ</t>
  </si>
  <si>
    <t>Trưởng khoa  May - Thời trang</t>
  </si>
  <si>
    <t>Trưởng khoa Công nghệ Điện - Điện tử</t>
  </si>
  <si>
    <t>Trưởng BM khoa  Động lực</t>
  </si>
  <si>
    <t>Phó TP Khảo thí và Đảm bảo CL</t>
  </si>
  <si>
    <t>Phó TP Tuyển sinh - Đào tạo</t>
  </si>
  <si>
    <t>HS PCCV được bảo lưu hết 31/3/2021</t>
  </si>
  <si>
    <t>Phó Trưởng khoa Động lực</t>
  </si>
  <si>
    <t>Nhân viên phòng Khảo thí và ĐBCL</t>
  </si>
  <si>
    <t>Trưởng BM khoa Kinh tế</t>
  </si>
  <si>
    <t>Nhân viên TT Thư viện</t>
  </si>
  <si>
    <t>Hết thời gian nghỉ hộ sản. Nhập lại BL T12/20</t>
  </si>
  <si>
    <t>Nghỉ bệnh hưởng BHXH từ 24/10 đến 29/10</t>
  </si>
  <si>
    <t>Nhân viên TT Điều hành và QL dữ liệu</t>
  </si>
  <si>
    <t>Nghỉ hộ sản hưởng chế độ BHXH từ 01/12/2020. Trừ trên BL T12+1+2+3+4+5/21</t>
  </si>
  <si>
    <t>(Tháng 12 năm 2020)</t>
  </si>
  <si>
    <t>Một tỷ bảy trăm bốn mươi sáu triệu chín trăm ba mươi bảy ngàn một trăm năm mươi mốt đồng.</t>
  </si>
  <si>
    <t>Thành phố Hồ Chí Minh, ngày 01 tháng 12 năm 2020</t>
  </si>
  <si>
    <t>Bùi Trọng Tân</t>
  </si>
  <si>
    <t>QĐ Tuyển dụng từ 01/03/2021 Lập bàng TL riêng, cập nhật BL T04/2021</t>
  </si>
  <si>
    <t>Nguyễn Thanh Dũng</t>
  </si>
  <si>
    <t>Võ Quốc Duy</t>
  </si>
  <si>
    <t>QĐ Tuyển dụng từ 01/4/2021</t>
  </si>
  <si>
    <t>Võ Hoài Sơn</t>
  </si>
  <si>
    <t>Trần Ngọc Tuấn</t>
  </si>
  <si>
    <t>1603205668349</t>
  </si>
  <si>
    <t>1603205668355</t>
  </si>
  <si>
    <t>1603205668361</t>
  </si>
  <si>
    <t>1603205668384</t>
  </si>
  <si>
    <t>1603205668440</t>
  </si>
  <si>
    <t>Chưa hết thời gian nghỉ hộ sản xin đi làm lại từ ngày 04/5/2021</t>
  </si>
  <si>
    <t>031181011700</t>
  </si>
  <si>
    <t>Giang Văn Tiến</t>
  </si>
  <si>
    <t>QĐ Tuyển dụng từ 01/5/2021. Lập bảng truy lãnh riêng, cập nhật BL T6/2021</t>
  </si>
  <si>
    <t>Hồ Gia Bảo</t>
  </si>
  <si>
    <t>Nguyễn Hoàng Thanh Ngân</t>
  </si>
  <si>
    <t>0016100029229001</t>
  </si>
  <si>
    <t>0021100007409006</t>
  </si>
  <si>
    <t>0003100008196007</t>
  </si>
  <si>
    <t>0004100006031004</t>
  </si>
  <si>
    <t>0023100018335001</t>
  </si>
  <si>
    <t>0016100019261004</t>
  </si>
  <si>
    <t>0004100004671006</t>
  </si>
  <si>
    <t>0016100019259007</t>
  </si>
  <si>
    <t>0016100028103004</t>
  </si>
  <si>
    <t>0016100028104008</t>
  </si>
  <si>
    <t>0016100019260008</t>
  </si>
  <si>
    <t>1603205670783</t>
  </si>
  <si>
    <t>0016100029651005</t>
  </si>
  <si>
    <t>1603205670790</t>
  </si>
  <si>
    <t>0016100029650009</t>
  </si>
  <si>
    <t>0016100029652001</t>
  </si>
  <si>
    <t>1603205670804</t>
  </si>
  <si>
    <t>Phan Thanh Hoàng</t>
  </si>
  <si>
    <t>Nguyễn Thị Xuân Chinh</t>
  </si>
  <si>
    <t>Lương</t>
  </si>
  <si>
    <t>ABC</t>
  </si>
  <si>
    <t>PCCV</t>
  </si>
  <si>
    <t>PCTN NG</t>
  </si>
  <si>
    <t>PCƯĐ (25%)</t>
  </si>
  <si>
    <t>Cơm trưa (22 ngày)</t>
  </si>
  <si>
    <t>50.000/ngày</t>
  </si>
  <si>
    <t>TỔNG</t>
  </si>
  <si>
    <t>PCKN (chính)</t>
  </si>
  <si>
    <t>Phụ cấp thu hút</t>
  </si>
  <si>
    <t>PC khác</t>
  </si>
  <si>
    <t>PC Điện thoại</t>
  </si>
  <si>
    <t>Thu nhập bình quân tháng của cô Ngọc Trang</t>
  </si>
  <si>
    <t>NQ 03 (01 tháng)</t>
  </si>
  <si>
    <t>Hết thời gian nghỉ hộ sản hưởng BHXH đi làm lại từ 22/9/21. Nhập lại BL T10/2021</t>
  </si>
  <si>
    <t>(Tháng 10 năm 2021)</t>
  </si>
  <si>
    <t>Thành phố Hồ Chí Minh, ngày 01 tháng 10 năm 2021</t>
  </si>
  <si>
    <t>Hai mươi mốt triệu năm trăm sáu mươi bảy ngàn ba trăm lẻ sáu đồng.</t>
  </si>
  <si>
    <t>Trưởng phòng KHCN &amp; HTQT</t>
  </si>
  <si>
    <t>HS lương</t>
  </si>
  <si>
    <t>Lương cơ sở</t>
  </si>
  <si>
    <t>Xếp loại thi đua</t>
  </si>
  <si>
    <t>A4</t>
  </si>
  <si>
    <t>HS Thi đua</t>
  </si>
  <si>
    <t>Thành tiền</t>
  </si>
  <si>
    <t>Ngày công KH Tháng</t>
  </si>
  <si>
    <t>Ngày công thực tế</t>
  </si>
  <si>
    <t>Lương điều chỉnh tính theo ngày công</t>
  </si>
  <si>
    <t>Họ và tên</t>
  </si>
  <si>
    <t>A</t>
  </si>
  <si>
    <t>6=1x5</t>
  </si>
  <si>
    <t>3=1x2</t>
  </si>
  <si>
    <t>7=2x6</t>
  </si>
  <si>
    <t>Ghi chú</t>
  </si>
  <si>
    <t>Hết thời gian nghỉ hộ sản từ 12/6/2021</t>
  </si>
  <si>
    <t>0016106868686866</t>
  </si>
  <si>
    <t>Tổ trưởng tổ sửa chữa cơ bản - P.QTDV</t>
  </si>
  <si>
    <t>Giảng viên Khoa CNTT</t>
  </si>
  <si>
    <t>Trưởng BM khoa 
Cơ khí</t>
  </si>
  <si>
    <t>Trưởng BM khoa KHCB</t>
  </si>
  <si>
    <t>Trưởng Trung tâm Điều hành và quản lý dữ liệu</t>
  </si>
  <si>
    <t>10300000886</t>
  </si>
  <si>
    <t>00500001271</t>
  </si>
  <si>
    <t>10400000648</t>
  </si>
  <si>
    <t>10500000098</t>
  </si>
  <si>
    <t>00500001189</t>
  </si>
  <si>
    <t>01000000142</t>
  </si>
  <si>
    <t>10500000046</t>
  </si>
  <si>
    <t>00500001331</t>
  </si>
  <si>
    <t>10300000897</t>
  </si>
  <si>
    <t>01000000184</t>
  </si>
  <si>
    <t>10400000267</t>
  </si>
  <si>
    <t>00500001237</t>
  </si>
  <si>
    <t>10400000264</t>
  </si>
  <si>
    <t>11100076770</t>
  </si>
  <si>
    <t>10100000317</t>
  </si>
  <si>
    <t>QĐ BN CDNN từ 01/03/2022 Lập bàng TL riêng, cập nhật BL T05/2021</t>
  </si>
  <si>
    <t>Phó Trưởng phòng Khảo thí và ĐBCL</t>
  </si>
  <si>
    <t>Nguyễn Thị Thùy Dương</t>
  </si>
  <si>
    <t>Nguyễn Quỳnh Như</t>
  </si>
  <si>
    <t>Nguyễn Thị Mỹ Tiên</t>
  </si>
  <si>
    <t>Nguyễn Thị Ngọc Sương</t>
  </si>
  <si>
    <t>Nguyễn Văn Dũng</t>
  </si>
  <si>
    <t>Đỗ Thị Hải yến</t>
  </si>
  <si>
    <t>Đỗ Hoàng Vinh</t>
  </si>
  <si>
    <t>CHỨC DANH NGHỀ NGHIỆP</t>
  </si>
  <si>
    <t>Nguyễn Thị Thanh Hòa</t>
  </si>
  <si>
    <t>Đinh Thị Trâm</t>
  </si>
  <si>
    <t>QĐ Tuyển dụng từ 01/7/2022. Lập bảng TL riêng, cập nhật BL T08/2022</t>
  </si>
  <si>
    <t>Hồng Thái</t>
  </si>
  <si>
    <t>Giám đốc TT Đào tạo Lý Tự Trọng</t>
  </si>
  <si>
    <t>Huỳnh Kim Liên</t>
  </si>
  <si>
    <t>Trưởng phòng Khảo thí và KĐCL</t>
  </si>
  <si>
    <t>Nguyễn Duy Tân</t>
  </si>
  <si>
    <t>QĐ Tuyển dụng từ 01/10/2022. Lập bảng TL riêng, cập nhật BL T11/22</t>
  </si>
  <si>
    <t>Lê Hồng Ngọc My</t>
  </si>
  <si>
    <t>Nguyễn Khương Thành</t>
  </si>
  <si>
    <t>Nguyễn Hữu Lương</t>
  </si>
  <si>
    <t>Huỳnh Duy An</t>
  </si>
  <si>
    <t>Trần Hà Trang</t>
  </si>
  <si>
    <t>Phó Trưởng khoa Kinh tế</t>
  </si>
  <si>
    <t>Phó Trưởng Trung tâm Thư viện</t>
  </si>
  <si>
    <t>Trưởng khoa Lý luận chính trị</t>
  </si>
  <si>
    <t>Trưởng khoa 
Điện - Điện tử</t>
  </si>
  <si>
    <t>V.07.01.02</t>
  </si>
  <si>
    <t>Giảng viên chính (Hạng 2)</t>
  </si>
  <si>
    <t>Chuyên viên</t>
  </si>
  <si>
    <t>Kế toán viên</t>
  </si>
  <si>
    <t>Giảng viên GDNN LT (hạng III)</t>
  </si>
  <si>
    <t>Đi học nghiên cứu sinh tại Trường ĐHQG khoa học và công nghệ Cao Hùng (Trung Quốc) từ ngày 01/3/23. Theo QĐ số 495/QĐ-UBND ngày 20/2/23. Hưởng 40% lương</t>
  </si>
  <si>
    <t>40% HS 2,34</t>
  </si>
  <si>
    <t>QĐ số 495/QĐ-UBND ngày 20 tháng 02 năm 2023 về cử viên chức Nguyễn Hoàng Thanh Ngân đi học nghiên cứu sinh tại Trường ĐHQG Khoa học và Công nghệ Cao Hùng, Đài Loan (Trung Quốc). Hưởng 40% lương</t>
  </si>
  <si>
    <t>QĐ Tuyển dụng từ 01/5/2021. Lập bảng truy lãnh riêng, cập nhật BL T6/2021
- Trừ 2.091.960</t>
  </si>
  <si>
    <t>1</t>
  </si>
  <si>
    <t>3</t>
  </si>
  <si>
    <t>6</t>
  </si>
  <si>
    <t>7</t>
  </si>
  <si>
    <t>8</t>
  </si>
  <si>
    <t>9</t>
  </si>
  <si>
    <t>2</t>
  </si>
  <si>
    <t>KNC</t>
  </si>
  <si>
    <t>Lê Thị Hải Đăng</t>
  </si>
  <si>
    <t>Thuyên chuyển từ Trường Giao thông Vận tải về từ ngày 01/04/2023</t>
  </si>
  <si>
    <t>Huỳnh Đình Văn</t>
  </si>
  <si>
    <t xml:space="preserve">QĐ Tuyển dụng từ 01/05/2023. </t>
  </si>
  <si>
    <t>Đào Lê Phương Anh</t>
  </si>
  <si>
    <t>Phan Hữu Tước</t>
  </si>
  <si>
    <t>01.005</t>
  </si>
  <si>
    <t>Giảng viên khoa Ngoại ngữ</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</si>
  <si>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</si>
  <si>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11=10*1.800.000</t>
  </si>
  <si>
    <t>21=20*1.800.000</t>
  </si>
  <si>
    <t>23=22*1.800.000</t>
  </si>
  <si>
    <t>25=24*1.800.000</t>
  </si>
  <si>
    <t>Nguyễn Duy Lộc</t>
  </si>
  <si>
    <t xml:space="preserve">QĐ Tuyển dụng từ 01/09/2023. </t>
  </si>
  <si>
    <t>Lê Thu Hà</t>
  </si>
  <si>
    <t>Nguyễn Huỳnh Lưu Phương</t>
  </si>
  <si>
    <t>Thuyên chuyển về trường từ 01/10/2023</t>
  </si>
  <si>
    <t>Nghỉ chế độ con bệnh từ 19/9 đến 22/9</t>
  </si>
  <si>
    <t>Trưởng khoa Ngoại Ngữ</t>
  </si>
  <si>
    <t>Phó Giám đốc TT Đào tạo Lý Tự Trọng</t>
  </si>
  <si>
    <t>Trưởng Bộ môn - Khoa Điện - Điện tử</t>
  </si>
  <si>
    <t>45% PCƯĐ</t>
  </si>
  <si>
    <t>Nghỉ hộ sản từ ngày 12/12/2023 đến hết ngày 11/6/2024. Trừ trên BL T1+2+3+4+5+6/2024 Vẫn hưởng PCƯĐ</t>
  </si>
  <si>
    <t>Nghỉ hộ sản hưởng chế độ BHXH từ 12/12/23 đến hết 11/6/24. Trừ trên BL T1+2+3+4+5+6/24</t>
  </si>
  <si>
    <t>Giảng viên khoa Du lịch - Khách sạn</t>
  </si>
  <si>
    <t>Trưởng khoa Du lịch - Khách sạn</t>
  </si>
  <si>
    <t>Trưởng BM khoa Du lịch - Khách sạn</t>
  </si>
  <si>
    <t>Giảng viên khoa Khách sạn - Du lịch</t>
  </si>
  <si>
    <t>Nhân viên phòng Khoa học công nghệ và HTQT</t>
  </si>
  <si>
    <t>Ôn Thị Ngọc Thảo</t>
  </si>
  <si>
    <t>QĐ Tuyển dụng từ 01/01/2024.</t>
  </si>
  <si>
    <t xml:space="preserve">                                      </t>
  </si>
  <si>
    <t>Phó Trưởng TT Điều hành và QLDL</t>
  </si>
  <si>
    <t>Bảng lương tháng 03/2024</t>
  </si>
  <si>
    <t>Nguyễn Ngọc Quỳnh.</t>
  </si>
  <si>
    <t>Nghỉ hộ sản hưởng chế độ BHXH từ 9/3/2024 đến hết ngày 09/09/2024. Trừ T4+5+6+7+8+9/24</t>
  </si>
  <si>
    <t>Nghỉ hộ sản hưởng chế độ BHXH từ 09/03/2024 đến hết ngày 08/03/2024. Trừ trên BL T4+5+6+7+8+9/2024. Vẫn hưởng PCƯĐ</t>
  </si>
  <si>
    <t>QĐ Nâng lương trước hạn từ ngày 01/9/2023, lập bảng truy lãnh riêng, cập nhật BL T4/2024</t>
  </si>
  <si>
    <t>QĐ Nâng lương trước hạn từ 01/5/2023, lập bảng truy lãnh riêng, cập nhật BL T4/2024</t>
  </si>
  <si>
    <t>QĐ Nâng lương trước hạn từ 01/11/2023, lập bảng truy lãnh riêng, cập nhật BL T4/2024</t>
  </si>
  <si>
    <t>QĐ Nâng lương trước hạn từ 01/4/2023, lập bảng truy lãnh riêng, cập nhật BL T4/2024</t>
  </si>
  <si>
    <t>02.008</t>
  </si>
  <si>
    <t>QĐ Nâng lương trước hạn từ 01/10/2023, lập bảng truy lãnh riêng, cập nhật BL T4/2024</t>
  </si>
  <si>
    <t>QĐ Nâng lương trước hạn từ 01/6/2023, lập bảng truy lãnh riêng, cập nhật BL T4/2024</t>
  </si>
  <si>
    <t>QĐ Nâng lương trước hạn từ 01/9/2023, lập bảng truy lãnh riêng, cập nhật BL T4/2024</t>
  </si>
  <si>
    <t>QĐ Nâng phụ cấp thâm niên vượt khung từ 01/01/2024, lập bảng truy lãnh riêng, cập nhật BL T04/2024</t>
  </si>
  <si>
    <t>QĐ Nâng lương thường xuyên từ 01/03/2024, lập bảng truy lãnh riêng, cập nhật BL T4/2024</t>
  </si>
  <si>
    <t>QĐ Nâng lương thường xuyên từ 01/04/2024</t>
  </si>
  <si>
    <t>QĐ Nâng lương thường xuyên từ 01/4/2024</t>
  </si>
  <si>
    <t>QĐ Hưởng phụ cấp thâm niên nhà giáo từ 01/04/2024</t>
  </si>
  <si>
    <t>- QĐ Nâng lương thường xuyên từ 01/04/2024
- QĐ Hưởng PCTN nhà giáo từ 01/4/2024</t>
  </si>
  <si>
    <t>QĐ Nâng 1% phụ cấp thâm niên nhà giáo từ 01/4/2024</t>
  </si>
  <si>
    <t>QĐ Thôi giữ chức vụ TP. Thanh tra -GD từ 01/3/2024. HS PCCV 0,45 được bảo lưu hết T8/2024</t>
  </si>
  <si>
    <t>QĐ Thôi giữ chức Trưởng phòng Thanh tra giáo dục từ 01/3/2024. Hệ số PCCV 0,45 được bảo lưu đến hết T08/2024</t>
  </si>
  <si>
    <t>QĐ Thôi giữ chức vụ Trưởng khoa từ 01/3/2024. HS phụ cấp chức vụ 0,35 được bảo lưu đến hết T04/2024</t>
  </si>
  <si>
    <t>Giảng viên khoa Xây dựng - Nhiệt lạnh</t>
  </si>
  <si>
    <t>Phó Trưởng khoa Xây dựng - Nhiệt lạnh</t>
  </si>
  <si>
    <t>Giảng viên khoa  Xây dựng - Nhiệt lạnh</t>
  </si>
  <si>
    <t>Nhân viên phòng Thanh tra giáo dục - QHDN</t>
  </si>
  <si>
    <t>Trưởng phòng Thanh tra GD - Quan hệ DN</t>
  </si>
  <si>
    <t>Nhân viên Phòng Thanh tra GD - Quan hệ DN</t>
  </si>
  <si>
    <t>Trưởng khoa Xây dựng - Nhiệt lạnh</t>
  </si>
  <si>
    <t>Bảng lương tháng 04/2024</t>
  </si>
  <si>
    <t>Thành phố Hồ Chí Minh, ngày 01 tháng 04 năm 2024</t>
  </si>
  <si>
    <t>(Tháng 04 năm 2024)</t>
  </si>
  <si>
    <t>BẢNG ĐIỀU CHỈNH THAY ĐỔI LƯƠNG CỦA CÁN BỘ, VIÊN CHỨC - THÁNG 04/2024</t>
  </si>
  <si>
    <t>Hai tỷ hai trăm bảy mươi lăm triệu bốn trăm chín mươi chín ngàn chín trăm bốn mươi lăm đồng.</t>
  </si>
  <si>
    <t>Thành phố Hồ Chí Minh, ngày 01 tháng 4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</si>
</sst>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3" formatCode="_(* #,##0.00_);_(* \(#,##0.00\);_(* &quot;-&quot;??_);_(@_)"/>
    <numFmt numFmtId="164" formatCode="#,##0.000"/>
    <numFmt numFmtId="165" formatCode="#,##0.0000"/>
    <numFmt numFmtId="166" formatCode="0.000"/>
    <numFmt numFmtId="167" formatCode="0.0000"/>
    <numFmt numFmtId="168" formatCode="00000"/>
    <numFmt numFmtId="169" formatCode="_(* #,##0_);_(* \(#,##0\);_(* &quot;-&quot;??_);_(@_)"/>
  </numFmts>
  <fonts count="48" x14ac:knownFonts="1">
    <font>
      <sz val="12"/>
      <name val="Times New Roman"/>
    </font>
    <font>
      <sz val="12"/>
      <name val="Times New Roman"/>
      <family val="1"/>
    </font>
    <font>
      <sz val="10"/>
      <name val="VNI-Times"/>
    </font>
    <font>
      <sz val="8"/>
      <name val="Times New Roman"/>
      <family val="1"/>
    </font>
    <font>
      <sz val="12"/>
      <name val="Times New Roman"/>
      <family val="1"/>
    </font>
    <font>
      <b/>
      <sz val="12"/>
      <name val="Times New Roman"/>
      <family val="1"/>
    </font>
    <font>
      <b/>
      <sz val="14"/>
      <name val="Times New Roman"/>
      <family val="1"/>
    </font>
    <font>
      <sz val="10"/>
      <name val="Times New Roman"/>
      <family val="1"/>
    </font>
    <font>
      <sz val="8"/>
      <name val="Times New Roman"/>
      <family val="1"/>
    </font>
    <font>
      <b/>
      <sz val="9"/>
      <name val="Times New Roman"/>
      <family val="1"/>
    </font>
    <font>
      <b/>
      <sz val="7"/>
      <name val="Times New Roman"/>
      <family val="1"/>
    </font>
    <font>
      <b/>
      <sz val="10"/>
      <name val="Times New Roman"/>
      <family val="1"/>
    </font>
    <font>
      <b/>
      <sz val="8"/>
      <name val="Times New Roman"/>
      <family val="1"/>
    </font>
    <font>
      <sz val="9"/>
      <name val="Times New Roman"/>
      <family val="1"/>
    </font>
    <font>
      <b/>
      <sz val="11"/>
      <name val="Times New Roman"/>
      <family val="1"/>
    </font>
    <font>
      <b/>
      <sz val="20"/>
      <name val="Times New Roman"/>
      <family val="1"/>
    </font>
    <font>
      <b/>
      <sz val="12"/>
      <color indexed="9"/>
      <name val="Times New Roman"/>
      <family val="1"/>
    </font>
    <font>
      <sz val="12"/>
      <color indexed="10"/>
      <name val="Times New Roman"/>
      <family val="1"/>
    </font>
    <font>
      <sz val="8"/>
      <color indexed="10"/>
      <name val="Times New Roman"/>
      <family val="1"/>
    </font>
    <font>
      <b/>
      <sz val="12"/>
      <name val="Times New Roman"/>
      <family val="1"/>
    </font>
    <font>
      <sz val="12"/>
      <name val="Times New Roman"/>
      <family val="1"/>
    </font>
    <font>
      <b/>
      <u/>
      <sz val="12"/>
      <name val="Times New Roman"/>
      <family val="1"/>
    </font>
    <font>
      <sz val="12"/>
      <name val="Times New Roman"/>
      <family val="1"/>
    </font>
    <font>
      <sz val="10"/>
      <name val="Times New Roman"/>
      <family val="1"/>
    </font>
    <font>
      <b/>
      <sz val="10"/>
      <name val="Times New Roman"/>
      <family val="1"/>
    </font>
    <font>
      <b/>
      <sz val="16"/>
      <name val="Times New Roman"/>
      <family val="1"/>
    </font>
    <font>
      <sz val="16"/>
      <name val="Times New Roman"/>
      <family val="1"/>
    </font>
    <font>
      <b/>
      <sz val="12"/>
      <color indexed="10"/>
      <name val="Times New Roman"/>
      <family val="1"/>
    </font>
    <font>
      <sz val="12"/>
      <name val="Times New Roman"/>
      <family val="1"/>
    </font>
    <font>
      <sz val="8"/>
      <color indexed="81"/>
      <name val="Tahoma"/>
      <family val="2"/>
    </font>
    <font>
      <b/>
      <sz val="8"/>
      <color indexed="81"/>
      <name val="Tahoma"/>
      <family val="2"/>
    </font>
    <font>
      <i/>
      <sz val="12"/>
      <name val="Times New Roman"/>
      <family val="1"/>
    </font>
    <font>
      <sz val="9"/>
      <color indexed="81"/>
      <name val="Tahoma"/>
      <family val="2"/>
    </font>
    <font>
      <b/>
      <sz val="9"/>
      <color indexed="81"/>
      <name val="Tahoma"/>
      <family val="2"/>
    </font>
    <font>
      <b/>
      <sz val="10"/>
      <color indexed="9"/>
      <name val="Times New Roman"/>
      <family val="1"/>
    </font>
    <font>
      <b/>
      <sz val="10"/>
      <color indexed="10"/>
      <name val="Times New Roman"/>
      <family val="1"/>
    </font>
    <font>
      <sz val="12"/>
      <color indexed="81"/>
      <name val="Tahoma"/>
      <family val="2"/>
    </font>
    <font>
      <sz val="10"/>
      <name val="Arial"/>
      <family val="2"/>
    </font>
    <font>
      <sz val="13"/>
      <name val="Times New Roman"/>
      <family val="1"/>
    </font>
    <font>
      <sz val="12"/>
      <name val="Times New Roman"/>
      <family val="1"/>
    </font>
    <font>
      <sz val="12"/>
      <color rgb="FFFF0000"/>
      <name val="Times New Roman"/>
      <family val="1"/>
    </font>
    <font>
      <b/>
      <sz val="12"/>
      <color rgb="FFFF0000"/>
      <name val="Times New Roman"/>
      <family val="1"/>
    </font>
    <font>
      <sz val="10"/>
      <color theme="0"/>
      <name val="Times New Roman"/>
      <family val="1"/>
    </font>
    <font>
      <i/>
      <sz val="12"/>
      <color theme="0"/>
      <name val="Times New Roman"/>
      <family val="1"/>
    </font>
    <font>
      <b/>
      <i/>
      <u/>
      <sz val="12"/>
      <color theme="0"/>
      <name val="Times New Roman"/>
      <family val="1"/>
    </font>
    <font>
      <sz val="12"/>
      <color indexed="81"/>
      <name val="Times New Roman"/>
      <family val="1"/>
    </font>
    <font>
      <sz val="9"/>
      <color indexed="81"/>
      <name val="Tahoma"/>
    </font>
    <font>
      <b/>
      <sz val="9"/>
      <color indexed="81"/>
      <name val="Tahoma"/>
    </font>
  </fonts>
  <fills count="18">
    <fill>
      <patternFill patternType="none"/>
    </fill>
    <fill>
      <patternFill patternType="gray125"/>
    </fill>
    <fill>
      <patternFill patternType="solid">
        <fgColor indexed="42"/>
        <bgColor indexed="64"/>
      </patternFill>
    </fill>
    <fill>
      <patternFill patternType="solid">
        <fgColor indexed="13"/>
        <bgColor indexed="64"/>
      </patternFill>
    </fill>
    <fill>
      <patternFill patternType="solid">
        <fgColor theme="0"/>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rgb="FF99FFCC"/>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4"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right/>
      <top style="dotted">
        <color indexed="64"/>
      </top>
      <bottom style="dotted">
        <color indexed="64"/>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dotted">
        <color indexed="64"/>
      </bottom>
      <diagonal/>
    </border>
    <border>
      <left style="thin">
        <color indexed="8"/>
      </left>
      <right style="thin">
        <color indexed="64"/>
      </right>
      <top style="dotted">
        <color indexed="64"/>
      </top>
      <bottom style="dotted">
        <color indexed="64"/>
      </bottom>
      <diagonal/>
    </border>
    <border>
      <left style="thin">
        <color indexed="8"/>
      </left>
      <right style="thin">
        <color indexed="8"/>
      </right>
      <top style="dotted">
        <color indexed="64"/>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style="thin">
        <color indexed="64"/>
      </left>
      <right/>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top style="dotted">
        <color indexed="64"/>
      </top>
      <bottom style="thin">
        <color indexed="64"/>
      </bottom>
      <diagonal/>
    </border>
    <border>
      <left/>
      <right/>
      <top/>
      <bottom style="thin">
        <color indexed="64"/>
      </bottom>
      <diagonal/>
    </border>
    <border>
      <left style="thin">
        <color indexed="8"/>
      </left>
      <right style="thin">
        <color indexed="8"/>
      </right>
      <top/>
      <bottom style="dotted">
        <color indexed="64"/>
      </bottom>
      <diagonal/>
    </border>
    <border>
      <left style="thin">
        <color indexed="8"/>
      </left>
      <right style="thin">
        <color indexed="8"/>
      </right>
      <top style="dotted">
        <color indexed="64"/>
      </top>
      <bottom style="thin">
        <color indexed="64"/>
      </bottom>
      <diagonal/>
    </border>
    <border>
      <left style="thin">
        <color indexed="8"/>
      </left>
      <right style="thin">
        <color indexed="64"/>
      </right>
      <top style="dotted">
        <color indexed="64"/>
      </top>
      <bottom style="thin">
        <color indexed="64"/>
      </bottom>
      <diagonal/>
    </border>
    <border>
      <left/>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37" fillId="0" borderId="0"/>
    <xf numFmtId="0" fontId="2" fillId="0" borderId="0" applyBorder="0"/>
    <xf numFmtId="9" fontId="1" fillId="0" borderId="0" applyFont="0" applyFill="0" applyBorder="0" applyAlignment="0" applyProtection="0"/>
  </cellStyleXfs>
  <cellXfs count="1060">
    <xf numFmtId="0" fontId="0" fillId="0" borderId="0" xfId="0"/>
    <xf numFmtId="0" fontId="5" fillId="0" borderId="0" xfId="0" applyFont="1" applyFill="1"/>
    <xf numFmtId="0" fontId="4" fillId="0" borderId="0" xfId="0" applyFont="1" applyFill="1"/>
    <xf numFmtId="0" fontId="5" fillId="0" borderId="1" xfId="0" applyFont="1" applyFill="1" applyBorder="1" applyAlignment="1">
      <alignment horizontal="center" vertical="center"/>
    </xf>
    <xf numFmtId="0" fontId="5" fillId="0" borderId="0" xfId="0" applyFont="1" applyFill="1" applyAlignment="1">
      <alignment horizontal="center"/>
    </xf>
    <xf numFmtId="0" fontId="4" fillId="0" borderId="0" xfId="0" applyFont="1" applyFill="1" applyAlignment="1">
      <alignment horizontal="center"/>
    </xf>
    <xf numFmtId="2" fontId="4" fillId="0" borderId="0" xfId="0" applyNumberFormat="1" applyFont="1" applyFill="1"/>
    <xf numFmtId="3" fontId="4" fillId="0" borderId="0" xfId="0" applyNumberFormat="1" applyFont="1" applyFill="1"/>
    <xf numFmtId="3" fontId="5" fillId="0" borderId="0" xfId="0" applyNumberFormat="1" applyFont="1" applyFill="1"/>
    <xf numFmtId="3" fontId="4" fillId="0" borderId="0" xfId="0" applyNumberFormat="1" applyFont="1" applyFill="1" applyAlignment="1">
      <alignment horizontal="center"/>
    </xf>
    <xf numFmtId="3" fontId="5" fillId="0" borderId="0" xfId="0" applyNumberFormat="1" applyFont="1" applyFill="1" applyAlignment="1">
      <alignment horizontal="center"/>
    </xf>
    <xf numFmtId="0" fontId="5" fillId="0" borderId="0" xfId="0" applyFont="1" applyFill="1" applyAlignment="1">
      <alignment horizontal="left"/>
    </xf>
    <xf numFmtId="0" fontId="6" fillId="0" borderId="0" xfId="0" applyFont="1" applyFill="1"/>
    <xf numFmtId="3" fontId="5" fillId="0" borderId="0" xfId="0" applyNumberFormat="1" applyFont="1" applyFill="1" applyAlignment="1">
      <alignment horizontal="left"/>
    </xf>
    <xf numFmtId="0" fontId="9" fillId="0" borderId="0" xfId="0" applyFont="1" applyFill="1" applyAlignment="1">
      <alignment horizontal="center" vertical="center" wrapText="1"/>
    </xf>
    <xf numFmtId="3" fontId="5" fillId="0" borderId="1" xfId="3" applyNumberFormat="1" applyFont="1" applyFill="1" applyBorder="1" applyAlignment="1">
      <alignment horizontal="right" vertical="center"/>
    </xf>
    <xf numFmtId="0" fontId="4" fillId="0" borderId="0" xfId="0" applyFont="1" applyFill="1" applyBorder="1" applyAlignment="1">
      <alignment horizontal="center"/>
    </xf>
    <xf numFmtId="1" fontId="4" fillId="0" borderId="0" xfId="0" applyNumberFormat="1" applyFont="1" applyFill="1" applyBorder="1"/>
    <xf numFmtId="0" fontId="4" fillId="0" borderId="0" xfId="3" quotePrefix="1" applyFont="1" applyFill="1" applyBorder="1" applyAlignment="1">
      <alignment horizontal="center"/>
    </xf>
    <xf numFmtId="2" fontId="4" fillId="0" borderId="0" xfId="3" applyNumberFormat="1" applyFont="1" applyFill="1" applyBorder="1" applyAlignment="1">
      <alignment horizontal="center"/>
    </xf>
    <xf numFmtId="3" fontId="4" fillId="0" borderId="0" xfId="3" applyNumberFormat="1" applyFont="1" applyFill="1" applyBorder="1" applyAlignment="1">
      <alignment horizontal="right"/>
    </xf>
    <xf numFmtId="0" fontId="4" fillId="0" borderId="0" xfId="3" applyFont="1" applyFill="1" applyBorder="1" applyAlignment="1">
      <alignment horizontal="center"/>
    </xf>
    <xf numFmtId="3" fontId="4" fillId="0" borderId="0" xfId="0" applyNumberFormat="1" applyFont="1" applyFill="1" applyBorder="1" applyAlignment="1">
      <alignment horizontal="right"/>
    </xf>
    <xf numFmtId="0" fontId="4" fillId="0" borderId="0" xfId="0" applyFont="1" applyFill="1" applyBorder="1"/>
    <xf numFmtId="0" fontId="4" fillId="0" borderId="0" xfId="0" applyFont="1" applyFill="1" applyBorder="1" applyAlignment="1">
      <alignment horizontal="right"/>
    </xf>
    <xf numFmtId="0" fontId="4" fillId="0" borderId="1" xfId="0" applyFont="1" applyFill="1" applyBorder="1" applyAlignment="1">
      <alignment horizontal="center" vertical="center"/>
    </xf>
    <xf numFmtId="3" fontId="4" fillId="0" borderId="0" xfId="3" applyNumberFormat="1" applyFont="1" applyFill="1" applyBorder="1" applyAlignment="1">
      <alignment horizontal="center"/>
    </xf>
    <xf numFmtId="3" fontId="5" fillId="0" borderId="1" xfId="0" applyNumberFormat="1" applyFont="1" applyFill="1" applyBorder="1" applyAlignment="1">
      <alignment horizontal="right" vertical="center"/>
    </xf>
    <xf numFmtId="3" fontId="5" fillId="0" borderId="0" xfId="0" applyNumberFormat="1" applyFont="1" applyFill="1" applyAlignment="1"/>
    <xf numFmtId="0" fontId="4" fillId="0" borderId="0" xfId="0" applyFont="1" applyFill="1" applyAlignment="1">
      <alignment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3" fontId="5" fillId="0" borderId="1" xfId="0" applyNumberFormat="1" applyFont="1" applyFill="1" applyBorder="1" applyAlignment="1">
      <alignment horizontal="center" vertical="center"/>
    </xf>
    <xf numFmtId="3" fontId="5" fillId="0" borderId="1" xfId="3" applyNumberFormat="1" applyFont="1" applyFill="1" applyBorder="1" applyAlignment="1">
      <alignment horizontal="center" vertical="center"/>
    </xf>
    <xf numFmtId="164" fontId="4" fillId="0" borderId="0" xfId="0" applyNumberFormat="1" applyFont="1" applyFill="1"/>
    <xf numFmtId="0" fontId="4" fillId="0" borderId="1" xfId="3" quotePrefix="1" applyFont="1" applyFill="1" applyBorder="1" applyAlignment="1">
      <alignment horizontal="center" vertical="center"/>
    </xf>
    <xf numFmtId="1" fontId="4" fillId="0" borderId="1" xfId="3" applyNumberFormat="1" applyFont="1" applyFill="1" applyBorder="1" applyAlignment="1">
      <alignment horizontal="center" vertical="center"/>
    </xf>
    <xf numFmtId="1" fontId="5" fillId="0" borderId="1" xfId="0" applyNumberFormat="1" applyFont="1" applyFill="1" applyBorder="1" applyAlignment="1">
      <alignment horizontal="center" vertical="center"/>
    </xf>
    <xf numFmtId="3" fontId="4" fillId="0" borderId="0" xfId="0" applyNumberFormat="1" applyFont="1" applyFill="1" applyBorder="1" applyAlignment="1">
      <alignment horizontal="center"/>
    </xf>
    <xf numFmtId="0" fontId="13" fillId="0" borderId="0" xfId="0" applyFont="1" applyFill="1" applyAlignment="1">
      <alignment vertical="top" wrapText="1"/>
    </xf>
    <xf numFmtId="0" fontId="9" fillId="0" borderId="0" xfId="0" applyFont="1" applyFill="1" applyAlignment="1">
      <alignment horizontal="left"/>
    </xf>
    <xf numFmtId="167" fontId="5" fillId="0" borderId="0" xfId="0" applyNumberFormat="1" applyFont="1" applyFill="1"/>
    <xf numFmtId="0" fontId="4" fillId="0" borderId="0" xfId="0" applyFont="1" applyFill="1" applyAlignment="1">
      <alignment horizontal="center" vertical="center" wrapText="1"/>
    </xf>
    <xf numFmtId="3" fontId="13" fillId="0" borderId="0" xfId="0" applyNumberFormat="1" applyFont="1" applyFill="1" applyAlignment="1">
      <alignment horizontal="right" vertical="top" wrapText="1"/>
    </xf>
    <xf numFmtId="167" fontId="4" fillId="0" borderId="0" xfId="0" applyNumberFormat="1" applyFont="1" applyFill="1"/>
    <xf numFmtId="167" fontId="4" fillId="0" borderId="0" xfId="0" applyNumberFormat="1" applyFont="1" applyFill="1" applyBorder="1" applyAlignment="1">
      <alignment horizontal="right"/>
    </xf>
    <xf numFmtId="167" fontId="4" fillId="0" borderId="0" xfId="0" applyNumberFormat="1" applyFont="1" applyFill="1" applyAlignment="1">
      <alignment horizontal="center"/>
    </xf>
    <xf numFmtId="1" fontId="4" fillId="0" borderId="0" xfId="0" applyNumberFormat="1" applyFont="1" applyFill="1" applyAlignment="1">
      <alignment horizontal="center"/>
    </xf>
    <xf numFmtId="3" fontId="11" fillId="0" borderId="1" xfId="3" applyNumberFormat="1" applyFont="1" applyFill="1" applyBorder="1" applyAlignment="1">
      <alignment horizontal="right" vertical="center"/>
    </xf>
    <xf numFmtId="3" fontId="14" fillId="0" borderId="1" xfId="3" applyNumberFormat="1" applyFont="1" applyFill="1" applyBorder="1" applyAlignment="1">
      <alignment horizontal="right" vertical="center"/>
    </xf>
    <xf numFmtId="1" fontId="4" fillId="0" borderId="1" xfId="0" applyNumberFormat="1" applyFont="1" applyFill="1" applyBorder="1" applyAlignment="1">
      <alignment horizontal="center" vertical="center"/>
    </xf>
    <xf numFmtId="3" fontId="13" fillId="0" borderId="0" xfId="0" applyNumberFormat="1" applyFont="1" applyFill="1" applyAlignment="1">
      <alignment vertical="top" wrapText="1"/>
    </xf>
    <xf numFmtId="0" fontId="8" fillId="0" borderId="3" xfId="0" applyFont="1" applyFill="1" applyBorder="1" applyAlignment="1">
      <alignment horizontal="left" vertical="center" wrapText="1"/>
    </xf>
    <xf numFmtId="166" fontId="11" fillId="0" borderId="1" xfId="0" applyNumberFormat="1" applyFont="1" applyFill="1" applyBorder="1" applyAlignment="1">
      <alignment horizontal="right" vertical="center"/>
    </xf>
    <xf numFmtId="165" fontId="4" fillId="0" borderId="0" xfId="0" applyNumberFormat="1" applyFont="1" applyFill="1"/>
    <xf numFmtId="165" fontId="5" fillId="0" borderId="0" xfId="0" applyNumberFormat="1" applyFont="1" applyFill="1"/>
    <xf numFmtId="3" fontId="7" fillId="0" borderId="0" xfId="0" applyNumberFormat="1" applyFont="1" applyFill="1"/>
    <xf numFmtId="3" fontId="12" fillId="0" borderId="1" xfId="0" applyNumberFormat="1" applyFont="1" applyFill="1" applyBorder="1" applyAlignment="1">
      <alignment horizontal="center" vertical="center" wrapText="1"/>
    </xf>
    <xf numFmtId="2" fontId="5" fillId="0" borderId="0" xfId="0" applyNumberFormat="1" applyFont="1" applyFill="1" applyAlignment="1">
      <alignment horizontal="left"/>
    </xf>
    <xf numFmtId="0" fontId="9" fillId="0" borderId="1" xfId="0"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0" borderId="1" xfId="3" applyNumberFormat="1" applyFont="1" applyFill="1" applyBorder="1" applyAlignment="1">
      <alignment horizontal="center" vertical="center" wrapText="1"/>
    </xf>
    <xf numFmtId="1" fontId="4" fillId="0" borderId="0" xfId="0" applyNumberFormat="1" applyFont="1" applyFill="1" applyBorder="1" applyAlignment="1">
      <alignment horizontal="center"/>
    </xf>
    <xf numFmtId="2" fontId="4" fillId="0" borderId="0" xfId="0" applyNumberFormat="1" applyFont="1" applyFill="1" applyBorder="1"/>
    <xf numFmtId="0" fontId="16" fillId="0" borderId="0" xfId="0" applyFont="1" applyFill="1"/>
    <xf numFmtId="9" fontId="4" fillId="0" borderId="0" xfId="0" applyNumberFormat="1" applyFont="1" applyFill="1"/>
    <xf numFmtId="9" fontId="5" fillId="0" borderId="0" xfId="0" applyNumberFormat="1" applyFont="1" applyFill="1"/>
    <xf numFmtId="2" fontId="5" fillId="0" borderId="0" xfId="0" applyNumberFormat="1" applyFont="1" applyFill="1"/>
    <xf numFmtId="9" fontId="4" fillId="0" borderId="0" xfId="0" applyNumberFormat="1" applyFont="1" applyFill="1" applyBorder="1" applyAlignment="1">
      <alignment horizontal="right"/>
    </xf>
    <xf numFmtId="9" fontId="4" fillId="0" borderId="0" xfId="0" applyNumberFormat="1" applyFont="1" applyFill="1" applyAlignment="1">
      <alignment horizontal="center"/>
    </xf>
    <xf numFmtId="0" fontId="8" fillId="0" borderId="0" xfId="0" applyFont="1" applyFill="1" applyBorder="1" applyAlignment="1">
      <alignment horizontal="right" vertical="top" wrapText="1"/>
    </xf>
    <xf numFmtId="0" fontId="4" fillId="0" borderId="0" xfId="0" quotePrefix="1" applyFont="1" applyFill="1"/>
    <xf numFmtId="0" fontId="4" fillId="0" borderId="0" xfId="0" applyFont="1" applyFill="1" applyAlignment="1">
      <alignment horizontal="left"/>
    </xf>
    <xf numFmtId="2" fontId="14" fillId="0" borderId="1" xfId="3" applyNumberFormat="1" applyFont="1" applyFill="1" applyBorder="1" applyAlignment="1">
      <alignment horizontal="right" vertical="center"/>
    </xf>
    <xf numFmtId="2" fontId="11" fillId="0" borderId="1" xfId="0" applyNumberFormat="1" applyFont="1" applyFill="1" applyBorder="1" applyAlignment="1">
      <alignment horizontal="center" vertical="center"/>
    </xf>
    <xf numFmtId="0" fontId="1" fillId="0" borderId="0" xfId="0" applyFont="1" applyFill="1"/>
    <xf numFmtId="0" fontId="20" fillId="0" borderId="0" xfId="0" applyFont="1" applyFill="1"/>
    <xf numFmtId="0" fontId="22" fillId="0" borderId="0" xfId="0" applyFont="1" applyFill="1"/>
    <xf numFmtId="0" fontId="22" fillId="0" borderId="0" xfId="0" applyFont="1" applyFill="1" applyAlignment="1">
      <alignment horizontal="center"/>
    </xf>
    <xf numFmtId="0" fontId="20" fillId="0" borderId="0" xfId="0" applyFont="1" applyFill="1" applyAlignment="1">
      <alignment horizontal="center"/>
    </xf>
    <xf numFmtId="0" fontId="23" fillId="0" borderId="0" xfId="0" applyFont="1" applyFill="1" applyAlignment="1">
      <alignment horizontal="center" vertical="center" wrapText="1"/>
    </xf>
    <xf numFmtId="0" fontId="26" fillId="0" borderId="0" xfId="0" applyFont="1" applyFill="1"/>
    <xf numFmtId="0" fontId="28" fillId="0" borderId="0" xfId="0" applyFont="1" applyFill="1"/>
    <xf numFmtId="0" fontId="28" fillId="0" borderId="0" xfId="0" applyFont="1" applyFill="1" applyAlignment="1">
      <alignment horizontal="center"/>
    </xf>
    <xf numFmtId="9" fontId="8" fillId="0" borderId="0" xfId="0" applyNumberFormat="1" applyFont="1" applyFill="1"/>
    <xf numFmtId="3" fontId="11" fillId="0" borderId="4" xfId="0" applyNumberFormat="1" applyFont="1" applyFill="1" applyBorder="1" applyAlignment="1">
      <alignment horizontal="center" vertical="center" wrapText="1"/>
    </xf>
    <xf numFmtId="3" fontId="11" fillId="0" borderId="5" xfId="0" applyNumberFormat="1" applyFont="1" applyFill="1" applyBorder="1" applyAlignment="1">
      <alignment horizontal="center" vertical="center" wrapText="1"/>
    </xf>
    <xf numFmtId="3" fontId="11" fillId="0" borderId="4" xfId="0" quotePrefix="1" applyNumberFormat="1" applyFont="1" applyFill="1" applyBorder="1" applyAlignment="1">
      <alignment horizontal="center" vertical="center" wrapText="1"/>
    </xf>
    <xf numFmtId="0" fontId="12" fillId="0" borderId="0" xfId="0" applyFont="1" applyFill="1" applyBorder="1" applyAlignment="1">
      <alignment horizontal="left" vertical="top" wrapText="1"/>
    </xf>
    <xf numFmtId="3" fontId="8" fillId="0" borderId="0" xfId="3" applyNumberFormat="1" applyFont="1" applyFill="1" applyBorder="1" applyAlignment="1">
      <alignment horizontal="left" vertical="center" wrapText="1"/>
    </xf>
    <xf numFmtId="0" fontId="5" fillId="2"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3" fontId="4" fillId="2" borderId="2" xfId="0" applyNumberFormat="1" applyFont="1" applyFill="1" applyBorder="1" applyAlignment="1">
      <alignment horizontal="right" vertical="center" wrapText="1"/>
    </xf>
    <xf numFmtId="3" fontId="4" fillId="2" borderId="2" xfId="0" applyNumberFormat="1" applyFont="1" applyFill="1" applyBorder="1" applyAlignment="1">
      <alignment horizontal="center" vertical="center" wrapText="1"/>
    </xf>
    <xf numFmtId="4" fontId="4" fillId="2" borderId="2" xfId="0" applyNumberFormat="1" applyFont="1" applyFill="1" applyBorder="1" applyAlignment="1">
      <alignment horizontal="center" vertical="center" wrapText="1"/>
    </xf>
    <xf numFmtId="9" fontId="4" fillId="2" borderId="2" xfId="0" applyNumberFormat="1" applyFont="1" applyFill="1" applyBorder="1" applyAlignment="1">
      <alignment horizontal="center" vertical="center" wrapText="1"/>
    </xf>
    <xf numFmtId="167" fontId="4" fillId="2" borderId="2" xfId="0" applyNumberFormat="1" applyFont="1" applyFill="1" applyBorder="1" applyAlignment="1">
      <alignment horizontal="center" vertical="center" wrapText="1"/>
    </xf>
    <xf numFmtId="3" fontId="4" fillId="2" borderId="6" xfId="0" applyNumberFormat="1" applyFont="1" applyFill="1" applyBorder="1" applyAlignment="1">
      <alignment horizontal="center" vertical="center" wrapText="1"/>
    </xf>
    <xf numFmtId="3" fontId="8" fillId="2" borderId="0" xfId="3" applyNumberFormat="1" applyFont="1" applyFill="1" applyBorder="1" applyAlignment="1">
      <alignment horizontal="left" vertical="center" wrapText="1"/>
    </xf>
    <xf numFmtId="0" fontId="4" fillId="2" borderId="0" xfId="0" applyFont="1" applyFill="1" applyAlignment="1">
      <alignment vertical="center" wrapText="1"/>
    </xf>
    <xf numFmtId="0" fontId="8" fillId="2" borderId="0" xfId="0" applyFont="1" applyFill="1" applyBorder="1" applyAlignment="1">
      <alignment horizontal="left" vertical="top" wrapText="1"/>
    </xf>
    <xf numFmtId="0" fontId="4" fillId="2" borderId="0" xfId="0" applyFont="1" applyFill="1"/>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quotePrefix="1" applyNumberFormat="1" applyFont="1" applyFill="1" applyBorder="1" applyAlignment="1">
      <alignment vertical="center" wrapText="1"/>
    </xf>
    <xf numFmtId="3" fontId="5" fillId="2" borderId="1" xfId="0" applyNumberFormat="1" applyFont="1" applyFill="1" applyBorder="1" applyAlignment="1">
      <alignment horizontal="center" vertical="center" wrapText="1"/>
    </xf>
    <xf numFmtId="3" fontId="5" fillId="2" borderId="1" xfId="0" applyNumberFormat="1" applyFont="1" applyFill="1" applyBorder="1" applyAlignment="1">
      <alignment horizontal="right" vertical="center" wrapText="1"/>
    </xf>
    <xf numFmtId="167" fontId="5" fillId="2" borderId="1" xfId="0" applyNumberFormat="1" applyFont="1" applyFill="1" applyBorder="1" applyAlignment="1">
      <alignment horizontal="right" vertical="center" wrapText="1"/>
    </xf>
    <xf numFmtId="3" fontId="12" fillId="2" borderId="0" xfId="0" applyNumberFormat="1" applyFont="1" applyFill="1" applyBorder="1" applyAlignment="1">
      <alignment vertical="center" wrapText="1"/>
    </xf>
    <xf numFmtId="0" fontId="5" fillId="2" borderId="0" xfId="0" applyFont="1" applyFill="1" applyAlignment="1">
      <alignment vertical="center" wrapText="1"/>
    </xf>
    <xf numFmtId="0" fontId="4" fillId="2" borderId="7" xfId="0" applyFont="1" applyFill="1" applyBorder="1" applyAlignment="1">
      <alignment horizontal="center" vertical="center" wrapText="1"/>
    </xf>
    <xf numFmtId="0" fontId="5" fillId="2" borderId="7" xfId="0" applyFont="1" applyFill="1" applyBorder="1" applyAlignment="1">
      <alignment horizontal="left" vertical="center" wrapText="1"/>
    </xf>
    <xf numFmtId="3" fontId="4" fillId="2" borderId="7" xfId="3" applyNumberFormat="1" applyFont="1" applyFill="1" applyBorder="1" applyAlignment="1">
      <alignment horizontal="right" vertical="center" wrapText="1"/>
    </xf>
    <xf numFmtId="3" fontId="4" fillId="2" borderId="7" xfId="0" applyNumberFormat="1" applyFont="1" applyFill="1" applyBorder="1" applyAlignment="1">
      <alignment horizontal="right" vertical="center" wrapText="1"/>
    </xf>
    <xf numFmtId="3" fontId="4" fillId="2" borderId="7" xfId="0" applyNumberFormat="1" applyFont="1" applyFill="1" applyBorder="1" applyAlignment="1">
      <alignment horizontal="center" vertical="center" wrapText="1"/>
    </xf>
    <xf numFmtId="4" fontId="4" fillId="2" borderId="7" xfId="0" applyNumberFormat="1" applyFont="1" applyFill="1" applyBorder="1" applyAlignment="1">
      <alignment horizontal="center" vertical="center" wrapText="1"/>
    </xf>
    <xf numFmtId="167" fontId="4" fillId="2" borderId="7" xfId="0" applyNumberFormat="1" applyFont="1" applyFill="1" applyBorder="1" applyAlignment="1">
      <alignment horizontal="center" vertical="center" wrapText="1"/>
    </xf>
    <xf numFmtId="0" fontId="8" fillId="2" borderId="0" xfId="0" applyFont="1" applyFill="1" applyBorder="1" applyAlignment="1">
      <alignment horizontal="left" vertical="center" wrapText="1"/>
    </xf>
    <xf numFmtId="1" fontId="5" fillId="2" borderId="1" xfId="0" applyNumberFormat="1" applyFont="1" applyFill="1" applyBorder="1" applyAlignment="1">
      <alignment horizontal="center" vertical="center" wrapText="1"/>
    </xf>
    <xf numFmtId="1" fontId="5" fillId="2" borderId="1" xfId="0" applyNumberFormat="1" applyFont="1" applyFill="1" applyBorder="1" applyAlignment="1">
      <alignment vertical="center" wrapText="1"/>
    </xf>
    <xf numFmtId="1" fontId="5" fillId="2" borderId="1" xfId="3" applyNumberFormat="1" applyFont="1" applyFill="1" applyBorder="1" applyAlignment="1">
      <alignment horizontal="center" vertical="center" wrapText="1"/>
    </xf>
    <xf numFmtId="3" fontId="12" fillId="2" borderId="1" xfId="0" applyNumberFormat="1" applyFont="1" applyFill="1" applyBorder="1" applyAlignment="1">
      <alignment horizontal="center" vertical="center" wrapText="1"/>
    </xf>
    <xf numFmtId="3" fontId="10" fillId="2" borderId="1" xfId="0" applyNumberFormat="1" applyFont="1" applyFill="1" applyBorder="1" applyAlignment="1">
      <alignment horizontal="center" vertical="center" wrapText="1"/>
    </xf>
    <xf numFmtId="0" fontId="8" fillId="2" borderId="0" xfId="0" applyFont="1" applyFill="1" applyBorder="1" applyAlignment="1">
      <alignment horizontal="right" vertical="top" wrapText="1"/>
    </xf>
    <xf numFmtId="0" fontId="5" fillId="2" borderId="1" xfId="0" applyFont="1" applyFill="1" applyBorder="1" applyAlignment="1">
      <alignment vertical="center" wrapText="1"/>
    </xf>
    <xf numFmtId="9" fontId="4" fillId="2" borderId="7"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27" fillId="0" borderId="0" xfId="0" applyFont="1" applyFill="1" applyAlignment="1">
      <alignment horizontal="center"/>
    </xf>
    <xf numFmtId="164" fontId="4" fillId="2" borderId="2" xfId="3" applyNumberFormat="1" applyFont="1" applyFill="1" applyBorder="1" applyAlignment="1">
      <alignment horizontal="right" vertical="center" wrapText="1"/>
    </xf>
    <xf numFmtId="0" fontId="7" fillId="0" borderId="0" xfId="0" applyFont="1" applyFill="1" applyAlignment="1">
      <alignment horizontal="center"/>
    </xf>
    <xf numFmtId="3" fontId="4" fillId="2" borderId="1" xfId="0" applyNumberFormat="1" applyFont="1" applyFill="1" applyBorder="1" applyAlignment="1">
      <alignment horizontal="right" vertical="center" wrapText="1"/>
    </xf>
    <xf numFmtId="1" fontId="4" fillId="2" borderId="1" xfId="0" applyNumberFormat="1" applyFont="1" applyFill="1" applyBorder="1" applyAlignment="1">
      <alignment horizontal="center" vertical="center" wrapText="1"/>
    </xf>
    <xf numFmtId="167" fontId="4" fillId="2" borderId="1"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3" fontId="4" fillId="2" borderId="1" xfId="3" applyNumberFormat="1" applyFont="1" applyFill="1" applyBorder="1" applyAlignment="1">
      <alignment horizontal="right" vertical="center" wrapText="1"/>
    </xf>
    <xf numFmtId="4" fontId="4" fillId="2"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xf>
    <xf numFmtId="9" fontId="5" fillId="0" borderId="0" xfId="0" applyNumberFormat="1" applyFont="1" applyFill="1" applyAlignment="1">
      <alignment horizontal="center"/>
    </xf>
    <xf numFmtId="9" fontId="12" fillId="2"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2" fontId="9" fillId="3" borderId="1" xfId="0" applyNumberFormat="1" applyFont="1" applyFill="1" applyBorder="1" applyAlignment="1">
      <alignment horizontal="center" vertical="center" wrapText="1"/>
    </xf>
    <xf numFmtId="0" fontId="9" fillId="0" borderId="0" xfId="0" applyFont="1" applyFill="1" applyAlignment="1">
      <alignment horizontal="left" vertical="top"/>
    </xf>
    <xf numFmtId="3" fontId="8" fillId="2" borderId="3" xfId="3" applyNumberFormat="1" applyFont="1" applyFill="1" applyBorder="1" applyAlignment="1">
      <alignment horizontal="left" vertical="top" wrapText="1"/>
    </xf>
    <xf numFmtId="3" fontId="12" fillId="2" borderId="8" xfId="0" applyNumberFormat="1" applyFont="1" applyFill="1" applyBorder="1" applyAlignment="1">
      <alignment horizontal="left" vertical="top" wrapText="1"/>
    </xf>
    <xf numFmtId="9" fontId="22" fillId="0" borderId="0" xfId="0" applyNumberFormat="1" applyFont="1" applyFill="1"/>
    <xf numFmtId="9" fontId="28" fillId="0" borderId="0" xfId="0" applyNumberFormat="1" applyFont="1" applyFill="1"/>
    <xf numFmtId="9" fontId="20" fillId="0" borderId="0" xfId="0" applyNumberFormat="1" applyFont="1" applyFill="1"/>
    <xf numFmtId="0" fontId="22" fillId="0" borderId="0" xfId="0" applyFont="1" applyFill="1" applyAlignment="1">
      <alignment vertical="center"/>
    </xf>
    <xf numFmtId="0" fontId="28" fillId="0" borderId="0" xfId="0" applyFont="1" applyFill="1" applyAlignment="1">
      <alignment vertical="center"/>
    </xf>
    <xf numFmtId="0" fontId="20" fillId="0" borderId="0" xfId="0" applyFont="1" applyFill="1" applyAlignment="1">
      <alignment vertical="center"/>
    </xf>
    <xf numFmtId="3" fontId="9" fillId="0" borderId="0" xfId="0" applyNumberFormat="1" applyFont="1" applyFill="1" applyAlignment="1">
      <alignment horizontal="center" vertical="center" wrapText="1"/>
    </xf>
    <xf numFmtId="3" fontId="4" fillId="2" borderId="0" xfId="0" applyNumberFormat="1" applyFont="1" applyFill="1" applyAlignment="1">
      <alignment vertical="center" wrapText="1"/>
    </xf>
    <xf numFmtId="3" fontId="4" fillId="0" borderId="0" xfId="0" applyNumberFormat="1" applyFont="1" applyFill="1" applyBorder="1"/>
    <xf numFmtId="0" fontId="1" fillId="0" borderId="0" xfId="0" applyFont="1" applyFill="1" applyAlignment="1">
      <alignment horizontal="center"/>
    </xf>
    <xf numFmtId="3" fontId="4" fillId="2" borderId="9" xfId="3" applyNumberFormat="1" applyFont="1" applyFill="1" applyBorder="1" applyAlignment="1">
      <alignment horizontal="center" vertical="center" wrapText="1"/>
    </xf>
    <xf numFmtId="0" fontId="8" fillId="0" borderId="10" xfId="0" quotePrefix="1" applyFont="1" applyFill="1" applyBorder="1" applyAlignment="1">
      <alignment horizontal="center" vertical="center" wrapText="1"/>
    </xf>
    <xf numFmtId="0" fontId="8" fillId="0" borderId="10" xfId="0" applyFont="1" applyFill="1" applyBorder="1" applyAlignment="1">
      <alignment horizontal="center" vertical="center" wrapText="1"/>
    </xf>
    <xf numFmtId="3" fontId="8" fillId="0" borderId="10" xfId="3" quotePrefix="1" applyNumberFormat="1" applyFont="1" applyFill="1" applyBorder="1" applyAlignment="1">
      <alignment horizontal="center" vertical="center" wrapText="1"/>
    </xf>
    <xf numFmtId="3" fontId="8" fillId="0" borderId="10" xfId="3" applyNumberFormat="1" applyFont="1" applyFill="1" applyBorder="1" applyAlignment="1">
      <alignment horizontal="center" vertical="center" wrapText="1"/>
    </xf>
    <xf numFmtId="3" fontId="8" fillId="0" borderId="10" xfId="0" quotePrefix="1" applyNumberFormat="1" applyFont="1" applyFill="1" applyBorder="1" applyAlignment="1">
      <alignment horizontal="center" vertical="center" wrapText="1"/>
    </xf>
    <xf numFmtId="9" fontId="8" fillId="0" borderId="10" xfId="0" quotePrefix="1" applyNumberFormat="1" applyFont="1" applyFill="1" applyBorder="1" applyAlignment="1">
      <alignment horizontal="center" vertical="center" wrapText="1"/>
    </xf>
    <xf numFmtId="2" fontId="8" fillId="0" borderId="10" xfId="0" applyNumberFormat="1" applyFont="1" applyFill="1" applyBorder="1" applyAlignment="1">
      <alignment horizontal="center" vertical="center" wrapText="1"/>
    </xf>
    <xf numFmtId="3" fontId="8" fillId="0" borderId="0" xfId="0" quotePrefix="1" applyNumberFormat="1" applyFont="1" applyFill="1" applyBorder="1" applyAlignment="1">
      <alignment horizontal="center" vertical="center" wrapText="1"/>
    </xf>
    <xf numFmtId="3" fontId="8" fillId="0" borderId="0" xfId="0" applyNumberFormat="1" applyFont="1" applyFill="1" applyAlignment="1">
      <alignment horizontal="center" vertical="center" wrapText="1"/>
    </xf>
    <xf numFmtId="0" fontId="8" fillId="0" borderId="0" xfId="0" applyFont="1" applyFill="1" applyAlignment="1">
      <alignment horizontal="center" vertical="center" wrapText="1"/>
    </xf>
    <xf numFmtId="3" fontId="8" fillId="0" borderId="10" xfId="0" applyNumberFormat="1" applyFont="1" applyFill="1" applyBorder="1" applyAlignment="1">
      <alignment horizontal="center" vertical="center" wrapText="1"/>
    </xf>
    <xf numFmtId="0" fontId="4" fillId="4" borderId="2" xfId="0" quotePrefix="1"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4" borderId="2" xfId="0" applyFont="1" applyFill="1" applyBorder="1" applyAlignment="1">
      <alignment horizontal="center" vertical="center" wrapText="1"/>
    </xf>
    <xf numFmtId="49" fontId="4" fillId="4" borderId="2" xfId="0" applyNumberFormat="1" applyFont="1" applyFill="1" applyBorder="1" applyAlignment="1">
      <alignment horizontal="center" vertical="center" wrapText="1"/>
    </xf>
    <xf numFmtId="0" fontId="4" fillId="4" borderId="2" xfId="3" applyFont="1" applyFill="1" applyBorder="1" applyAlignment="1">
      <alignment horizontal="center" vertical="center" wrapText="1"/>
    </xf>
    <xf numFmtId="0" fontId="4" fillId="4" borderId="2" xfId="3" quotePrefix="1" applyFont="1" applyFill="1" applyBorder="1" applyAlignment="1">
      <alignment horizontal="center" vertical="center" wrapText="1"/>
    </xf>
    <xf numFmtId="2" fontId="4" fillId="4" borderId="2" xfId="3" applyNumberFormat="1" applyFont="1" applyFill="1" applyBorder="1" applyAlignment="1">
      <alignment horizontal="center" vertical="center" wrapText="1"/>
    </xf>
    <xf numFmtId="3" fontId="4" fillId="4" borderId="2" xfId="3" applyNumberFormat="1" applyFont="1" applyFill="1" applyBorder="1" applyAlignment="1">
      <alignment horizontal="right" vertical="center" wrapText="1"/>
    </xf>
    <xf numFmtId="167" fontId="4" fillId="4" borderId="2" xfId="3" applyNumberFormat="1" applyFont="1" applyFill="1" applyBorder="1" applyAlignment="1">
      <alignment horizontal="center" vertical="center" wrapText="1"/>
    </xf>
    <xf numFmtId="2"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right" vertical="center" wrapText="1"/>
    </xf>
    <xf numFmtId="9"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3" fontId="5" fillId="4" borderId="2" xfId="0" applyNumberFormat="1" applyFont="1" applyFill="1" applyBorder="1" applyAlignment="1">
      <alignment horizontal="right" vertical="center" wrapText="1"/>
    </xf>
    <xf numFmtId="167" fontId="5" fillId="4" borderId="2" xfId="0" applyNumberFormat="1" applyFont="1" applyFill="1" applyBorder="1" applyAlignment="1">
      <alignment horizontal="right" vertical="center" wrapText="1"/>
    </xf>
    <xf numFmtId="9" fontId="5" fillId="4" borderId="2" xfId="0" applyNumberFormat="1" applyFont="1" applyFill="1" applyBorder="1" applyAlignment="1">
      <alignment horizontal="center" vertical="center" wrapText="1"/>
    </xf>
    <xf numFmtId="167" fontId="5" fillId="4" borderId="2" xfId="0" applyNumberFormat="1" applyFont="1" applyFill="1" applyBorder="1" applyAlignment="1">
      <alignment horizontal="center" vertical="center" wrapText="1"/>
    </xf>
    <xf numFmtId="0" fontId="8" fillId="4" borderId="3" xfId="0" applyFont="1" applyFill="1" applyBorder="1" applyAlignment="1">
      <alignment horizontal="left" vertical="top" wrapText="1"/>
    </xf>
    <xf numFmtId="0" fontId="8" fillId="4" borderId="3" xfId="0" applyFont="1" applyFill="1" applyBorder="1" applyAlignment="1">
      <alignment horizontal="left" vertical="center" wrapText="1"/>
    </xf>
    <xf numFmtId="3" fontId="4" fillId="4" borderId="0" xfId="0" applyNumberFormat="1" applyFont="1" applyFill="1" applyAlignment="1">
      <alignment vertical="center" wrapText="1"/>
    </xf>
    <xf numFmtId="0" fontId="4" fillId="4" borderId="0" xfId="0" applyFont="1" applyFill="1" applyAlignment="1">
      <alignment vertical="center" wrapText="1"/>
    </xf>
    <xf numFmtId="3" fontId="5" fillId="4" borderId="0" xfId="0" applyNumberFormat="1" applyFont="1" applyFill="1" applyAlignment="1">
      <alignment vertical="center" wrapText="1"/>
    </xf>
    <xf numFmtId="0" fontId="5" fillId="4" borderId="0" xfId="0" applyFont="1" applyFill="1" applyAlignment="1">
      <alignment vertical="center" wrapText="1"/>
    </xf>
    <xf numFmtId="4" fontId="4" fillId="4" borderId="2" xfId="0" applyNumberFormat="1" applyFont="1" applyFill="1" applyBorder="1" applyAlignment="1">
      <alignment horizontal="center" vertical="center" wrapText="1"/>
    </xf>
    <xf numFmtId="167" fontId="4" fillId="4" borderId="2" xfId="0" applyNumberFormat="1" applyFont="1" applyFill="1" applyBorder="1" applyAlignment="1">
      <alignment horizontal="right" vertical="center" wrapText="1"/>
    </xf>
    <xf numFmtId="167" fontId="4" fillId="4" borderId="2" xfId="0" applyNumberFormat="1" applyFont="1" applyFill="1" applyBorder="1" applyAlignment="1">
      <alignment horizontal="center" vertical="center" wrapText="1"/>
    </xf>
    <xf numFmtId="0" fontId="3" fillId="4" borderId="3" xfId="0" applyFont="1" applyFill="1" applyBorder="1" applyAlignment="1">
      <alignment horizontal="left" vertical="top" wrapText="1"/>
    </xf>
    <xf numFmtId="0" fontId="3" fillId="4" borderId="0" xfId="0" applyFont="1" applyFill="1" applyBorder="1" applyAlignment="1">
      <alignment horizontal="left" vertical="center" wrapText="1"/>
    </xf>
    <xf numFmtId="1" fontId="4" fillId="4" borderId="2" xfId="0" applyNumberFormat="1" applyFont="1" applyFill="1" applyBorder="1" applyAlignment="1">
      <alignment horizontal="center"/>
    </xf>
    <xf numFmtId="0" fontId="8" fillId="4" borderId="0" xfId="0" applyFont="1" applyFill="1" applyBorder="1" applyAlignment="1">
      <alignment horizontal="left" vertical="center" wrapText="1"/>
    </xf>
    <xf numFmtId="1" fontId="4" fillId="4" borderId="2"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49" fontId="4" fillId="4" borderId="2"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xf>
    <xf numFmtId="0" fontId="21" fillId="0" borderId="0" xfId="0" applyFont="1" applyFill="1" applyBorder="1" applyAlignment="1">
      <alignment horizontal="left" vertical="center"/>
    </xf>
    <xf numFmtId="0" fontId="4" fillId="0" borderId="0" xfId="0" applyFont="1" applyFill="1" applyBorder="1" applyAlignment="1">
      <alignment horizontal="left" vertical="center"/>
    </xf>
    <xf numFmtId="3" fontId="4" fillId="0" borderId="0" xfId="0" quotePrefix="1" applyNumberFormat="1" applyFont="1" applyFill="1" applyBorder="1" applyAlignment="1">
      <alignment horizontal="center" vertical="center" wrapText="1"/>
    </xf>
    <xf numFmtId="166" fontId="4" fillId="0" borderId="0" xfId="3" applyNumberFormat="1" applyFont="1" applyFill="1" applyBorder="1" applyAlignment="1">
      <alignment horizontal="center" vertical="center" wrapText="1"/>
    </xf>
    <xf numFmtId="9" fontId="4" fillId="0" borderId="0"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quotePrefix="1" applyNumberFormat="1" applyFont="1" applyFill="1" applyBorder="1" applyAlignment="1">
      <alignment horizontal="left" vertical="center"/>
    </xf>
    <xf numFmtId="0" fontId="4" fillId="0" borderId="0" xfId="3" applyFont="1" applyFill="1" applyBorder="1" applyAlignment="1">
      <alignment horizontal="left" vertical="center"/>
    </xf>
    <xf numFmtId="0" fontId="4" fillId="0" borderId="0" xfId="0" applyFont="1" applyFill="1" applyAlignment="1">
      <alignment horizontal="left" vertical="center"/>
    </xf>
    <xf numFmtId="1" fontId="4" fillId="4" borderId="2" xfId="0" quotePrefix="1" applyNumberFormat="1" applyFont="1" applyFill="1" applyBorder="1" applyAlignment="1">
      <alignment horizontal="center"/>
    </xf>
    <xf numFmtId="164" fontId="4" fillId="4" borderId="2" xfId="0" applyNumberFormat="1" applyFont="1" applyFill="1" applyBorder="1" applyAlignment="1">
      <alignment horizontal="center" vertical="center" wrapText="1"/>
    </xf>
    <xf numFmtId="4" fontId="4" fillId="4" borderId="2" xfId="0" applyNumberFormat="1" applyFont="1" applyFill="1" applyBorder="1" applyAlignment="1">
      <alignment horizontal="right" vertical="center" wrapText="1"/>
    </xf>
    <xf numFmtId="165" fontId="4" fillId="4" borderId="2" xfId="0" applyNumberFormat="1" applyFont="1" applyFill="1" applyBorder="1" applyAlignment="1">
      <alignment horizontal="right" vertical="center" wrapText="1"/>
    </xf>
    <xf numFmtId="0" fontId="18" fillId="4" borderId="3" xfId="0" applyFont="1" applyFill="1" applyBorder="1" applyAlignment="1">
      <alignment horizontal="left" vertical="top" wrapText="1"/>
    </xf>
    <xf numFmtId="0" fontId="12" fillId="4" borderId="0" xfId="0" applyFont="1" applyFill="1" applyBorder="1" applyAlignment="1">
      <alignment horizontal="left" vertical="center" wrapText="1"/>
    </xf>
    <xf numFmtId="0" fontId="8" fillId="4" borderId="0" xfId="0" applyFont="1" applyFill="1" applyBorder="1" applyAlignment="1">
      <alignment horizontal="left" vertical="top" wrapText="1"/>
    </xf>
    <xf numFmtId="0" fontId="5" fillId="4" borderId="2" xfId="0" applyFont="1" applyFill="1" applyBorder="1" applyAlignment="1">
      <alignment horizontal="left" vertical="center" wrapText="1"/>
    </xf>
    <xf numFmtId="3" fontId="3" fillId="4" borderId="3" xfId="0" applyNumberFormat="1" applyFont="1" applyFill="1" applyBorder="1" applyAlignment="1">
      <alignment vertical="top" wrapText="1"/>
    </xf>
    <xf numFmtId="14" fontId="4" fillId="4" borderId="2" xfId="0" applyNumberFormat="1" applyFont="1" applyFill="1" applyBorder="1" applyAlignment="1">
      <alignment horizontal="center" vertical="center" wrapText="1"/>
    </xf>
    <xf numFmtId="3" fontId="8" fillId="4" borderId="0" xfId="0" applyNumberFormat="1" applyFont="1" applyFill="1" applyBorder="1" applyAlignment="1">
      <alignment vertical="center" wrapText="1"/>
    </xf>
    <xf numFmtId="3" fontId="8" fillId="4" borderId="0" xfId="3" applyNumberFormat="1" applyFont="1" applyFill="1" applyBorder="1" applyAlignment="1">
      <alignment horizontal="left" vertical="center" wrapText="1"/>
    </xf>
    <xf numFmtId="3" fontId="4" fillId="4" borderId="11" xfId="0" applyNumberFormat="1" applyFont="1" applyFill="1" applyBorder="1" applyAlignment="1">
      <alignment horizontal="right" vertical="center" wrapText="1"/>
    </xf>
    <xf numFmtId="1" fontId="4" fillId="4" borderId="2" xfId="0" quotePrefix="1" applyNumberFormat="1" applyFont="1" applyFill="1" applyBorder="1" applyAlignment="1">
      <alignment horizontal="center" vertical="center"/>
    </xf>
    <xf numFmtId="0" fontId="12" fillId="4" borderId="0" xfId="0" applyFont="1" applyFill="1" applyBorder="1" applyAlignment="1">
      <alignment horizontal="left" vertical="top" wrapText="1"/>
    </xf>
    <xf numFmtId="0" fontId="17" fillId="4" borderId="0" xfId="0" applyFont="1" applyFill="1" applyAlignment="1">
      <alignment vertical="center" wrapText="1"/>
    </xf>
    <xf numFmtId="0" fontId="4" fillId="0" borderId="12" xfId="0" quotePrefix="1" applyFont="1" applyFill="1" applyBorder="1" applyAlignment="1">
      <alignment horizontal="center" vertical="center" wrapText="1"/>
    </xf>
    <xf numFmtId="0" fontId="4" fillId="4" borderId="6" xfId="0" applyFont="1" applyFill="1" applyBorder="1" applyAlignment="1">
      <alignment horizontal="left" vertical="center" wrapText="1"/>
    </xf>
    <xf numFmtId="0" fontId="4" fillId="4" borderId="13" xfId="0" applyFont="1" applyFill="1" applyBorder="1" applyAlignment="1">
      <alignment horizontal="left" vertical="center" wrapText="1"/>
    </xf>
    <xf numFmtId="0" fontId="13" fillId="0" borderId="1" xfId="0" applyFont="1" applyFill="1" applyBorder="1" applyAlignment="1">
      <alignment horizontal="center" vertical="center" wrapText="1"/>
    </xf>
    <xf numFmtId="9" fontId="13" fillId="0" borderId="1" xfId="0" applyNumberFormat="1" applyFont="1" applyFill="1" applyBorder="1" applyAlignment="1">
      <alignment horizontal="center" vertical="center" wrapText="1"/>
    </xf>
    <xf numFmtId="3" fontId="5" fillId="5" borderId="1" xfId="3" applyNumberFormat="1" applyFont="1" applyFill="1" applyBorder="1" applyAlignment="1">
      <alignment horizontal="right" vertical="center" wrapText="1"/>
    </xf>
    <xf numFmtId="0" fontId="8" fillId="4" borderId="14" xfId="0" applyFont="1" applyFill="1" applyBorder="1" applyAlignment="1">
      <alignment vertical="center" wrapText="1"/>
    </xf>
    <xf numFmtId="164" fontId="11" fillId="2" borderId="12" xfId="0" applyNumberFormat="1" applyFont="1" applyFill="1" applyBorder="1" applyAlignment="1">
      <alignment horizontal="center" vertical="center" wrapText="1"/>
    </xf>
    <xf numFmtId="3" fontId="5" fillId="2" borderId="12" xfId="0" applyNumberFormat="1" applyFont="1" applyFill="1" applyBorder="1" applyAlignment="1">
      <alignment horizontal="right" vertical="center" wrapText="1"/>
    </xf>
    <xf numFmtId="3" fontId="4" fillId="4" borderId="11" xfId="0" applyNumberFormat="1" applyFont="1" applyFill="1" applyBorder="1" applyAlignment="1">
      <alignment horizontal="center" vertical="center" wrapText="1"/>
    </xf>
    <xf numFmtId="0" fontId="3" fillId="4" borderId="3" xfId="0" applyFont="1" applyFill="1" applyBorder="1" applyAlignment="1">
      <alignment horizontal="left" vertical="top"/>
    </xf>
    <xf numFmtId="0" fontId="3" fillId="4" borderId="14" xfId="0" applyFont="1" applyFill="1" applyBorder="1" applyAlignment="1">
      <alignment horizontal="left" vertical="top"/>
    </xf>
    <xf numFmtId="49" fontId="5" fillId="4" borderId="2" xfId="0" applyNumberFormat="1" applyFont="1" applyFill="1" applyBorder="1" applyAlignment="1">
      <alignment horizontal="center" vertical="center" wrapText="1"/>
    </xf>
    <xf numFmtId="3" fontId="8" fillId="4" borderId="3" xfId="0" applyNumberFormat="1" applyFont="1" applyFill="1" applyBorder="1" applyAlignment="1">
      <alignment vertical="center" wrapText="1"/>
    </xf>
    <xf numFmtId="3" fontId="8" fillId="4" borderId="3" xfId="0" applyNumberFormat="1" applyFont="1" applyFill="1" applyBorder="1" applyAlignment="1">
      <alignment vertical="top" wrapText="1"/>
    </xf>
    <xf numFmtId="0" fontId="3" fillId="4" borderId="3" xfId="0" applyFont="1" applyFill="1" applyBorder="1" applyAlignment="1">
      <alignment horizontal="left" vertical="center" wrapText="1"/>
    </xf>
    <xf numFmtId="4" fontId="8" fillId="4" borderId="0" xfId="0" applyNumberFormat="1" applyFont="1" applyFill="1" applyBorder="1" applyAlignment="1">
      <alignment vertical="center" wrapText="1"/>
    </xf>
    <xf numFmtId="9" fontId="40" fillId="4" borderId="2" xfId="0" applyNumberFormat="1" applyFont="1" applyFill="1" applyBorder="1" applyAlignment="1">
      <alignment horizontal="center" vertical="center" wrapText="1"/>
    </xf>
    <xf numFmtId="3" fontId="3" fillId="0" borderId="10" xfId="0" applyNumberFormat="1" applyFont="1" applyFill="1" applyBorder="1" applyAlignment="1">
      <alignment horizontal="center" vertical="center" wrapText="1"/>
    </xf>
    <xf numFmtId="0" fontId="3" fillId="4" borderId="0" xfId="0" applyFont="1" applyFill="1" applyBorder="1" applyAlignment="1">
      <alignment horizontal="left" vertical="top"/>
    </xf>
    <xf numFmtId="1" fontId="4" fillId="4" borderId="2" xfId="0" applyNumberFormat="1" applyFont="1" applyFill="1" applyBorder="1" applyAlignment="1">
      <alignment horizontal="center" vertical="center"/>
    </xf>
    <xf numFmtId="0" fontId="4" fillId="4" borderId="1" xfId="0" quotePrefix="1" applyFont="1" applyFill="1" applyBorder="1" applyAlignment="1">
      <alignment horizontal="center" vertical="center" wrapText="1"/>
    </xf>
    <xf numFmtId="0" fontId="4" fillId="4" borderId="13" xfId="0" applyFont="1" applyFill="1" applyBorder="1" applyAlignment="1">
      <alignment horizontal="center" vertical="center" wrapText="1"/>
    </xf>
    <xf numFmtId="0" fontId="8" fillId="4" borderId="15" xfId="0" applyFont="1" applyFill="1" applyBorder="1" applyAlignment="1">
      <alignment horizontal="left" vertical="center" wrapText="1"/>
    </xf>
    <xf numFmtId="49" fontId="5" fillId="4" borderId="6" xfId="0" quotePrefix="1" applyNumberFormat="1" applyFont="1" applyFill="1" applyBorder="1" applyAlignment="1">
      <alignment horizontal="center" vertical="center" wrapText="1"/>
    </xf>
    <xf numFmtId="3" fontId="8" fillId="0" borderId="0" xfId="0" applyNumberFormat="1" applyFont="1" applyFill="1" applyBorder="1" applyAlignment="1">
      <alignment horizontal="right" vertical="top" wrapText="1"/>
    </xf>
    <xf numFmtId="0" fontId="3" fillId="4" borderId="15" xfId="0" applyFont="1" applyFill="1" applyBorder="1" applyAlignment="1">
      <alignment horizontal="left" vertical="top"/>
    </xf>
    <xf numFmtId="0" fontId="18" fillId="4" borderId="3" xfId="0" applyFont="1" applyFill="1" applyBorder="1" applyAlignment="1">
      <alignment horizontal="left" vertical="center" wrapText="1"/>
    </xf>
    <xf numFmtId="166" fontId="11" fillId="5" borderId="1" xfId="3" applyNumberFormat="1" applyFont="1" applyFill="1" applyBorder="1" applyAlignment="1">
      <alignment horizontal="right" vertical="center" wrapText="1"/>
    </xf>
    <xf numFmtId="165" fontId="5" fillId="5" borderId="1" xfId="3" applyNumberFormat="1" applyFont="1" applyFill="1" applyBorder="1" applyAlignment="1">
      <alignment horizontal="right" vertical="center" wrapText="1"/>
    </xf>
    <xf numFmtId="3" fontId="8" fillId="4" borderId="0" xfId="0" applyNumberFormat="1" applyFont="1" applyFill="1" applyBorder="1" applyAlignment="1">
      <alignment horizontal="left" vertical="center" wrapText="1"/>
    </xf>
    <xf numFmtId="0" fontId="11" fillId="0" borderId="0" xfId="0" applyFont="1" applyFill="1" applyAlignment="1">
      <alignment horizontal="center"/>
    </xf>
    <xf numFmtId="0" fontId="34" fillId="0" borderId="0" xfId="0" applyFont="1" applyFill="1" applyAlignment="1">
      <alignment horizontal="center"/>
    </xf>
    <xf numFmtId="0" fontId="7" fillId="0" borderId="10" xfId="0" quotePrefix="1" applyFont="1" applyFill="1" applyBorder="1" applyAlignment="1">
      <alignment horizontal="center" vertical="center" wrapText="1"/>
    </xf>
    <xf numFmtId="0" fontId="7" fillId="4"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1" fontId="11" fillId="2" borderId="1" xfId="0" applyNumberFormat="1" applyFont="1" applyFill="1" applyBorder="1" applyAlignment="1">
      <alignment horizontal="center" vertical="center" wrapText="1"/>
    </xf>
    <xf numFmtId="1" fontId="7" fillId="0" borderId="0" xfId="0" applyNumberFormat="1" applyFont="1" applyFill="1" applyBorder="1" applyAlignment="1">
      <alignment horizontal="center"/>
    </xf>
    <xf numFmtId="0" fontId="11" fillId="0" borderId="1" xfId="0" applyFont="1" applyFill="1" applyBorder="1" applyAlignment="1">
      <alignment horizontal="center" vertical="center"/>
    </xf>
    <xf numFmtId="0" fontId="35" fillId="0" borderId="0" xfId="0" applyFont="1" applyFill="1" applyAlignment="1">
      <alignment horizontal="center"/>
    </xf>
    <xf numFmtId="0" fontId="7" fillId="0" borderId="0" xfId="0" quotePrefix="1" applyFont="1" applyFill="1" applyAlignment="1">
      <alignment horizontal="center"/>
    </xf>
    <xf numFmtId="9" fontId="9" fillId="6" borderId="1" xfId="0" applyNumberFormat="1" applyFont="1" applyFill="1" applyBorder="1" applyAlignment="1">
      <alignment horizontal="center" vertical="center" wrapText="1"/>
    </xf>
    <xf numFmtId="167" fontId="8" fillId="0" borderId="10" xfId="0" applyNumberFormat="1" applyFont="1" applyFill="1" applyBorder="1" applyAlignment="1">
      <alignment horizontal="center" vertical="center" wrapText="1"/>
    </xf>
    <xf numFmtId="3" fontId="8" fillId="0" borderId="16" xfId="0" quotePrefix="1" applyNumberFormat="1" applyFont="1" applyFill="1" applyBorder="1" applyAlignment="1">
      <alignment horizontal="center" vertical="center" wrapText="1"/>
    </xf>
    <xf numFmtId="3" fontId="8" fillId="0" borderId="17" xfId="0" quotePrefix="1"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9" fillId="0" borderId="1" xfId="0" quotePrefix="1" applyFont="1" applyFill="1" applyBorder="1" applyAlignment="1">
      <alignment horizontal="center" vertical="center" wrapText="1"/>
    </xf>
    <xf numFmtId="0" fontId="11" fillId="0" borderId="1" xfId="0" quotePrefix="1" applyFont="1" applyFill="1" applyBorder="1" applyAlignment="1">
      <alignment horizontal="center" vertical="center" wrapText="1"/>
    </xf>
    <xf numFmtId="3" fontId="9" fillId="0" borderId="1" xfId="3" quotePrefix="1" applyNumberFormat="1" applyFont="1" applyFill="1" applyBorder="1" applyAlignment="1">
      <alignment horizontal="center" vertical="center" wrapText="1"/>
    </xf>
    <xf numFmtId="0" fontId="12" fillId="0" borderId="1" xfId="0" quotePrefix="1" applyFont="1" applyFill="1" applyBorder="1" applyAlignment="1">
      <alignment horizontal="center" vertical="center" wrapText="1"/>
    </xf>
    <xf numFmtId="3" fontId="9" fillId="0" borderId="1" xfId="0" quotePrefix="1" applyNumberFormat="1" applyFont="1" applyFill="1" applyBorder="1" applyAlignment="1">
      <alignment horizontal="center" vertical="center" wrapText="1"/>
    </xf>
    <xf numFmtId="0" fontId="4" fillId="0" borderId="18" xfId="0" applyFont="1" applyFill="1" applyBorder="1" applyAlignment="1">
      <alignment horizontal="center" vertical="center"/>
    </xf>
    <xf numFmtId="0" fontId="5" fillId="2" borderId="18" xfId="0" applyFont="1" applyFill="1" applyBorder="1" applyAlignment="1">
      <alignment horizontal="left" vertical="center"/>
    </xf>
    <xf numFmtId="0" fontId="11" fillId="2" borderId="18" xfId="0" applyFont="1" applyFill="1" applyBorder="1" applyAlignment="1">
      <alignment horizontal="center" vertical="center"/>
    </xf>
    <xf numFmtId="0" fontId="5" fillId="2" borderId="18" xfId="0" applyFont="1" applyFill="1" applyBorder="1" applyAlignment="1">
      <alignment horizontal="center"/>
    </xf>
    <xf numFmtId="0" fontId="5" fillId="2" borderId="18" xfId="0" applyFont="1" applyFill="1" applyBorder="1" applyAlignment="1">
      <alignment horizontal="left"/>
    </xf>
    <xf numFmtId="0" fontId="4" fillId="2" borderId="18" xfId="3" applyFont="1" applyFill="1" applyBorder="1" applyAlignment="1">
      <alignment horizontal="center"/>
    </xf>
    <xf numFmtId="0" fontId="4" fillId="2" borderId="18" xfId="3" quotePrefix="1" applyFont="1" applyFill="1" applyBorder="1" applyAlignment="1">
      <alignment horizontal="center"/>
    </xf>
    <xf numFmtId="2" fontId="4" fillId="2" borderId="18" xfId="3" applyNumberFormat="1" applyFont="1" applyFill="1" applyBorder="1" applyAlignment="1">
      <alignment horizontal="center"/>
    </xf>
    <xf numFmtId="3" fontId="4" fillId="2" borderId="18" xfId="3" applyNumberFormat="1" applyFont="1" applyFill="1" applyBorder="1" applyAlignment="1">
      <alignment horizontal="center"/>
    </xf>
    <xf numFmtId="0" fontId="4" fillId="2" borderId="18" xfId="0" applyFont="1" applyFill="1" applyBorder="1" applyAlignment="1">
      <alignment horizontal="center"/>
    </xf>
    <xf numFmtId="3" fontId="4" fillId="2" borderId="18" xfId="0" applyNumberFormat="1" applyFont="1" applyFill="1" applyBorder="1" applyAlignment="1">
      <alignment horizontal="center"/>
    </xf>
    <xf numFmtId="9" fontId="4" fillId="2" borderId="18" xfId="0" applyNumberFormat="1" applyFont="1" applyFill="1" applyBorder="1" applyAlignment="1">
      <alignment horizontal="center"/>
    </xf>
    <xf numFmtId="4" fontId="4" fillId="2" borderId="18" xfId="0" applyNumberFormat="1" applyFont="1" applyFill="1" applyBorder="1" applyAlignment="1">
      <alignment horizontal="center"/>
    </xf>
    <xf numFmtId="167" fontId="4" fillId="2" borderId="18" xfId="0" applyNumberFormat="1" applyFont="1" applyFill="1" applyBorder="1" applyAlignment="1">
      <alignment horizontal="center"/>
    </xf>
    <xf numFmtId="3" fontId="4" fillId="2" borderId="19" xfId="0" applyNumberFormat="1" applyFont="1" applyFill="1" applyBorder="1" applyAlignment="1">
      <alignment horizontal="center"/>
    </xf>
    <xf numFmtId="0" fontId="8" fillId="2" borderId="4" xfId="0" applyFont="1" applyFill="1" applyBorder="1" applyAlignment="1">
      <alignment horizontal="left" vertical="top" wrapText="1"/>
    </xf>
    <xf numFmtId="0" fontId="7" fillId="4" borderId="11" xfId="0" applyFont="1" applyFill="1" applyBorder="1" applyAlignment="1">
      <alignment horizontal="center" vertical="center" wrapText="1"/>
    </xf>
    <xf numFmtId="3" fontId="5" fillId="2" borderId="12" xfId="0" applyNumberFormat="1" applyFont="1" applyFill="1" applyBorder="1" applyAlignment="1">
      <alignment vertical="center" wrapText="1"/>
    </xf>
    <xf numFmtId="3" fontId="4" fillId="7" borderId="2" xfId="0" applyNumberFormat="1" applyFont="1" applyFill="1" applyBorder="1" applyAlignment="1">
      <alignment horizontal="right" vertical="center" wrapText="1"/>
    </xf>
    <xf numFmtId="3" fontId="9" fillId="4" borderId="1" xfId="3" applyNumberFormat="1" applyFont="1" applyFill="1" applyBorder="1" applyAlignment="1">
      <alignment horizontal="center" vertical="center" wrapText="1"/>
    </xf>
    <xf numFmtId="3" fontId="12" fillId="4" borderId="1" xfId="3" applyNumberFormat="1" applyFont="1" applyFill="1" applyBorder="1" applyAlignment="1">
      <alignment vertical="center" wrapText="1"/>
    </xf>
    <xf numFmtId="3" fontId="12" fillId="4" borderId="1" xfId="3"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9" fontId="9" fillId="4" borderId="1" xfId="0" applyNumberFormat="1" applyFont="1" applyFill="1" applyBorder="1" applyAlignment="1">
      <alignment horizontal="center" vertical="center" wrapText="1"/>
    </xf>
    <xf numFmtId="166" fontId="5" fillId="5" borderId="1" xfId="3" applyNumberFormat="1" applyFont="1" applyFill="1" applyBorder="1" applyAlignment="1">
      <alignment horizontal="right" vertical="center" wrapText="1"/>
    </xf>
    <xf numFmtId="3" fontId="11" fillId="0" borderId="1" xfId="0" applyNumberFormat="1" applyFont="1" applyFill="1" applyBorder="1" applyAlignment="1">
      <alignment horizontal="center" vertical="center"/>
    </xf>
    <xf numFmtId="1" fontId="9" fillId="4" borderId="17" xfId="0" applyNumberFormat="1" applyFont="1" applyFill="1" applyBorder="1" applyAlignment="1">
      <alignment horizontal="center" vertical="center" wrapText="1"/>
    </xf>
    <xf numFmtId="0" fontId="6" fillId="0" borderId="0" xfId="0" applyFont="1" applyFill="1" applyAlignment="1">
      <alignment horizontal="center"/>
    </xf>
    <xf numFmtId="0" fontId="11" fillId="0" borderId="0" xfId="0" applyFont="1" applyFill="1" applyBorder="1" applyAlignment="1">
      <alignment horizontal="center" wrapText="1"/>
    </xf>
    <xf numFmtId="0" fontId="12" fillId="2" borderId="1" xfId="3" quotePrefix="1" applyFont="1" applyFill="1" applyBorder="1" applyAlignment="1">
      <alignment horizontal="center" vertical="center" wrapText="1"/>
    </xf>
    <xf numFmtId="0" fontId="12" fillId="2" borderId="1" xfId="0" applyFont="1" applyFill="1" applyBorder="1" applyAlignment="1">
      <alignment horizontal="center" vertical="center" wrapText="1"/>
    </xf>
    <xf numFmtId="2" fontId="12" fillId="2" borderId="1" xfId="3" applyNumberFormat="1" applyFont="1" applyFill="1" applyBorder="1" applyAlignment="1">
      <alignment horizontal="center" vertical="center" wrapText="1"/>
    </xf>
    <xf numFmtId="167" fontId="12" fillId="2" borderId="1" xfId="0" applyNumberFormat="1" applyFont="1" applyFill="1" applyBorder="1" applyAlignment="1">
      <alignment horizontal="center" vertical="center" wrapText="1"/>
    </xf>
    <xf numFmtId="0" fontId="7" fillId="0" borderId="0" xfId="0" applyFont="1" applyFill="1" applyBorder="1" applyAlignment="1">
      <alignment horizontal="center" wrapText="1"/>
    </xf>
    <xf numFmtId="0" fontId="11" fillId="2" borderId="0" xfId="0" applyFont="1" applyFill="1" applyAlignment="1">
      <alignment horizontal="center" wrapText="1"/>
    </xf>
    <xf numFmtId="3" fontId="11" fillId="2" borderId="1" xfId="3" applyNumberFormat="1" applyFont="1" applyFill="1" applyBorder="1" applyAlignment="1">
      <alignment horizontal="right" vertical="center" wrapText="1"/>
    </xf>
    <xf numFmtId="9" fontId="13" fillId="6" borderId="1" xfId="0" applyNumberFormat="1" applyFont="1" applyFill="1" applyBorder="1" applyAlignment="1">
      <alignment horizontal="center" vertical="center" wrapText="1"/>
    </xf>
    <xf numFmtId="0" fontId="5" fillId="0" borderId="0" xfId="0" applyNumberFormat="1" applyFont="1" applyFill="1" applyAlignment="1"/>
    <xf numFmtId="3" fontId="11" fillId="0" borderId="1" xfId="3" applyNumberFormat="1" applyFont="1" applyFill="1" applyBorder="1" applyAlignment="1">
      <alignment horizontal="center" vertical="center"/>
    </xf>
    <xf numFmtId="2" fontId="11" fillId="0" borderId="1" xfId="3" applyNumberFormat="1" applyFont="1" applyFill="1" applyBorder="1" applyAlignment="1">
      <alignment horizontal="center" vertical="center"/>
    </xf>
    <xf numFmtId="165" fontId="14" fillId="0" borderId="1" xfId="3" applyNumberFormat="1" applyFont="1" applyFill="1" applyBorder="1" applyAlignment="1">
      <alignment horizontal="right" vertical="center"/>
    </xf>
    <xf numFmtId="167" fontId="14" fillId="0" borderId="1" xfId="3" applyNumberFormat="1" applyFont="1" applyFill="1" applyBorder="1" applyAlignment="1">
      <alignment horizontal="right" vertical="center"/>
    </xf>
    <xf numFmtId="166" fontId="11" fillId="4" borderId="1" xfId="3" applyNumberFormat="1" applyFont="1" applyFill="1" applyBorder="1" applyAlignment="1">
      <alignment horizontal="right" vertical="center"/>
    </xf>
    <xf numFmtId="167" fontId="11" fillId="4" borderId="1" xfId="3" applyNumberFormat="1" applyFont="1" applyFill="1" applyBorder="1" applyAlignment="1">
      <alignment horizontal="right" vertical="center"/>
    </xf>
    <xf numFmtId="166" fontId="11" fillId="0" borderId="1" xfId="3" applyNumberFormat="1" applyFont="1" applyFill="1" applyBorder="1" applyAlignment="1">
      <alignment horizontal="right" vertical="center"/>
    </xf>
    <xf numFmtId="167" fontId="11" fillId="0" borderId="1" xfId="3" applyNumberFormat="1" applyFont="1" applyFill="1" applyBorder="1" applyAlignment="1">
      <alignment horizontal="right" vertical="center"/>
    </xf>
    <xf numFmtId="2" fontId="4" fillId="6" borderId="0" xfId="0" applyNumberFormat="1" applyFont="1" applyFill="1"/>
    <xf numFmtId="0" fontId="4" fillId="6" borderId="0" xfId="0" applyFont="1" applyFill="1"/>
    <xf numFmtId="0" fontId="5" fillId="6" borderId="0" xfId="0" applyFont="1" applyFill="1"/>
    <xf numFmtId="3" fontId="9" fillId="6" borderId="1" xfId="3" applyNumberFormat="1" applyFont="1" applyFill="1" applyBorder="1" applyAlignment="1">
      <alignment horizontal="center" vertical="center" wrapText="1"/>
    </xf>
    <xf numFmtId="3" fontId="9" fillId="6" borderId="1" xfId="3" quotePrefix="1" applyNumberFormat="1" applyFont="1" applyFill="1" applyBorder="1" applyAlignment="1">
      <alignment horizontal="center" vertical="center" wrapText="1"/>
    </xf>
    <xf numFmtId="3" fontId="8" fillId="6" borderId="10" xfId="3" quotePrefix="1" applyNumberFormat="1" applyFont="1" applyFill="1" applyBorder="1" applyAlignment="1">
      <alignment horizontal="center" vertical="center" wrapText="1"/>
    </xf>
    <xf numFmtId="2" fontId="4" fillId="6" borderId="18" xfId="3" applyNumberFormat="1" applyFont="1" applyFill="1" applyBorder="1" applyAlignment="1">
      <alignment horizontal="center"/>
    </xf>
    <xf numFmtId="167" fontId="4" fillId="6" borderId="2" xfId="3" applyNumberFormat="1" applyFont="1" applyFill="1" applyBorder="1" applyAlignment="1">
      <alignment horizontal="center" vertical="center" wrapText="1"/>
    </xf>
    <xf numFmtId="166" fontId="11" fillId="6" borderId="1" xfId="3" applyNumberFormat="1" applyFont="1" applyFill="1" applyBorder="1" applyAlignment="1">
      <alignment horizontal="right" vertical="center" wrapText="1"/>
    </xf>
    <xf numFmtId="0" fontId="5" fillId="6" borderId="1" xfId="0" applyFont="1" applyFill="1" applyBorder="1" applyAlignment="1">
      <alignment vertical="center" wrapText="1"/>
    </xf>
    <xf numFmtId="164" fontId="11" fillId="6" borderId="12" xfId="0" applyNumberFormat="1" applyFont="1" applyFill="1" applyBorder="1" applyAlignment="1">
      <alignment horizontal="center" vertical="center" wrapText="1"/>
    </xf>
    <xf numFmtId="0" fontId="5" fillId="6" borderId="20" xfId="0" applyFont="1" applyFill="1" applyBorder="1" applyAlignment="1">
      <alignment horizontal="left" vertical="center" wrapText="1"/>
    </xf>
    <xf numFmtId="2" fontId="4" fillId="6" borderId="0" xfId="3" applyNumberFormat="1" applyFont="1" applyFill="1" applyBorder="1" applyAlignment="1">
      <alignment horizontal="center"/>
    </xf>
    <xf numFmtId="2" fontId="12" fillId="6" borderId="1" xfId="3" applyNumberFormat="1" applyFont="1" applyFill="1" applyBorder="1" applyAlignment="1">
      <alignment horizontal="center" vertical="center" wrapText="1"/>
    </xf>
    <xf numFmtId="166" fontId="11" fillId="6" borderId="1" xfId="3" applyNumberFormat="1" applyFont="1" applyFill="1" applyBorder="1" applyAlignment="1">
      <alignment horizontal="right" vertical="center"/>
    </xf>
    <xf numFmtId="166" fontId="11" fillId="6" borderId="1" xfId="0" applyNumberFormat="1" applyFont="1" applyFill="1" applyBorder="1" applyAlignment="1">
      <alignment horizontal="right" vertical="center"/>
    </xf>
    <xf numFmtId="0" fontId="5" fillId="6" borderId="0" xfId="0" applyNumberFormat="1" applyFont="1" applyFill="1" applyAlignment="1"/>
    <xf numFmtId="0" fontId="5" fillId="6" borderId="0" xfId="0" applyFont="1" applyFill="1" applyAlignment="1">
      <alignment horizontal="center"/>
    </xf>
    <xf numFmtId="167" fontId="13" fillId="0" borderId="1" xfId="0" applyNumberFormat="1" applyFont="1" applyFill="1" applyBorder="1" applyAlignment="1">
      <alignment horizontal="center" vertical="center" wrapText="1"/>
    </xf>
    <xf numFmtId="167" fontId="4" fillId="0" borderId="0" xfId="0" quotePrefix="1" applyNumberFormat="1" applyFont="1" applyFill="1" applyBorder="1" applyAlignment="1">
      <alignment horizontal="center" vertical="center" wrapText="1"/>
    </xf>
    <xf numFmtId="0" fontId="4" fillId="7" borderId="0" xfId="0" applyFont="1" applyFill="1"/>
    <xf numFmtId="3" fontId="8" fillId="7" borderId="10" xfId="3" quotePrefix="1" applyNumberFormat="1" applyFont="1" applyFill="1" applyBorder="1" applyAlignment="1">
      <alignment horizontal="center" vertical="center" wrapText="1"/>
    </xf>
    <xf numFmtId="3" fontId="4" fillId="7" borderId="18" xfId="3" applyNumberFormat="1" applyFont="1" applyFill="1" applyBorder="1" applyAlignment="1">
      <alignment horizontal="center"/>
    </xf>
    <xf numFmtId="165" fontId="5" fillId="7" borderId="1" xfId="3" applyNumberFormat="1" applyFont="1" applyFill="1" applyBorder="1" applyAlignment="1">
      <alignment horizontal="right" vertical="center" wrapText="1"/>
    </xf>
    <xf numFmtId="0" fontId="5" fillId="7" borderId="1" xfId="0" applyFont="1" applyFill="1" applyBorder="1" applyAlignment="1">
      <alignment horizontal="left" vertical="center" wrapText="1"/>
    </xf>
    <xf numFmtId="0" fontId="5" fillId="7" borderId="7" xfId="0" applyFont="1" applyFill="1" applyBorder="1" applyAlignment="1">
      <alignment horizontal="left" vertical="center" wrapText="1"/>
    </xf>
    <xf numFmtId="0" fontId="5" fillId="7" borderId="2" xfId="0" applyFont="1" applyFill="1" applyBorder="1" applyAlignment="1">
      <alignment horizontal="left" vertical="center" wrapText="1"/>
    </xf>
    <xf numFmtId="3" fontId="5" fillId="7" borderId="12" xfId="0" applyNumberFormat="1" applyFont="1" applyFill="1" applyBorder="1" applyAlignment="1">
      <alignment horizontal="right" vertical="center" wrapText="1"/>
    </xf>
    <xf numFmtId="0" fontId="4" fillId="7" borderId="0" xfId="3" applyFont="1" applyFill="1" applyBorder="1" applyAlignment="1">
      <alignment horizontal="center"/>
    </xf>
    <xf numFmtId="0" fontId="12" fillId="7" borderId="1" xfId="0" applyFont="1" applyFill="1" applyBorder="1" applyAlignment="1">
      <alignment horizontal="center" vertical="center" wrapText="1"/>
    </xf>
    <xf numFmtId="167" fontId="11" fillId="7" borderId="1" xfId="3" applyNumberFormat="1" applyFont="1" applyFill="1" applyBorder="1" applyAlignment="1">
      <alignment horizontal="center" vertical="center"/>
    </xf>
    <xf numFmtId="165" fontId="11" fillId="7" borderId="1" xfId="0" applyNumberFormat="1" applyFont="1" applyFill="1" applyBorder="1" applyAlignment="1">
      <alignment horizontal="center" vertical="center"/>
    </xf>
    <xf numFmtId="0" fontId="5" fillId="7" borderId="0" xfId="0" applyNumberFormat="1" applyFont="1" applyFill="1" applyAlignment="1"/>
    <xf numFmtId="3" fontId="4" fillId="7" borderId="0" xfId="0" applyNumberFormat="1" applyFont="1" applyFill="1"/>
    <xf numFmtId="0" fontId="5" fillId="7" borderId="0" xfId="0" applyFont="1" applyFill="1"/>
    <xf numFmtId="1" fontId="4" fillId="4" borderId="21" xfId="0" applyNumberFormat="1" applyFont="1" applyFill="1" applyBorder="1" applyAlignment="1">
      <alignment horizontal="center" vertical="center" wrapText="1"/>
    </xf>
    <xf numFmtId="1" fontId="4" fillId="4" borderId="1" xfId="0" quotePrefix="1" applyNumberFormat="1" applyFont="1" applyFill="1" applyBorder="1" applyAlignment="1">
      <alignment horizontal="center" vertical="center" wrapText="1"/>
    </xf>
    <xf numFmtId="1" fontId="4" fillId="4" borderId="9" xfId="0" quotePrefix="1" applyNumberFormat="1" applyFont="1" applyFill="1" applyBorder="1" applyAlignment="1">
      <alignment horizontal="center" vertical="center" wrapText="1"/>
    </xf>
    <xf numFmtId="167" fontId="5" fillId="5" borderId="1" xfId="3" applyNumberFormat="1" applyFont="1" applyFill="1" applyBorder="1" applyAlignment="1">
      <alignment horizontal="right" vertical="center" wrapText="1"/>
    </xf>
    <xf numFmtId="165" fontId="11" fillId="2" borderId="12" xfId="0" applyNumberFormat="1" applyFont="1" applyFill="1" applyBorder="1" applyAlignment="1">
      <alignment horizontal="right" vertical="center" wrapText="1"/>
    </xf>
    <xf numFmtId="165" fontId="5" fillId="0" borderId="1" xfId="0" applyNumberFormat="1" applyFont="1" applyFill="1" applyBorder="1" applyAlignment="1">
      <alignment horizontal="right" vertical="center"/>
    </xf>
    <xf numFmtId="165" fontId="5" fillId="2" borderId="12" xfId="0" applyNumberFormat="1" applyFont="1" applyFill="1" applyBorder="1" applyAlignment="1">
      <alignment horizontal="right" vertical="center" wrapText="1"/>
    </xf>
    <xf numFmtId="167" fontId="11" fillId="0" borderId="1" xfId="3" applyNumberFormat="1" applyFont="1" applyFill="1" applyBorder="1" applyAlignment="1">
      <alignment horizontal="center" vertical="center"/>
    </xf>
    <xf numFmtId="167" fontId="11" fillId="0" borderId="1" xfId="0" applyNumberFormat="1" applyFont="1" applyFill="1" applyBorder="1" applyAlignment="1">
      <alignment horizontal="center" vertical="center"/>
    </xf>
    <xf numFmtId="3" fontId="4" fillId="4" borderId="2" xfId="3" applyNumberFormat="1" applyFont="1" applyFill="1" applyBorder="1" applyAlignment="1">
      <alignment horizontal="center" vertical="center" wrapText="1"/>
    </xf>
    <xf numFmtId="1" fontId="4" fillId="4" borderId="2" xfId="0" quotePrefix="1" applyNumberFormat="1" applyFont="1" applyFill="1" applyBorder="1" applyAlignment="1">
      <alignment horizontal="center" vertical="center" wrapText="1"/>
    </xf>
    <xf numFmtId="0" fontId="4" fillId="8" borderId="2" xfId="0" applyFont="1" applyFill="1" applyBorder="1" applyAlignment="1">
      <alignment horizontal="left" vertical="center" wrapText="1"/>
    </xf>
    <xf numFmtId="0" fontId="4" fillId="8" borderId="2" xfId="0" applyFont="1" applyFill="1" applyBorder="1" applyAlignment="1">
      <alignment horizontal="center" vertical="center" wrapText="1"/>
    </xf>
    <xf numFmtId="3" fontId="4" fillId="8" borderId="2" xfId="3" applyNumberFormat="1" applyFont="1" applyFill="1" applyBorder="1" applyAlignment="1">
      <alignment horizontal="right" vertical="center" wrapText="1"/>
    </xf>
    <xf numFmtId="3" fontId="4" fillId="8" borderId="2" xfId="0" applyNumberFormat="1" applyFont="1" applyFill="1" applyBorder="1" applyAlignment="1">
      <alignment horizontal="right" vertical="center" wrapText="1"/>
    </xf>
    <xf numFmtId="167" fontId="4" fillId="2" borderId="1" xfId="3" applyNumberFormat="1" applyFont="1" applyFill="1" applyBorder="1" applyAlignment="1">
      <alignment horizontal="center" vertical="center" wrapText="1"/>
    </xf>
    <xf numFmtId="3" fontId="5" fillId="4" borderId="2" xfId="3" applyNumberFormat="1" applyFont="1" applyFill="1" applyBorder="1" applyAlignment="1">
      <alignment horizontal="center" vertical="center" wrapText="1"/>
    </xf>
    <xf numFmtId="1" fontId="4" fillId="4" borderId="6" xfId="0" quotePrefix="1" applyNumberFormat="1" applyFont="1" applyFill="1" applyBorder="1" applyAlignment="1">
      <alignment horizontal="center" vertical="center"/>
    </xf>
    <xf numFmtId="3" fontId="12" fillId="7" borderId="1" xfId="3" applyNumberFormat="1" applyFont="1" applyFill="1" applyBorder="1" applyAlignment="1">
      <alignment horizontal="center" vertical="center" wrapText="1"/>
    </xf>
    <xf numFmtId="3" fontId="14" fillId="2" borderId="1" xfId="3" applyNumberFormat="1" applyFont="1" applyFill="1" applyBorder="1" applyAlignment="1">
      <alignment horizontal="right" vertical="center" wrapText="1"/>
    </xf>
    <xf numFmtId="0" fontId="31" fillId="0" borderId="0" xfId="0" applyFont="1" applyFill="1" applyBorder="1" applyAlignment="1">
      <alignment horizontal="right"/>
    </xf>
    <xf numFmtId="3" fontId="10" fillId="0" borderId="1" xfId="0" quotePrefix="1" applyNumberFormat="1" applyFont="1" applyFill="1" applyBorder="1" applyAlignment="1">
      <alignment horizontal="center" vertical="center" wrapText="1"/>
    </xf>
    <xf numFmtId="167" fontId="10" fillId="0" borderId="1" xfId="0" quotePrefix="1" applyNumberFormat="1" applyFont="1" applyFill="1" applyBorder="1" applyAlignment="1">
      <alignment horizontal="center" vertical="center" wrapText="1"/>
    </xf>
    <xf numFmtId="3" fontId="12" fillId="0" borderId="1" xfId="0" quotePrefix="1" applyNumberFormat="1" applyFont="1" applyFill="1" applyBorder="1" applyAlignment="1">
      <alignment horizontal="center" vertical="center" wrapText="1"/>
    </xf>
    <xf numFmtId="3" fontId="15" fillId="0" borderId="0" xfId="0" applyNumberFormat="1" applyFont="1" applyFill="1" applyAlignment="1">
      <alignment horizontal="center"/>
    </xf>
    <xf numFmtId="1" fontId="4" fillId="4" borderId="6"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wrapText="1"/>
    </xf>
    <xf numFmtId="0" fontId="11" fillId="0" borderId="1" xfId="0" quotePrefix="1" applyNumberFormat="1" applyFont="1" applyFill="1" applyBorder="1" applyAlignment="1">
      <alignment horizontal="center" vertical="center" wrapText="1"/>
    </xf>
    <xf numFmtId="0" fontId="7" fillId="0" borderId="10" xfId="0" quotePrefix="1" applyNumberFormat="1" applyFont="1" applyFill="1" applyBorder="1" applyAlignment="1">
      <alignment horizontal="center" vertical="center" wrapText="1"/>
    </xf>
    <xf numFmtId="3" fontId="7" fillId="4" borderId="2" xfId="0" quotePrefix="1" applyNumberFormat="1" applyFont="1" applyFill="1" applyBorder="1" applyAlignment="1">
      <alignment horizontal="center" vertical="center" wrapText="1"/>
    </xf>
    <xf numFmtId="0" fontId="7" fillId="4" borderId="2" xfId="0" quotePrefix="1" applyNumberFormat="1" applyFont="1" applyFill="1" applyBorder="1" applyAlignment="1">
      <alignment horizontal="center" vertical="center" wrapText="1"/>
    </xf>
    <xf numFmtId="3" fontId="7" fillId="4" borderId="2" xfId="0" applyNumberFormat="1" applyFont="1" applyFill="1" applyBorder="1" applyAlignment="1">
      <alignment horizontal="center" vertical="center" wrapText="1"/>
    </xf>
    <xf numFmtId="0" fontId="7" fillId="4" borderId="2" xfId="0" quotePrefix="1" applyFont="1" applyFill="1" applyBorder="1" applyAlignment="1">
      <alignment horizontal="center" vertical="center" wrapText="1"/>
    </xf>
    <xf numFmtId="0" fontId="11" fillId="2"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11" fillId="0" borderId="1" xfId="0" applyNumberFormat="1" applyFont="1" applyFill="1" applyBorder="1" applyAlignment="1">
      <alignment horizontal="center" vertical="center"/>
    </xf>
    <xf numFmtId="1" fontId="4" fillId="4" borderId="3" xfId="0" quotePrefix="1" applyNumberFormat="1" applyFont="1" applyFill="1" applyBorder="1" applyAlignment="1">
      <alignment horizontal="center" vertical="center"/>
    </xf>
    <xf numFmtId="9" fontId="4" fillId="0" borderId="0" xfId="3" applyNumberFormat="1" applyFont="1" applyFill="1" applyBorder="1" applyAlignment="1">
      <alignment horizontal="left" vertical="center"/>
    </xf>
    <xf numFmtId="9" fontId="4" fillId="4" borderId="2" xfId="4" quotePrefix="1" applyFont="1" applyFill="1" applyBorder="1" applyAlignment="1">
      <alignment horizontal="center" vertical="center" wrapText="1"/>
    </xf>
    <xf numFmtId="0" fontId="13" fillId="6" borderId="1" xfId="0" applyFont="1" applyFill="1" applyBorder="1" applyAlignment="1">
      <alignment horizontal="center" vertical="center" wrapText="1"/>
    </xf>
    <xf numFmtId="0" fontId="7" fillId="0" borderId="1" xfId="0" quotePrefix="1" applyFont="1" applyFill="1" applyBorder="1" applyAlignment="1">
      <alignment horizontal="center" vertical="center" wrapText="1"/>
    </xf>
    <xf numFmtId="9" fontId="13" fillId="0" borderId="1" xfId="0" quotePrefix="1" applyNumberFormat="1" applyFont="1" applyFill="1" applyBorder="1" applyAlignment="1">
      <alignment horizontal="center" vertical="center" wrapText="1"/>
    </xf>
    <xf numFmtId="0" fontId="13" fillId="0" borderId="1" xfId="0" quotePrefix="1" applyFont="1" applyFill="1" applyBorder="1" applyAlignment="1">
      <alignment horizontal="center" vertical="center" wrapText="1"/>
    </xf>
    <xf numFmtId="167" fontId="13" fillId="0" borderId="1" xfId="0" quotePrefix="1" applyNumberFormat="1" applyFont="1" applyFill="1" applyBorder="1" applyAlignment="1">
      <alignment horizontal="center" vertical="center" wrapText="1"/>
    </xf>
    <xf numFmtId="0" fontId="23" fillId="6" borderId="1" xfId="0" applyFont="1" applyFill="1" applyBorder="1" applyAlignment="1">
      <alignment horizontal="center" vertical="center" wrapText="1"/>
    </xf>
    <xf numFmtId="0" fontId="7" fillId="6" borderId="1" xfId="0" quotePrefix="1" applyFont="1" applyFill="1" applyBorder="1" applyAlignment="1">
      <alignment horizontal="center" vertical="center" wrapText="1"/>
    </xf>
    <xf numFmtId="3" fontId="9" fillId="6" borderId="1" xfId="0" quotePrefix="1" applyNumberFormat="1" applyFont="1" applyFill="1" applyBorder="1" applyAlignment="1">
      <alignment horizontal="center" vertical="center" wrapText="1"/>
    </xf>
    <xf numFmtId="3" fontId="4" fillId="4" borderId="23" xfId="0" applyNumberFormat="1" applyFont="1" applyFill="1" applyBorder="1" applyAlignment="1">
      <alignment horizontal="center" vertical="center" wrapText="1"/>
    </xf>
    <xf numFmtId="165" fontId="14" fillId="2" borderId="1" xfId="3" applyNumberFormat="1" applyFont="1" applyFill="1" applyBorder="1" applyAlignment="1">
      <alignment horizontal="right" vertical="center" wrapText="1"/>
    </xf>
    <xf numFmtId="164" fontId="14" fillId="2" borderId="1" xfId="3" applyNumberFormat="1" applyFont="1" applyFill="1" applyBorder="1" applyAlignment="1">
      <alignment horizontal="right" vertical="center" wrapText="1"/>
    </xf>
    <xf numFmtId="3" fontId="14" fillId="2" borderId="1" xfId="3" applyNumberFormat="1" applyFont="1" applyFill="1" applyBorder="1" applyAlignment="1">
      <alignment horizontal="center" vertical="center" wrapText="1"/>
    </xf>
    <xf numFmtId="4" fontId="14" fillId="2" borderId="1" xfId="3" applyNumberFormat="1" applyFont="1" applyFill="1" applyBorder="1" applyAlignment="1">
      <alignment horizontal="right" vertical="center" wrapText="1"/>
    </xf>
    <xf numFmtId="167" fontId="14" fillId="2" borderId="1" xfId="3" applyNumberFormat="1" applyFont="1" applyFill="1" applyBorder="1" applyAlignment="1">
      <alignment horizontal="right" vertical="center" wrapText="1"/>
    </xf>
    <xf numFmtId="166" fontId="14" fillId="2" borderId="1" xfId="3" applyNumberFormat="1" applyFont="1" applyFill="1" applyBorder="1" applyAlignment="1">
      <alignment horizontal="center" vertical="center" wrapText="1"/>
    </xf>
    <xf numFmtId="166" fontId="14" fillId="6" borderId="1" xfId="3" applyNumberFormat="1" applyFont="1" applyFill="1" applyBorder="1" applyAlignment="1">
      <alignment horizontal="center" vertical="center" wrapText="1"/>
    </xf>
    <xf numFmtId="165" fontId="14" fillId="7" borderId="1" xfId="3" applyNumberFormat="1" applyFont="1" applyFill="1" applyBorder="1" applyAlignment="1">
      <alignment horizontal="center" vertical="center" wrapText="1"/>
    </xf>
    <xf numFmtId="167" fontId="14" fillId="2" borderId="1" xfId="3" applyNumberFormat="1" applyFont="1" applyFill="1" applyBorder="1" applyAlignment="1">
      <alignment horizontal="center" vertical="center" wrapText="1"/>
    </xf>
    <xf numFmtId="166" fontId="5" fillId="5" borderId="1" xfId="0" applyNumberFormat="1" applyFont="1" applyFill="1" applyBorder="1" applyAlignment="1">
      <alignment horizontal="center" vertical="center" wrapText="1"/>
    </xf>
    <xf numFmtId="4" fontId="5" fillId="2" borderId="1" xfId="0" applyNumberFormat="1" applyFont="1" applyFill="1" applyBorder="1" applyAlignment="1">
      <alignment horizontal="right" vertical="center" wrapText="1"/>
    </xf>
    <xf numFmtId="0" fontId="7" fillId="0" borderId="0" xfId="0" applyNumberFormat="1" applyFont="1" applyFill="1" applyAlignment="1">
      <alignment horizontal="center"/>
    </xf>
    <xf numFmtId="0" fontId="11" fillId="0" borderId="0" xfId="0" applyNumberFormat="1" applyFont="1" applyFill="1" applyAlignment="1">
      <alignment horizontal="center"/>
    </xf>
    <xf numFmtId="0" fontId="11" fillId="2" borderId="18" xfId="0" applyNumberFormat="1" applyFont="1" applyFill="1" applyBorder="1" applyAlignment="1">
      <alignment horizontal="center"/>
    </xf>
    <xf numFmtId="0" fontId="11" fillId="2" borderId="1" xfId="0" quotePrefix="1" applyNumberFormat="1" applyFont="1" applyFill="1" applyBorder="1" applyAlignment="1">
      <alignment horizontal="center" vertical="center" wrapText="1"/>
    </xf>
    <xf numFmtId="0" fontId="7" fillId="0" borderId="0" xfId="0" applyNumberFormat="1" applyFont="1" applyFill="1" applyBorder="1" applyAlignment="1">
      <alignment horizontal="center"/>
    </xf>
    <xf numFmtId="0" fontId="11" fillId="0" borderId="0" xfId="0" applyFont="1" applyFill="1" applyAlignment="1">
      <alignment horizontal="center" vertical="center"/>
    </xf>
    <xf numFmtId="3" fontId="4" fillId="9" borderId="2" xfId="0" applyNumberFormat="1" applyFont="1" applyFill="1" applyBorder="1" applyAlignment="1">
      <alignment horizontal="right" vertical="center" wrapText="1"/>
    </xf>
    <xf numFmtId="0" fontId="4" fillId="9" borderId="13" xfId="0" applyFont="1" applyFill="1" applyBorder="1" applyAlignment="1">
      <alignment horizontal="left" vertical="center" wrapText="1"/>
    </xf>
    <xf numFmtId="0" fontId="4" fillId="9" borderId="13" xfId="0" applyFont="1" applyFill="1" applyBorder="1" applyAlignment="1">
      <alignment horizontal="center" vertical="center" wrapText="1"/>
    </xf>
    <xf numFmtId="0" fontId="4" fillId="9" borderId="13" xfId="0" quotePrefix="1" applyFont="1" applyFill="1" applyBorder="1" applyAlignment="1">
      <alignment horizontal="left" vertical="center" wrapText="1"/>
    </xf>
    <xf numFmtId="4" fontId="4" fillId="4" borderId="2" xfId="3" applyNumberFormat="1" applyFont="1" applyFill="1" applyBorder="1" applyAlignment="1">
      <alignment horizontal="center" vertical="center" wrapText="1"/>
    </xf>
    <xf numFmtId="1" fontId="4" fillId="4" borderId="11" xfId="0" applyNumberFormat="1" applyFont="1" applyFill="1" applyBorder="1" applyAlignment="1">
      <alignment horizontal="center" vertical="center" wrapText="1"/>
    </xf>
    <xf numFmtId="0" fontId="4" fillId="4" borderId="11" xfId="0" applyFont="1" applyFill="1" applyBorder="1" applyAlignment="1">
      <alignment horizontal="left" vertical="center" wrapText="1"/>
    </xf>
    <xf numFmtId="0" fontId="7" fillId="4" borderId="11" xfId="0" quotePrefix="1" applyNumberFormat="1" applyFont="1" applyFill="1" applyBorder="1" applyAlignment="1">
      <alignment horizontal="center" vertical="center" wrapText="1"/>
    </xf>
    <xf numFmtId="0" fontId="4" fillId="4" borderId="11" xfId="3" applyFont="1" applyFill="1" applyBorder="1" applyAlignment="1">
      <alignment horizontal="center" vertical="center" wrapText="1"/>
    </xf>
    <xf numFmtId="2" fontId="4" fillId="4" borderId="11" xfId="3" applyNumberFormat="1" applyFont="1" applyFill="1" applyBorder="1" applyAlignment="1">
      <alignment horizontal="center" vertical="center" wrapText="1"/>
    </xf>
    <xf numFmtId="167" fontId="4" fillId="4" borderId="11" xfId="3" applyNumberFormat="1" applyFont="1" applyFill="1" applyBorder="1" applyAlignment="1">
      <alignment horizontal="center" vertical="center" wrapText="1"/>
    </xf>
    <xf numFmtId="3" fontId="4" fillId="4" borderId="11" xfId="3" applyNumberFormat="1" applyFont="1" applyFill="1" applyBorder="1" applyAlignment="1">
      <alignment horizontal="center" vertical="center" wrapText="1"/>
    </xf>
    <xf numFmtId="0" fontId="4" fillId="4" borderId="11" xfId="0" applyFont="1" applyFill="1" applyBorder="1" applyAlignment="1">
      <alignment horizontal="center" vertical="center" wrapText="1"/>
    </xf>
    <xf numFmtId="9" fontId="4" fillId="4" borderId="11" xfId="0" applyNumberFormat="1" applyFont="1" applyFill="1" applyBorder="1" applyAlignment="1">
      <alignment horizontal="center" vertical="center" wrapText="1"/>
    </xf>
    <xf numFmtId="165" fontId="4" fillId="4" borderId="11" xfId="0" applyNumberFormat="1" applyFont="1" applyFill="1" applyBorder="1" applyAlignment="1">
      <alignment horizontal="right" vertical="center" wrapText="1"/>
    </xf>
    <xf numFmtId="167" fontId="4" fillId="4" borderId="11" xfId="0" applyNumberFormat="1" applyFont="1" applyFill="1" applyBorder="1" applyAlignment="1">
      <alignment horizontal="right" vertical="center" wrapText="1"/>
    </xf>
    <xf numFmtId="167" fontId="4" fillId="4" borderId="11" xfId="0" applyNumberFormat="1" applyFont="1" applyFill="1" applyBorder="1" applyAlignment="1">
      <alignment horizontal="center" vertical="center" wrapText="1"/>
    </xf>
    <xf numFmtId="9" fontId="41" fillId="4" borderId="2" xfId="0" applyNumberFormat="1" applyFont="1" applyFill="1" applyBorder="1" applyAlignment="1">
      <alignment horizontal="center" vertical="center" wrapText="1"/>
    </xf>
    <xf numFmtId="0" fontId="4" fillId="4" borderId="7" xfId="0" quotePrefix="1" applyFont="1" applyFill="1" applyBorder="1" applyAlignment="1">
      <alignment horizontal="center" vertical="center" wrapText="1"/>
    </xf>
    <xf numFmtId="3" fontId="4" fillId="4" borderId="11" xfId="3" applyNumberFormat="1" applyFont="1" applyFill="1" applyBorder="1" applyAlignment="1">
      <alignment horizontal="right" vertical="center" wrapText="1"/>
    </xf>
    <xf numFmtId="3" fontId="4" fillId="4" borderId="2" xfId="0" quotePrefix="1" applyNumberFormat="1" applyFont="1" applyFill="1" applyBorder="1" applyAlignment="1">
      <alignment horizontal="center" vertical="center" wrapText="1"/>
    </xf>
    <xf numFmtId="0" fontId="3" fillId="4" borderId="3" xfId="0" quotePrefix="1" applyFont="1" applyFill="1" applyBorder="1" applyAlignment="1">
      <alignment horizontal="left" vertical="top" wrapText="1"/>
    </xf>
    <xf numFmtId="0" fontId="4" fillId="4" borderId="7" xfId="0" applyFont="1" applyFill="1" applyBorder="1" applyAlignment="1">
      <alignment horizontal="left" vertical="center" wrapText="1"/>
    </xf>
    <xf numFmtId="2" fontId="4" fillId="4" borderId="7" xfId="3" applyNumberFormat="1" applyFont="1" applyFill="1" applyBorder="1" applyAlignment="1">
      <alignment horizontal="center" vertical="center" wrapText="1"/>
    </xf>
    <xf numFmtId="167"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right" vertical="center" wrapText="1"/>
    </xf>
    <xf numFmtId="2" fontId="4" fillId="4" borderId="7" xfId="0" applyNumberFormat="1" applyFont="1" applyFill="1" applyBorder="1" applyAlignment="1">
      <alignment horizontal="center" vertical="center" wrapText="1"/>
    </xf>
    <xf numFmtId="9" fontId="4" fillId="4" borderId="7" xfId="0" applyNumberFormat="1" applyFont="1" applyFill="1" applyBorder="1" applyAlignment="1">
      <alignment horizontal="center" vertical="center" wrapText="1"/>
    </xf>
    <xf numFmtId="165" fontId="4" fillId="4" borderId="7" xfId="0" applyNumberFormat="1" applyFont="1" applyFill="1" applyBorder="1" applyAlignment="1">
      <alignment horizontal="right" vertical="center" wrapText="1"/>
    </xf>
    <xf numFmtId="0" fontId="4" fillId="4" borderId="7" xfId="0" applyFont="1" applyFill="1" applyBorder="1" applyAlignment="1">
      <alignment horizontal="center" vertical="center" wrapText="1"/>
    </xf>
    <xf numFmtId="164" fontId="14" fillId="2" borderId="12" xfId="0" applyNumberFormat="1" applyFont="1" applyFill="1" applyBorder="1" applyAlignment="1">
      <alignment horizontal="right" vertical="center" wrapText="1"/>
    </xf>
    <xf numFmtId="49" fontId="4" fillId="4" borderId="7" xfId="0" quotePrefix="1" applyNumberFormat="1" applyFont="1" applyFill="1" applyBorder="1" applyAlignment="1">
      <alignment horizontal="center" vertical="center" wrapText="1"/>
    </xf>
    <xf numFmtId="0" fontId="7" fillId="4" borderId="7" xfId="0" applyFont="1" applyFill="1" applyBorder="1" applyAlignment="1">
      <alignment horizontal="center" vertical="center" wrapText="1"/>
    </xf>
    <xf numFmtId="3" fontId="7" fillId="4" borderId="7" xfId="0" quotePrefix="1" applyNumberFormat="1" applyFont="1" applyFill="1" applyBorder="1" applyAlignment="1">
      <alignment horizontal="center" vertical="center" wrapText="1"/>
    </xf>
    <xf numFmtId="0" fontId="4" fillId="4" borderId="7" xfId="3" applyFont="1" applyFill="1" applyBorder="1" applyAlignment="1">
      <alignment horizontal="center" vertical="center" wrapText="1"/>
    </xf>
    <xf numFmtId="0" fontId="4" fillId="4" borderId="7" xfId="3" quotePrefix="1" applyFont="1" applyFill="1" applyBorder="1" applyAlignment="1">
      <alignment horizontal="center" vertical="center" wrapText="1"/>
    </xf>
    <xf numFmtId="167" fontId="4" fillId="4" borderId="24" xfId="3" applyNumberFormat="1" applyFont="1" applyFill="1" applyBorder="1" applyAlignment="1">
      <alignment horizontal="center" vertical="center" wrapText="1"/>
    </xf>
    <xf numFmtId="3" fontId="4" fillId="4" borderId="7" xfId="0" applyNumberFormat="1" applyFont="1" applyFill="1" applyBorder="1" applyAlignment="1">
      <alignment horizontal="center" vertical="center" wrapText="1"/>
    </xf>
    <xf numFmtId="3" fontId="4" fillId="4" borderId="7" xfId="0" applyNumberFormat="1" applyFont="1" applyFill="1" applyBorder="1" applyAlignment="1">
      <alignment horizontal="right" vertical="center" wrapText="1"/>
    </xf>
    <xf numFmtId="4" fontId="5" fillId="4" borderId="7" xfId="0" applyNumberFormat="1" applyFont="1" applyFill="1" applyBorder="1" applyAlignment="1">
      <alignment horizontal="center" vertical="center" wrapText="1"/>
    </xf>
    <xf numFmtId="3" fontId="5" fillId="4" borderId="7" xfId="0" applyNumberFormat="1" applyFont="1" applyFill="1" applyBorder="1" applyAlignment="1">
      <alignment horizontal="right" vertical="center" wrapText="1"/>
    </xf>
    <xf numFmtId="0" fontId="3" fillId="4" borderId="25" xfId="0" applyFont="1" applyFill="1" applyBorder="1" applyAlignment="1">
      <alignment horizontal="left" vertical="top" wrapText="1"/>
    </xf>
    <xf numFmtId="3" fontId="4" fillId="4" borderId="6" xfId="0" applyNumberFormat="1" applyFont="1" applyFill="1" applyBorder="1" applyAlignment="1">
      <alignment horizontal="center" vertical="center" wrapText="1"/>
    </xf>
    <xf numFmtId="3" fontId="4" fillId="4" borderId="26" xfId="0" applyNumberFormat="1" applyFont="1" applyFill="1" applyBorder="1" applyAlignment="1">
      <alignment horizontal="center" vertical="center" wrapText="1"/>
    </xf>
    <xf numFmtId="0" fontId="4" fillId="4" borderId="11" xfId="0" quotePrefix="1" applyFont="1" applyFill="1" applyBorder="1" applyAlignment="1">
      <alignment horizontal="center" vertical="center" wrapText="1"/>
    </xf>
    <xf numFmtId="9" fontId="7" fillId="6" borderId="1" xfId="0" quotePrefix="1" applyNumberFormat="1" applyFont="1" applyFill="1" applyBorder="1" applyAlignment="1">
      <alignment horizontal="center" vertical="center" wrapText="1"/>
    </xf>
    <xf numFmtId="9" fontId="4" fillId="0" borderId="0" xfId="3" applyNumberFormat="1" applyFont="1" applyFill="1" applyBorder="1" applyAlignment="1">
      <alignment horizontal="center" vertical="center" wrapText="1"/>
    </xf>
    <xf numFmtId="1" fontId="4" fillId="4" borderId="0" xfId="0" applyNumberFormat="1" applyFont="1" applyFill="1" applyAlignment="1">
      <alignment horizontal="center" vertical="center" wrapText="1"/>
    </xf>
    <xf numFmtId="1" fontId="5" fillId="4" borderId="0" xfId="0" applyNumberFormat="1" applyFont="1" applyFill="1" applyAlignment="1">
      <alignment horizontal="center" vertical="center" wrapText="1"/>
    </xf>
    <xf numFmtId="1" fontId="9" fillId="4" borderId="1" xfId="0" quotePrefix="1" applyNumberFormat="1" applyFont="1" applyFill="1" applyBorder="1" applyAlignment="1">
      <alignment horizontal="center" vertical="center" wrapText="1"/>
    </xf>
    <xf numFmtId="1" fontId="8" fillId="4" borderId="10" xfId="0" quotePrefix="1" applyNumberFormat="1" applyFont="1" applyFill="1" applyBorder="1" applyAlignment="1">
      <alignment horizontal="center" vertical="center" wrapText="1"/>
    </xf>
    <xf numFmtId="1" fontId="11" fillId="4" borderId="18" xfId="0" applyNumberFormat="1" applyFont="1" applyFill="1" applyBorder="1" applyAlignment="1">
      <alignment horizontal="center" vertical="center" wrapText="1"/>
    </xf>
    <xf numFmtId="1" fontId="4" fillId="4" borderId="27" xfId="0" quotePrefix="1" applyNumberFormat="1" applyFont="1" applyFill="1" applyBorder="1" applyAlignment="1">
      <alignment horizontal="center" vertical="center" wrapText="1"/>
    </xf>
    <xf numFmtId="1" fontId="4" fillId="4" borderId="23" xfId="0" applyNumberFormat="1" applyFont="1" applyFill="1" applyBorder="1" applyAlignment="1">
      <alignment horizontal="center" vertical="center" wrapText="1"/>
    </xf>
    <xf numFmtId="1" fontId="5" fillId="4" borderId="1" xfId="0" applyNumberFormat="1" applyFont="1" applyFill="1" applyBorder="1" applyAlignment="1">
      <alignment horizontal="center" vertical="center" wrapText="1"/>
    </xf>
    <xf numFmtId="1" fontId="4" fillId="4" borderId="0" xfId="0" applyNumberFormat="1" applyFont="1" applyFill="1" applyBorder="1" applyAlignment="1">
      <alignment horizontal="center" vertical="center" wrapText="1"/>
    </xf>
    <xf numFmtId="1" fontId="5" fillId="4" borderId="0" xfId="0" applyNumberFormat="1" applyFont="1" applyFill="1" applyAlignment="1">
      <alignment horizontal="right" vertical="center" wrapText="1"/>
    </xf>
    <xf numFmtId="0" fontId="4" fillId="4" borderId="24" xfId="0" quotePrefix="1" applyFont="1" applyFill="1" applyBorder="1" applyAlignment="1">
      <alignment horizontal="center" vertical="center" wrapText="1"/>
    </xf>
    <xf numFmtId="0" fontId="3" fillId="4" borderId="8" xfId="0" applyFont="1" applyFill="1" applyBorder="1" applyAlignment="1">
      <alignment horizontal="left" vertical="top" wrapText="1"/>
    </xf>
    <xf numFmtId="2" fontId="4" fillId="4" borderId="11" xfId="0" applyNumberFormat="1" applyFont="1" applyFill="1" applyBorder="1" applyAlignment="1">
      <alignment horizontal="center" vertical="center" wrapText="1"/>
    </xf>
    <xf numFmtId="4" fontId="4" fillId="4" borderId="11" xfId="0" applyNumberFormat="1" applyFont="1" applyFill="1" applyBorder="1" applyAlignment="1">
      <alignment horizontal="center" vertical="center" wrapText="1"/>
    </xf>
    <xf numFmtId="3" fontId="5" fillId="4" borderId="11" xfId="0" applyNumberFormat="1" applyFont="1" applyFill="1" applyBorder="1" applyAlignment="1">
      <alignment horizontal="right" vertical="center" wrapText="1"/>
    </xf>
    <xf numFmtId="167" fontId="5" fillId="4" borderId="11" xfId="0" applyNumberFormat="1" applyFont="1" applyFill="1" applyBorder="1" applyAlignment="1">
      <alignment horizontal="right" vertical="center" wrapText="1"/>
    </xf>
    <xf numFmtId="0" fontId="4" fillId="4" borderId="2" xfId="0" quotePrefix="1" applyFont="1" applyFill="1" applyBorder="1" applyAlignment="1">
      <alignment horizontal="left" vertical="center" wrapText="1"/>
    </xf>
    <xf numFmtId="167" fontId="4" fillId="4" borderId="0" xfId="0" applyNumberFormat="1" applyFont="1" applyFill="1"/>
    <xf numFmtId="3" fontId="9" fillId="4" borderId="1" xfId="3" quotePrefix="1" applyNumberFormat="1" applyFont="1" applyFill="1" applyBorder="1" applyAlignment="1">
      <alignment horizontal="center" vertical="center" wrapText="1"/>
    </xf>
    <xf numFmtId="167" fontId="8" fillId="4" borderId="10" xfId="0" applyNumberFormat="1" applyFont="1" applyFill="1" applyBorder="1" applyAlignment="1">
      <alignment horizontal="center" vertical="center" wrapText="1"/>
    </xf>
    <xf numFmtId="167" fontId="4" fillId="4" borderId="18" xfId="0" applyNumberFormat="1" applyFont="1" applyFill="1" applyBorder="1" applyAlignment="1">
      <alignment horizontal="center"/>
    </xf>
    <xf numFmtId="165" fontId="5" fillId="4" borderId="1" xfId="0" applyNumberFormat="1" applyFont="1" applyFill="1" applyBorder="1" applyAlignment="1">
      <alignment horizontal="right" vertical="center" wrapText="1"/>
    </xf>
    <xf numFmtId="167" fontId="4" fillId="4" borderId="1" xfId="0" applyNumberFormat="1" applyFont="1" applyFill="1" applyBorder="1" applyAlignment="1">
      <alignment horizontal="right" vertical="center" wrapText="1"/>
    </xf>
    <xf numFmtId="3" fontId="5" fillId="4" borderId="12" xfId="0" applyNumberFormat="1" applyFont="1" applyFill="1" applyBorder="1" applyAlignment="1">
      <alignment vertical="center" wrapText="1"/>
    </xf>
    <xf numFmtId="167" fontId="4" fillId="4" borderId="7" xfId="0" applyNumberFormat="1" applyFont="1" applyFill="1" applyBorder="1" applyAlignment="1">
      <alignment horizontal="right" vertical="center" wrapText="1"/>
    </xf>
    <xf numFmtId="3" fontId="14" fillId="4" borderId="1" xfId="3" applyNumberFormat="1" applyFont="1" applyFill="1" applyBorder="1" applyAlignment="1">
      <alignment horizontal="right" vertical="center" wrapText="1"/>
    </xf>
    <xf numFmtId="167" fontId="4" fillId="4" borderId="0" xfId="0" applyNumberFormat="1" applyFont="1" applyFill="1" applyBorder="1" applyAlignment="1">
      <alignment horizontal="right"/>
    </xf>
    <xf numFmtId="165" fontId="14" fillId="4" borderId="1" xfId="3" applyNumberFormat="1" applyFont="1" applyFill="1" applyBorder="1" applyAlignment="1">
      <alignment horizontal="right" vertical="center"/>
    </xf>
    <xf numFmtId="167" fontId="4" fillId="4" borderId="0" xfId="0" applyNumberFormat="1" applyFont="1" applyFill="1" applyAlignment="1">
      <alignment horizontal="center"/>
    </xf>
    <xf numFmtId="167" fontId="5" fillId="4" borderId="0" xfId="0" applyNumberFormat="1" applyFont="1" applyFill="1"/>
    <xf numFmtId="167" fontId="5" fillId="7" borderId="2" xfId="0" applyNumberFormat="1" applyFont="1" applyFill="1" applyBorder="1" applyAlignment="1">
      <alignment horizontal="right" vertical="center" wrapText="1"/>
    </xf>
    <xf numFmtId="167" fontId="5" fillId="7" borderId="7" xfId="0" applyNumberFormat="1" applyFont="1" applyFill="1" applyBorder="1" applyAlignment="1">
      <alignment horizontal="right" vertical="center" wrapText="1"/>
    </xf>
    <xf numFmtId="0" fontId="4" fillId="8" borderId="11" xfId="0" quotePrefix="1" applyFont="1" applyFill="1" applyBorder="1" applyAlignment="1">
      <alignment horizontal="center" vertical="center" wrapText="1"/>
    </xf>
    <xf numFmtId="3" fontId="4" fillId="2" borderId="28" xfId="0" applyNumberFormat="1" applyFont="1" applyFill="1" applyBorder="1" applyAlignment="1">
      <alignment horizontal="center" vertical="center" wrapText="1"/>
    </xf>
    <xf numFmtId="0" fontId="8" fillId="2" borderId="29" xfId="0" applyFont="1" applyFill="1" applyBorder="1" applyAlignment="1">
      <alignment horizontal="left" vertical="top" wrapText="1"/>
    </xf>
    <xf numFmtId="0" fontId="17" fillId="4" borderId="2" xfId="0" applyFont="1" applyFill="1" applyBorder="1" applyAlignment="1">
      <alignment horizontal="center" vertical="center" wrapText="1"/>
    </xf>
    <xf numFmtId="0" fontId="5" fillId="0" borderId="0" xfId="0" applyNumberFormat="1" applyFont="1" applyFill="1" applyAlignment="1">
      <alignment horizontal="center"/>
    </xf>
    <xf numFmtId="0" fontId="39" fillId="0" borderId="2" xfId="0" applyFont="1" applyBorder="1" applyAlignment="1">
      <alignment horizontal="center" vertical="center" wrapText="1"/>
    </xf>
    <xf numFmtId="1" fontId="4" fillId="4" borderId="24" xfId="0" applyNumberFormat="1" applyFont="1" applyFill="1" applyBorder="1" applyAlignment="1">
      <alignment horizontal="center" vertical="center" wrapText="1"/>
    </xf>
    <xf numFmtId="3" fontId="4" fillId="2" borderId="27" xfId="0" applyNumberFormat="1" applyFont="1" applyFill="1" applyBorder="1" applyAlignment="1">
      <alignment vertical="center" wrapText="1"/>
    </xf>
    <xf numFmtId="3" fontId="12" fillId="2" borderId="5" xfId="0" applyNumberFormat="1" applyFont="1" applyFill="1" applyBorder="1" applyAlignment="1">
      <alignment vertical="top" wrapText="1"/>
    </xf>
    <xf numFmtId="0" fontId="42" fillId="0" borderId="0" xfId="0" applyFont="1" applyFill="1" applyAlignment="1">
      <alignment horizontal="left"/>
    </xf>
    <xf numFmtId="0" fontId="5" fillId="0" borderId="0" xfId="0" applyNumberFormat="1" applyFont="1" applyFill="1" applyAlignment="1">
      <alignment horizontal="right" vertical="center"/>
    </xf>
    <xf numFmtId="3" fontId="4" fillId="2" borderId="9" xfId="0" applyNumberFormat="1" applyFont="1" applyFill="1" applyBorder="1" applyAlignment="1">
      <alignment vertical="center" wrapText="1"/>
    </xf>
    <xf numFmtId="3" fontId="12" fillId="2" borderId="8" xfId="0" applyNumberFormat="1" applyFont="1" applyFill="1" applyBorder="1" applyAlignment="1">
      <alignment vertical="top" wrapText="1"/>
    </xf>
    <xf numFmtId="1" fontId="4" fillId="4" borderId="24" xfId="0" quotePrefix="1" applyNumberFormat="1" applyFont="1" applyFill="1" applyBorder="1" applyAlignment="1">
      <alignment horizontal="center" vertical="center" wrapText="1"/>
    </xf>
    <xf numFmtId="0" fontId="4" fillId="4" borderId="28" xfId="0" applyFont="1" applyFill="1" applyBorder="1" applyAlignment="1">
      <alignment horizontal="left" vertical="center" wrapText="1"/>
    </xf>
    <xf numFmtId="0" fontId="7" fillId="4" borderId="24" xfId="0" applyFont="1" applyFill="1" applyBorder="1" applyAlignment="1">
      <alignment horizontal="center" vertical="center" wrapText="1"/>
    </xf>
    <xf numFmtId="0" fontId="4" fillId="4" borderId="30" xfId="0" applyFont="1" applyFill="1" applyBorder="1" applyAlignment="1">
      <alignment horizontal="left" vertical="center" wrapText="1"/>
    </xf>
    <xf numFmtId="0" fontId="4" fillId="4" borderId="30" xfId="0" applyFont="1" applyFill="1" applyBorder="1" applyAlignment="1">
      <alignment horizontal="center" vertical="center" wrapText="1"/>
    </xf>
    <xf numFmtId="0" fontId="4" fillId="4" borderId="24" xfId="0" applyFont="1" applyFill="1" applyBorder="1" applyAlignment="1">
      <alignment horizontal="left" vertical="center" wrapText="1"/>
    </xf>
    <xf numFmtId="0" fontId="4" fillId="4" borderId="24" xfId="0" applyFont="1" applyFill="1" applyBorder="1" applyAlignment="1">
      <alignment horizontal="center" vertical="center" wrapText="1"/>
    </xf>
    <xf numFmtId="1" fontId="4" fillId="4" borderId="24" xfId="0" applyNumberFormat="1" applyFont="1" applyFill="1" applyBorder="1" applyAlignment="1">
      <alignment horizontal="center" vertical="center"/>
    </xf>
    <xf numFmtId="0" fontId="7" fillId="4" borderId="24" xfId="0" quotePrefix="1" applyFont="1" applyFill="1" applyBorder="1" applyAlignment="1">
      <alignment horizontal="center" vertical="center" wrapText="1"/>
    </xf>
    <xf numFmtId="2" fontId="4" fillId="4" borderId="24" xfId="0" applyNumberFormat="1" applyFont="1" applyFill="1" applyBorder="1" applyAlignment="1">
      <alignment horizontal="center" vertical="center" wrapText="1"/>
    </xf>
    <xf numFmtId="3" fontId="4" fillId="4" borderId="24" xfId="3" applyNumberFormat="1" applyFont="1" applyFill="1" applyBorder="1" applyAlignment="1">
      <alignment horizontal="right" vertical="center" wrapText="1"/>
    </xf>
    <xf numFmtId="9" fontId="4" fillId="4" borderId="24" xfId="0" applyNumberFormat="1" applyFont="1" applyFill="1" applyBorder="1" applyAlignment="1">
      <alignment horizontal="center" vertical="center" wrapText="1"/>
    </xf>
    <xf numFmtId="165" fontId="4" fillId="4" borderId="24" xfId="0" applyNumberFormat="1" applyFont="1" applyFill="1" applyBorder="1" applyAlignment="1">
      <alignment horizontal="right" vertical="center" wrapText="1"/>
    </xf>
    <xf numFmtId="3" fontId="4" fillId="4" borderId="24" xfId="0" applyNumberFormat="1" applyFont="1" applyFill="1" applyBorder="1" applyAlignment="1">
      <alignment horizontal="center" vertical="center" wrapText="1"/>
    </xf>
    <xf numFmtId="3" fontId="4" fillId="4" borderId="24" xfId="0" applyNumberFormat="1" applyFont="1" applyFill="1" applyBorder="1" applyAlignment="1">
      <alignment horizontal="right" vertical="center" wrapText="1"/>
    </xf>
    <xf numFmtId="4" fontId="4" fillId="4" borderId="24" xfId="0" applyNumberFormat="1" applyFont="1" applyFill="1" applyBorder="1" applyAlignment="1">
      <alignment horizontal="center" vertical="center" wrapText="1"/>
    </xf>
    <xf numFmtId="3" fontId="5" fillId="4" borderId="24" xfId="0" applyNumberFormat="1" applyFont="1" applyFill="1" applyBorder="1" applyAlignment="1">
      <alignment horizontal="right" vertical="center" wrapText="1"/>
    </xf>
    <xf numFmtId="167" fontId="5" fillId="4" borderId="24" xfId="0" applyNumberFormat="1" applyFont="1" applyFill="1" applyBorder="1" applyAlignment="1">
      <alignment horizontal="right" vertical="center" wrapText="1"/>
    </xf>
    <xf numFmtId="167" fontId="4" fillId="4" borderId="24" xfId="0" applyNumberFormat="1" applyFont="1" applyFill="1" applyBorder="1" applyAlignment="1">
      <alignment horizontal="center" vertical="center" wrapText="1"/>
    </xf>
    <xf numFmtId="3" fontId="4" fillId="4" borderId="28" xfId="0" applyNumberFormat="1" applyFont="1" applyFill="1" applyBorder="1" applyAlignment="1">
      <alignment horizontal="center" vertical="center" wrapText="1"/>
    </xf>
    <xf numFmtId="0" fontId="3" fillId="4" borderId="29" xfId="0" applyFont="1" applyFill="1" applyBorder="1" applyAlignment="1">
      <alignment horizontal="left" vertical="top" wrapText="1"/>
    </xf>
    <xf numFmtId="49" fontId="38" fillId="4" borderId="2" xfId="2" quotePrefix="1" applyNumberFormat="1" applyFont="1" applyFill="1" applyBorder="1" applyAlignment="1">
      <alignment horizontal="center" vertical="center" wrapText="1"/>
    </xf>
    <xf numFmtId="3" fontId="5" fillId="2" borderId="8" xfId="0" applyNumberFormat="1" applyFont="1" applyFill="1" applyBorder="1" applyAlignment="1">
      <alignment horizontal="center" vertical="center" wrapText="1"/>
    </xf>
    <xf numFmtId="0" fontId="3" fillId="4" borderId="14" xfId="0" applyFont="1" applyFill="1" applyBorder="1" applyAlignment="1">
      <alignment horizontal="left" vertical="top" wrapText="1"/>
    </xf>
    <xf numFmtId="49" fontId="4" fillId="4" borderId="6" xfId="0" applyNumberFormat="1" applyFont="1" applyFill="1" applyBorder="1" applyAlignment="1">
      <alignment horizontal="center" vertical="center" wrapText="1"/>
    </xf>
    <xf numFmtId="0" fontId="4" fillId="4" borderId="31" xfId="0" applyFont="1" applyFill="1" applyBorder="1" applyAlignment="1">
      <alignment horizontal="left" vertical="center" wrapText="1"/>
    </xf>
    <xf numFmtId="0" fontId="4" fillId="4" borderId="31" xfId="0" applyFont="1" applyFill="1" applyBorder="1" applyAlignment="1">
      <alignment horizontal="center" vertical="center" wrapText="1"/>
    </xf>
    <xf numFmtId="167" fontId="4" fillId="4" borderId="31" xfId="3" applyNumberFormat="1" applyFont="1" applyFill="1" applyBorder="1" applyAlignment="1">
      <alignment horizontal="center" vertical="center" wrapText="1"/>
    </xf>
    <xf numFmtId="3" fontId="4" fillId="4" borderId="31" xfId="3" applyNumberFormat="1" applyFont="1" applyFill="1" applyBorder="1" applyAlignment="1">
      <alignment horizontal="right" vertical="center" wrapText="1"/>
    </xf>
    <xf numFmtId="165" fontId="4" fillId="4" borderId="31" xfId="0" applyNumberFormat="1" applyFont="1" applyFill="1" applyBorder="1" applyAlignment="1">
      <alignment horizontal="right" vertical="center" wrapText="1"/>
    </xf>
    <xf numFmtId="3" fontId="4" fillId="4" borderId="31" xfId="0" applyNumberFormat="1" applyFont="1" applyFill="1" applyBorder="1" applyAlignment="1">
      <alignment horizontal="center" vertical="center" wrapText="1"/>
    </xf>
    <xf numFmtId="3" fontId="4" fillId="4" borderId="31" xfId="0" applyNumberFormat="1" applyFont="1" applyFill="1" applyBorder="1" applyAlignment="1">
      <alignment horizontal="right" vertical="center" wrapText="1"/>
    </xf>
    <xf numFmtId="2" fontId="4" fillId="4" borderId="31" xfId="0" applyNumberFormat="1" applyFont="1" applyFill="1" applyBorder="1" applyAlignment="1">
      <alignment horizontal="center" vertical="center" wrapText="1"/>
    </xf>
    <xf numFmtId="0" fontId="5" fillId="0" borderId="0" xfId="0" applyFont="1" applyFill="1" applyAlignment="1">
      <alignment vertical="center" wrapText="1"/>
    </xf>
    <xf numFmtId="0" fontId="17" fillId="0" borderId="0" xfId="0" applyFont="1" applyFill="1" applyAlignment="1">
      <alignment vertical="center" wrapText="1"/>
    </xf>
    <xf numFmtId="0" fontId="11" fillId="0" borderId="0" xfId="0" applyFont="1" applyFill="1" applyAlignment="1">
      <alignment horizontal="center" wrapText="1"/>
    </xf>
    <xf numFmtId="4" fontId="4" fillId="4" borderId="2" xfId="0" quotePrefix="1" applyNumberFormat="1" applyFont="1" applyFill="1" applyBorder="1" applyAlignment="1">
      <alignment horizontal="center" vertical="center" wrapText="1"/>
    </xf>
    <xf numFmtId="9" fontId="4" fillId="4" borderId="11" xfId="4" quotePrefix="1" applyFont="1" applyFill="1" applyBorder="1" applyAlignment="1">
      <alignment horizontal="center" vertical="center" wrapText="1"/>
    </xf>
    <xf numFmtId="4" fontId="11" fillId="0" borderId="1" xfId="0" applyNumberFormat="1" applyFont="1" applyFill="1" applyBorder="1" applyAlignment="1">
      <alignment horizontal="center" vertical="center"/>
    </xf>
    <xf numFmtId="3" fontId="14" fillId="0" borderId="1" xfId="0" applyNumberFormat="1" applyFont="1" applyFill="1" applyBorder="1" applyAlignment="1">
      <alignment horizontal="center" vertical="center"/>
    </xf>
    <xf numFmtId="4" fontId="14" fillId="0" borderId="1" xfId="0" applyNumberFormat="1" applyFont="1" applyFill="1" applyBorder="1" applyAlignment="1">
      <alignment horizontal="center" vertical="center"/>
    </xf>
    <xf numFmtId="165" fontId="14" fillId="0" borderId="1" xfId="0" applyNumberFormat="1" applyFont="1" applyFill="1" applyBorder="1" applyAlignment="1">
      <alignment horizontal="center" vertical="center"/>
    </xf>
    <xf numFmtId="49" fontId="4" fillId="4" borderId="11" xfId="0" applyNumberFormat="1" applyFont="1" applyFill="1" applyBorder="1" applyAlignment="1">
      <alignment horizontal="center" vertical="center" wrapText="1"/>
    </xf>
    <xf numFmtId="3" fontId="4" fillId="4" borderId="32" xfId="0" applyNumberFormat="1" applyFont="1" applyFill="1" applyBorder="1" applyAlignment="1">
      <alignment horizontal="center" vertical="center" wrapText="1"/>
    </xf>
    <xf numFmtId="0" fontId="7" fillId="4" borderId="31" xfId="0" applyFont="1" applyFill="1" applyBorder="1" applyAlignment="1">
      <alignment horizontal="center" vertical="center" wrapText="1"/>
    </xf>
    <xf numFmtId="0" fontId="5" fillId="4" borderId="31" xfId="0" applyFont="1" applyFill="1" applyBorder="1" applyAlignment="1">
      <alignment horizontal="left" vertical="center" wrapText="1"/>
    </xf>
    <xf numFmtId="0" fontId="4" fillId="4" borderId="31" xfId="0" quotePrefix="1" applyFont="1" applyFill="1" applyBorder="1" applyAlignment="1">
      <alignment horizontal="center" vertical="center" wrapText="1"/>
    </xf>
    <xf numFmtId="0" fontId="4" fillId="4" borderId="33" xfId="0" applyFont="1" applyFill="1" applyBorder="1" applyAlignment="1">
      <alignment horizontal="center" vertical="center" wrapText="1"/>
    </xf>
    <xf numFmtId="4" fontId="4" fillId="4" borderId="31" xfId="0" applyNumberFormat="1" applyFont="1" applyFill="1" applyBorder="1" applyAlignment="1">
      <alignment horizontal="center" vertical="center" wrapText="1"/>
    </xf>
    <xf numFmtId="3" fontId="5" fillId="4" borderId="31" xfId="0" applyNumberFormat="1" applyFont="1" applyFill="1" applyBorder="1" applyAlignment="1">
      <alignment horizontal="right" vertical="center" wrapText="1"/>
    </xf>
    <xf numFmtId="167" fontId="5" fillId="4" borderId="31" xfId="0" applyNumberFormat="1" applyFont="1" applyFill="1" applyBorder="1" applyAlignment="1">
      <alignment horizontal="right" vertical="center" wrapText="1"/>
    </xf>
    <xf numFmtId="167" fontId="12" fillId="4" borderId="1" xfId="0" applyNumberFormat="1" applyFont="1" applyFill="1" applyBorder="1" applyAlignment="1">
      <alignment horizontal="center" vertical="center" wrapText="1"/>
    </xf>
    <xf numFmtId="0" fontId="5" fillId="10" borderId="24" xfId="0" quotePrefix="1" applyFont="1" applyFill="1" applyBorder="1" applyAlignment="1">
      <alignment horizontal="center" vertical="center" wrapText="1"/>
    </xf>
    <xf numFmtId="1" fontId="5" fillId="10" borderId="24" xfId="0" applyNumberFormat="1" applyFont="1" applyFill="1" applyBorder="1" applyAlignment="1">
      <alignment horizontal="center" vertical="center" wrapText="1"/>
    </xf>
    <xf numFmtId="0" fontId="5" fillId="10" borderId="28" xfId="0" applyFont="1" applyFill="1" applyBorder="1" applyAlignment="1">
      <alignment horizontal="left" vertical="center" wrapText="1"/>
    </xf>
    <xf numFmtId="0" fontId="11" fillId="10" borderId="24" xfId="0" applyFont="1" applyFill="1" applyBorder="1" applyAlignment="1">
      <alignment horizontal="center" vertical="center" wrapText="1"/>
    </xf>
    <xf numFmtId="0" fontId="5" fillId="10" borderId="30" xfId="0" applyFont="1" applyFill="1" applyBorder="1" applyAlignment="1">
      <alignment horizontal="left" vertical="center" wrapText="1"/>
    </xf>
    <xf numFmtId="0" fontId="5" fillId="10" borderId="30" xfId="0" applyFont="1" applyFill="1" applyBorder="1" applyAlignment="1">
      <alignment horizontal="center" vertical="center" wrapText="1"/>
    </xf>
    <xf numFmtId="0" fontId="5" fillId="10" borderId="24" xfId="0" applyFont="1" applyFill="1" applyBorder="1" applyAlignment="1">
      <alignment horizontal="center" vertical="center" wrapText="1"/>
    </xf>
    <xf numFmtId="1" fontId="9" fillId="10" borderId="24" xfId="0" quotePrefix="1" applyNumberFormat="1" applyFont="1" applyFill="1" applyBorder="1" applyAlignment="1">
      <alignment horizontal="center" vertical="center"/>
    </xf>
    <xf numFmtId="0" fontId="11" fillId="10" borderId="24" xfId="0" quotePrefix="1" applyFont="1" applyFill="1" applyBorder="1" applyAlignment="1">
      <alignment horizontal="center" vertical="center" wrapText="1"/>
    </xf>
    <xf numFmtId="2" fontId="5" fillId="10" borderId="24" xfId="0" applyNumberFormat="1" applyFont="1" applyFill="1" applyBorder="1" applyAlignment="1">
      <alignment horizontal="center" vertical="center" wrapText="1"/>
    </xf>
    <xf numFmtId="167" fontId="5" fillId="10" borderId="24" xfId="0" applyNumberFormat="1" applyFont="1" applyFill="1" applyBorder="1" applyAlignment="1">
      <alignment horizontal="center" vertical="center" wrapText="1"/>
    </xf>
    <xf numFmtId="3" fontId="5" fillId="10" borderId="24" xfId="0" applyNumberFormat="1" applyFont="1" applyFill="1" applyBorder="1" applyAlignment="1">
      <alignment horizontal="center" vertical="center" wrapText="1"/>
    </xf>
    <xf numFmtId="164" fontId="5" fillId="10" borderId="24" xfId="0" applyNumberFormat="1" applyFont="1" applyFill="1" applyBorder="1" applyAlignment="1">
      <alignment horizontal="center" vertical="center" wrapText="1"/>
    </xf>
    <xf numFmtId="165" fontId="5" fillId="10" borderId="24" xfId="0" applyNumberFormat="1" applyFont="1" applyFill="1" applyBorder="1" applyAlignment="1">
      <alignment horizontal="center" vertical="center" wrapText="1"/>
    </xf>
    <xf numFmtId="3" fontId="5" fillId="10" borderId="28" xfId="0" applyNumberFormat="1" applyFont="1" applyFill="1" applyBorder="1" applyAlignment="1">
      <alignment horizontal="center" vertical="center" wrapText="1"/>
    </xf>
    <xf numFmtId="0" fontId="12" fillId="10" borderId="29" xfId="0" applyFont="1" applyFill="1" applyBorder="1" applyAlignment="1">
      <alignment horizontal="left" vertical="top" wrapText="1"/>
    </xf>
    <xf numFmtId="0" fontId="4" fillId="4" borderId="26" xfId="0" applyFont="1" applyFill="1" applyBorder="1" applyAlignment="1">
      <alignment horizontal="left" vertical="center" wrapText="1"/>
    </xf>
    <xf numFmtId="0" fontId="4" fillId="9" borderId="34" xfId="0" applyFont="1" applyFill="1" applyBorder="1" applyAlignment="1">
      <alignment horizontal="left" vertical="center" wrapText="1"/>
    </xf>
    <xf numFmtId="0" fontId="4" fillId="9" borderId="34" xfId="0" applyFont="1" applyFill="1" applyBorder="1" applyAlignment="1">
      <alignment horizontal="center" vertical="center" wrapText="1"/>
    </xf>
    <xf numFmtId="1" fontId="9" fillId="9" borderId="11" xfId="0" quotePrefix="1" applyNumberFormat="1" applyFont="1" applyFill="1" applyBorder="1" applyAlignment="1">
      <alignment horizontal="center" vertical="center"/>
    </xf>
    <xf numFmtId="0" fontId="7" fillId="4" borderId="11" xfId="0" quotePrefix="1" applyFont="1" applyFill="1" applyBorder="1" applyAlignment="1">
      <alignment horizontal="center" vertical="center" wrapText="1"/>
    </xf>
    <xf numFmtId="3" fontId="4" fillId="9" borderId="11" xfId="0" applyNumberFormat="1" applyFont="1" applyFill="1" applyBorder="1" applyAlignment="1">
      <alignment horizontal="right" vertical="center" wrapText="1"/>
    </xf>
    <xf numFmtId="0" fontId="5" fillId="5" borderId="12" xfId="0" quotePrefix="1" applyFont="1" applyFill="1" applyBorder="1" applyAlignment="1">
      <alignment horizontal="center" vertical="center" wrapText="1"/>
    </xf>
    <xf numFmtId="1" fontId="5" fillId="5" borderId="35" xfId="0" applyNumberFormat="1" applyFont="1" applyFill="1" applyBorder="1" applyAlignment="1">
      <alignment horizontal="center" vertical="center" wrapText="1"/>
    </xf>
    <xf numFmtId="0" fontId="5" fillId="5" borderId="12" xfId="0" applyFont="1" applyFill="1" applyBorder="1" applyAlignment="1">
      <alignment horizontal="left" vertical="center" wrapText="1"/>
    </xf>
    <xf numFmtId="0" fontId="5" fillId="5" borderId="12" xfId="0" applyFont="1" applyFill="1" applyBorder="1" applyAlignment="1">
      <alignment horizontal="center" vertical="center" wrapText="1"/>
    </xf>
    <xf numFmtId="49" fontId="5" fillId="5" borderId="12" xfId="0" applyNumberFormat="1" applyFont="1" applyFill="1" applyBorder="1" applyAlignment="1">
      <alignment horizontal="center" vertical="center" wrapText="1"/>
    </xf>
    <xf numFmtId="0" fontId="11" fillId="5" borderId="12" xfId="0" quotePrefix="1" applyNumberFormat="1" applyFont="1" applyFill="1" applyBorder="1" applyAlignment="1">
      <alignment horizontal="center" vertical="center" wrapText="1"/>
    </xf>
    <xf numFmtId="14" fontId="5" fillId="5" borderId="12" xfId="0" applyNumberFormat="1" applyFont="1" applyFill="1" applyBorder="1" applyAlignment="1">
      <alignment horizontal="center" vertical="center" wrapText="1"/>
    </xf>
    <xf numFmtId="0" fontId="5" fillId="5" borderId="12" xfId="3" applyFont="1" applyFill="1" applyBorder="1" applyAlignment="1">
      <alignment horizontal="center" vertical="center" wrapText="1"/>
    </xf>
    <xf numFmtId="2" fontId="5" fillId="5" borderId="12" xfId="3" applyNumberFormat="1" applyFont="1" applyFill="1" applyBorder="1" applyAlignment="1">
      <alignment horizontal="center" vertical="center" wrapText="1"/>
    </xf>
    <xf numFmtId="1" fontId="5" fillId="5" borderId="12" xfId="3" applyNumberFormat="1" applyFont="1" applyFill="1" applyBorder="1" applyAlignment="1">
      <alignment horizontal="center" vertical="center" wrapText="1"/>
    </xf>
    <xf numFmtId="167" fontId="5" fillId="5" borderId="12" xfId="3" applyNumberFormat="1" applyFont="1" applyFill="1" applyBorder="1" applyAlignment="1">
      <alignment horizontal="center" vertical="center" wrapText="1"/>
    </xf>
    <xf numFmtId="3" fontId="5" fillId="5" borderId="12" xfId="3" applyNumberFormat="1" applyFont="1" applyFill="1" applyBorder="1" applyAlignment="1">
      <alignment horizontal="center" vertical="center" wrapText="1"/>
    </xf>
    <xf numFmtId="4" fontId="5" fillId="5" borderId="12" xfId="3" applyNumberFormat="1" applyFont="1" applyFill="1" applyBorder="1" applyAlignment="1">
      <alignment horizontal="center" vertical="center" wrapText="1"/>
    </xf>
    <xf numFmtId="165" fontId="5" fillId="5" borderId="12" xfId="3" applyNumberFormat="1" applyFont="1" applyFill="1" applyBorder="1" applyAlignment="1">
      <alignment horizontal="center" vertical="center" wrapText="1"/>
    </xf>
    <xf numFmtId="3" fontId="5" fillId="5" borderId="27" xfId="0" applyNumberFormat="1" applyFont="1" applyFill="1" applyBorder="1" applyAlignment="1">
      <alignment horizontal="center" vertical="center" wrapText="1"/>
    </xf>
    <xf numFmtId="0" fontId="12" fillId="5" borderId="5" xfId="0" applyFont="1" applyFill="1" applyBorder="1" applyAlignment="1">
      <alignment horizontal="left" vertical="top" wrapText="1"/>
    </xf>
    <xf numFmtId="1" fontId="4" fillId="4" borderId="36" xfId="0" applyNumberFormat="1" applyFont="1" applyFill="1" applyBorder="1" applyAlignment="1">
      <alignment horizontal="center" vertical="center" wrapText="1"/>
    </xf>
    <xf numFmtId="49" fontId="4" fillId="4" borderId="24" xfId="0" applyNumberFormat="1" applyFont="1" applyFill="1" applyBorder="1" applyAlignment="1">
      <alignment horizontal="center" vertical="center" wrapText="1"/>
    </xf>
    <xf numFmtId="0" fontId="7" fillId="4" borderId="24" xfId="0" quotePrefix="1" applyNumberFormat="1"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0" fontId="4" fillId="4" borderId="24" xfId="3" applyFont="1" applyFill="1" applyBorder="1" applyAlignment="1">
      <alignment horizontal="center" vertical="center" wrapText="1"/>
    </xf>
    <xf numFmtId="2" fontId="4" fillId="4" borderId="24" xfId="3" applyNumberFormat="1" applyFont="1" applyFill="1" applyBorder="1" applyAlignment="1">
      <alignment horizontal="center" vertical="center" wrapText="1"/>
    </xf>
    <xf numFmtId="3" fontId="4" fillId="4" borderId="24" xfId="3" applyNumberFormat="1" applyFont="1" applyFill="1" applyBorder="1" applyAlignment="1">
      <alignment horizontal="center" vertical="center" wrapText="1"/>
    </xf>
    <xf numFmtId="167" fontId="4" fillId="4" borderId="24" xfId="0" applyNumberFormat="1" applyFont="1" applyFill="1" applyBorder="1" applyAlignment="1">
      <alignment horizontal="right" vertical="center" wrapText="1"/>
    </xf>
    <xf numFmtId="1" fontId="4" fillId="4" borderId="11" xfId="0" quotePrefix="1" applyNumberFormat="1" applyFont="1" applyFill="1" applyBorder="1" applyAlignment="1">
      <alignment horizontal="center" vertical="center" wrapText="1"/>
    </xf>
    <xf numFmtId="0" fontId="5" fillId="2" borderId="11" xfId="0" applyFont="1" applyFill="1" applyBorder="1" applyAlignment="1">
      <alignment vertical="center" wrapText="1"/>
    </xf>
    <xf numFmtId="0" fontId="5" fillId="6" borderId="11" xfId="0" applyFont="1" applyFill="1" applyBorder="1" applyAlignment="1">
      <alignment vertical="center" wrapText="1"/>
    </xf>
    <xf numFmtId="0" fontId="5" fillId="7" borderId="11" xfId="0" applyFont="1" applyFill="1" applyBorder="1" applyAlignment="1">
      <alignment horizontal="left" vertical="center" wrapText="1"/>
    </xf>
    <xf numFmtId="167" fontId="4" fillId="2" borderId="11" xfId="3" applyNumberFormat="1" applyFont="1" applyFill="1" applyBorder="1" applyAlignment="1">
      <alignment horizontal="center" vertical="center" wrapText="1"/>
    </xf>
    <xf numFmtId="3" fontId="4" fillId="2" borderId="11" xfId="3" applyNumberFormat="1" applyFont="1" applyFill="1" applyBorder="1" applyAlignment="1">
      <alignment horizontal="right" vertical="center" wrapText="1"/>
    </xf>
    <xf numFmtId="0" fontId="4" fillId="2" borderId="11" xfId="0" applyFont="1" applyFill="1" applyBorder="1" applyAlignment="1">
      <alignment horizontal="center" vertical="center" wrapText="1"/>
    </xf>
    <xf numFmtId="9"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right" vertical="center" wrapText="1"/>
    </xf>
    <xf numFmtId="4" fontId="4" fillId="2" borderId="11" xfId="0" applyNumberFormat="1" applyFont="1" applyFill="1" applyBorder="1" applyAlignment="1">
      <alignment horizontal="center" vertical="center" wrapText="1"/>
    </xf>
    <xf numFmtId="3" fontId="5" fillId="2" borderId="11" xfId="0" applyNumberFormat="1" applyFont="1" applyFill="1" applyBorder="1" applyAlignment="1">
      <alignment horizontal="right" vertical="center" wrapText="1"/>
    </xf>
    <xf numFmtId="2" fontId="4" fillId="2" borderId="11" xfId="0" applyNumberFormat="1" applyFont="1" applyFill="1" applyBorder="1" applyAlignment="1">
      <alignment horizontal="center" vertical="center" wrapText="1"/>
    </xf>
    <xf numFmtId="3" fontId="4" fillId="2" borderId="26" xfId="0" applyNumberFormat="1" applyFont="1" applyFill="1" applyBorder="1" applyAlignment="1">
      <alignment horizontal="center" vertical="center" wrapText="1"/>
    </xf>
    <xf numFmtId="3" fontId="8" fillId="2" borderId="14" xfId="3" applyNumberFormat="1" applyFont="1" applyFill="1" applyBorder="1" applyAlignment="1">
      <alignment horizontal="left" vertical="top" wrapText="1"/>
    </xf>
    <xf numFmtId="0" fontId="5" fillId="4" borderId="11" xfId="0" applyFont="1" applyFill="1" applyBorder="1" applyAlignment="1">
      <alignment horizontal="left" vertical="center" wrapText="1"/>
    </xf>
    <xf numFmtId="0" fontId="4" fillId="4" borderId="34" xfId="0" applyFont="1" applyFill="1" applyBorder="1" applyAlignment="1">
      <alignment horizontal="center" vertical="center" wrapText="1"/>
    </xf>
    <xf numFmtId="167" fontId="5" fillId="4" borderId="11" xfId="0" applyNumberFormat="1" applyFont="1" applyFill="1" applyBorder="1" applyAlignment="1">
      <alignment horizontal="center" vertical="center" wrapText="1"/>
    </xf>
    <xf numFmtId="9" fontId="41" fillId="4" borderId="7" xfId="0" applyNumberFormat="1" applyFont="1" applyFill="1" applyBorder="1" applyAlignment="1">
      <alignment horizontal="center" vertical="center" wrapText="1"/>
    </xf>
    <xf numFmtId="9" fontId="41" fillId="11" borderId="2" xfId="0" applyNumberFormat="1" applyFont="1" applyFill="1" applyBorder="1" applyAlignment="1">
      <alignment horizontal="center" vertical="center" wrapText="1"/>
    </xf>
    <xf numFmtId="167" fontId="5" fillId="11" borderId="2" xfId="0" applyNumberFormat="1" applyFont="1" applyFill="1" applyBorder="1" applyAlignment="1">
      <alignment horizontal="center" vertical="center" wrapText="1"/>
    </xf>
    <xf numFmtId="9" fontId="40" fillId="11" borderId="2"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9" fontId="40" fillId="4" borderId="31" xfId="0" applyNumberFormat="1"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9" fontId="14" fillId="0" borderId="1" xfId="3" applyNumberFormat="1" applyFont="1" applyFill="1" applyBorder="1" applyAlignment="1">
      <alignment horizontal="center" vertical="center"/>
    </xf>
    <xf numFmtId="3" fontId="14" fillId="0" borderId="1" xfId="3" applyNumberFormat="1" applyFont="1" applyFill="1" applyBorder="1" applyAlignment="1">
      <alignment horizontal="center" vertical="center"/>
    </xf>
    <xf numFmtId="9" fontId="4" fillId="0" borderId="0" xfId="0" applyNumberFormat="1" applyFont="1" applyFill="1" applyAlignment="1">
      <alignment horizontal="center" vertical="center"/>
    </xf>
    <xf numFmtId="9" fontId="4" fillId="2" borderId="18" xfId="0" applyNumberFormat="1" applyFont="1" applyFill="1" applyBorder="1" applyAlignment="1">
      <alignment horizontal="center" vertical="center"/>
    </xf>
    <xf numFmtId="9" fontId="4" fillId="0" borderId="0" xfId="0" applyNumberFormat="1" applyFont="1" applyFill="1" applyBorder="1" applyAlignment="1">
      <alignment horizontal="center" vertical="center"/>
    </xf>
    <xf numFmtId="9" fontId="8" fillId="0" borderId="0" xfId="0" applyNumberFormat="1" applyFont="1" applyFill="1" applyAlignment="1">
      <alignment horizontal="center" vertical="center"/>
    </xf>
    <xf numFmtId="9" fontId="5" fillId="0" borderId="0" xfId="0" applyNumberFormat="1" applyFont="1" applyFill="1" applyAlignment="1">
      <alignment horizontal="center" vertical="center"/>
    </xf>
    <xf numFmtId="1" fontId="4" fillId="4" borderId="37" xfId="0" applyNumberFormat="1" applyFont="1" applyFill="1" applyBorder="1" applyAlignment="1">
      <alignment horizontal="center" vertical="center" wrapText="1"/>
    </xf>
    <xf numFmtId="14" fontId="4" fillId="4" borderId="11" xfId="0" applyNumberFormat="1" applyFont="1" applyFill="1" applyBorder="1" applyAlignment="1">
      <alignment horizontal="center" vertical="center" wrapText="1"/>
    </xf>
    <xf numFmtId="4" fontId="5" fillId="4" borderId="11" xfId="0" applyNumberFormat="1" applyFont="1" applyFill="1" applyBorder="1" applyAlignment="1">
      <alignment horizontal="center" vertical="center" wrapText="1"/>
    </xf>
    <xf numFmtId="167" fontId="3" fillId="0" borderId="10" xfId="0" applyNumberFormat="1" applyFont="1" applyFill="1" applyBorder="1" applyAlignment="1">
      <alignment horizontal="center" vertical="center" wrapText="1"/>
    </xf>
    <xf numFmtId="167" fontId="5" fillId="4" borderId="7" xfId="0" applyNumberFormat="1" applyFont="1" applyFill="1" applyBorder="1" applyAlignment="1">
      <alignment horizontal="center" vertical="center" wrapText="1"/>
    </xf>
    <xf numFmtId="0" fontId="7" fillId="0" borderId="0" xfId="0" applyFont="1" applyFill="1" applyAlignment="1">
      <alignment horizontal="left"/>
    </xf>
    <xf numFmtId="168" fontId="4" fillId="4" borderId="2" xfId="0" quotePrefix="1" applyNumberFormat="1" applyFont="1" applyFill="1" applyBorder="1" applyAlignment="1">
      <alignment horizontal="center" vertical="center"/>
    </xf>
    <xf numFmtId="0" fontId="3" fillId="4" borderId="16" xfId="0" applyFont="1" applyFill="1" applyBorder="1" applyAlignment="1">
      <alignment horizontal="center" vertical="top" wrapText="1"/>
    </xf>
    <xf numFmtId="0" fontId="13" fillId="4" borderId="16" xfId="0" applyFont="1" applyFill="1" applyBorder="1" applyAlignment="1">
      <alignment horizontal="center" vertical="top" wrapText="1"/>
    </xf>
    <xf numFmtId="3" fontId="3" fillId="4" borderId="28" xfId="0" applyNumberFormat="1" applyFont="1" applyFill="1" applyBorder="1" applyAlignment="1">
      <alignment horizontal="center" vertical="center" wrapText="1"/>
    </xf>
    <xf numFmtId="0" fontId="3" fillId="4" borderId="0" xfId="0" applyFont="1" applyFill="1" applyBorder="1" applyAlignment="1">
      <alignment horizontal="left" vertical="top" wrapText="1"/>
    </xf>
    <xf numFmtId="0" fontId="4" fillId="4" borderId="6" xfId="0" quotePrefix="1" applyFont="1" applyFill="1" applyBorder="1" applyAlignment="1">
      <alignment horizontal="center" vertical="center" wrapText="1"/>
    </xf>
    <xf numFmtId="0" fontId="4" fillId="4" borderId="26" xfId="0" quotePrefix="1"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26" xfId="0" applyFont="1" applyFill="1" applyBorder="1" applyAlignment="1">
      <alignment horizontal="center" vertical="center" wrapText="1"/>
    </xf>
    <xf numFmtId="9" fontId="40" fillId="4" borderId="11" xfId="0" applyNumberFormat="1" applyFont="1" applyFill="1" applyBorder="1" applyAlignment="1">
      <alignment horizontal="center" vertical="center" wrapText="1"/>
    </xf>
    <xf numFmtId="0" fontId="4" fillId="4" borderId="11" xfId="0" quotePrefix="1" applyFont="1" applyFill="1" applyBorder="1" applyAlignment="1">
      <alignment horizontal="left" vertical="center" wrapText="1"/>
    </xf>
    <xf numFmtId="0" fontId="7" fillId="4" borderId="2" xfId="0" applyNumberFormat="1" applyFont="1" applyFill="1" applyBorder="1" applyAlignment="1">
      <alignment horizontal="center" vertical="center" wrapText="1"/>
    </xf>
    <xf numFmtId="0" fontId="3" fillId="4" borderId="3" xfId="0" applyFont="1" applyFill="1" applyBorder="1" applyAlignment="1">
      <alignment vertical="top" wrapText="1"/>
    </xf>
    <xf numFmtId="0" fontId="5" fillId="0" borderId="0" xfId="0" applyNumberFormat="1" applyFont="1" applyFill="1" applyAlignment="1">
      <alignment vertical="center"/>
    </xf>
    <xf numFmtId="3" fontId="4" fillId="2" borderId="1" xfId="0" applyNumberFormat="1" applyFont="1" applyFill="1" applyBorder="1" applyAlignment="1">
      <alignment horizontal="center"/>
    </xf>
    <xf numFmtId="169" fontId="4" fillId="4" borderId="0" xfId="1" applyNumberFormat="1" applyFont="1" applyFill="1" applyAlignment="1">
      <alignment vertical="center" wrapText="1"/>
    </xf>
    <xf numFmtId="4" fontId="5" fillId="4" borderId="2" xfId="0" quotePrefix="1" applyNumberFormat="1" applyFont="1" applyFill="1" applyBorder="1" applyAlignment="1">
      <alignment horizontal="center" vertical="center" wrapText="1"/>
    </xf>
    <xf numFmtId="0" fontId="4" fillId="8" borderId="2" xfId="0" quotePrefix="1" applyFont="1" applyFill="1" applyBorder="1" applyAlignment="1">
      <alignment horizontal="center" vertical="center" wrapText="1"/>
    </xf>
    <xf numFmtId="0" fontId="7" fillId="8" borderId="2" xfId="0" applyFont="1" applyFill="1" applyBorder="1" applyAlignment="1">
      <alignment horizontal="center" vertical="center" wrapText="1"/>
    </xf>
    <xf numFmtId="167" fontId="4" fillId="8" borderId="2" xfId="3" applyNumberFormat="1" applyFont="1" applyFill="1" applyBorder="1" applyAlignment="1">
      <alignment horizontal="center" vertical="center" wrapText="1"/>
    </xf>
    <xf numFmtId="9" fontId="4" fillId="8" borderId="2" xfId="0" applyNumberFormat="1" applyFont="1" applyFill="1" applyBorder="1" applyAlignment="1">
      <alignment horizontal="center" vertical="center" wrapText="1"/>
    </xf>
    <xf numFmtId="165" fontId="4" fillId="8" borderId="2" xfId="0" applyNumberFormat="1" applyFont="1" applyFill="1" applyBorder="1" applyAlignment="1">
      <alignment horizontal="right" vertical="center" wrapText="1"/>
    </xf>
    <xf numFmtId="3" fontId="4" fillId="8" borderId="2" xfId="0" applyNumberFormat="1" applyFont="1" applyFill="1" applyBorder="1" applyAlignment="1">
      <alignment horizontal="center" vertical="center" wrapText="1"/>
    </xf>
    <xf numFmtId="4" fontId="4" fillId="8" borderId="2" xfId="0" applyNumberFormat="1" applyFont="1" applyFill="1" applyBorder="1" applyAlignment="1">
      <alignment horizontal="center" vertical="center" wrapText="1"/>
    </xf>
    <xf numFmtId="3" fontId="5" fillId="8" borderId="2" xfId="0" applyNumberFormat="1" applyFont="1" applyFill="1" applyBorder="1" applyAlignment="1">
      <alignment horizontal="right" vertical="center" wrapText="1"/>
    </xf>
    <xf numFmtId="167" fontId="5" fillId="8" borderId="2" xfId="0" applyNumberFormat="1" applyFont="1" applyFill="1" applyBorder="1" applyAlignment="1">
      <alignment horizontal="right" vertical="center" wrapText="1"/>
    </xf>
    <xf numFmtId="3" fontId="4" fillId="8" borderId="6" xfId="0" applyNumberFormat="1" applyFont="1" applyFill="1" applyBorder="1" applyAlignment="1">
      <alignment horizontal="center" vertical="center" wrapText="1"/>
    </xf>
    <xf numFmtId="0" fontId="4" fillId="12" borderId="2" xfId="0" quotePrefix="1" applyFont="1" applyFill="1" applyBorder="1" applyAlignment="1">
      <alignment horizontal="center" vertical="center" wrapText="1"/>
    </xf>
    <xf numFmtId="0" fontId="4" fillId="12" borderId="2" xfId="0" applyFont="1" applyFill="1" applyBorder="1" applyAlignment="1">
      <alignment horizontal="left" vertical="center" wrapText="1"/>
    </xf>
    <xf numFmtId="0" fontId="7" fillId="12" borderId="2" xfId="0" applyFont="1" applyFill="1" applyBorder="1" applyAlignment="1">
      <alignment horizontal="center" vertical="center" wrapText="1"/>
    </xf>
    <xf numFmtId="0" fontId="4" fillId="12" borderId="2" xfId="0" applyFont="1" applyFill="1" applyBorder="1" applyAlignment="1">
      <alignment horizontal="center" vertical="center" wrapText="1"/>
    </xf>
    <xf numFmtId="3" fontId="7" fillId="12" borderId="2" xfId="0" quotePrefix="1" applyNumberFormat="1" applyFont="1" applyFill="1" applyBorder="1" applyAlignment="1">
      <alignment horizontal="center" vertical="center" wrapText="1"/>
    </xf>
    <xf numFmtId="0" fontId="4" fillId="12" borderId="2" xfId="3" applyFont="1" applyFill="1" applyBorder="1" applyAlignment="1">
      <alignment horizontal="center" vertical="center" wrapText="1"/>
    </xf>
    <xf numFmtId="0" fontId="4" fillId="12" borderId="2" xfId="3" quotePrefix="1" applyFont="1" applyFill="1" applyBorder="1" applyAlignment="1">
      <alignment horizontal="center" vertical="center" wrapText="1"/>
    </xf>
    <xf numFmtId="2" fontId="4" fillId="12" borderId="2" xfId="3" applyNumberFormat="1" applyFont="1" applyFill="1" applyBorder="1" applyAlignment="1">
      <alignment horizontal="center" vertical="center" wrapText="1"/>
    </xf>
    <xf numFmtId="167"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right" vertical="center" wrapText="1"/>
    </xf>
    <xf numFmtId="9" fontId="4" fillId="12" borderId="2" xfId="0" applyNumberFormat="1" applyFont="1" applyFill="1" applyBorder="1" applyAlignment="1">
      <alignment horizontal="center" vertical="center" wrapText="1"/>
    </xf>
    <xf numFmtId="165" fontId="4" fillId="12" borderId="2" xfId="0" applyNumberFormat="1" applyFont="1" applyFill="1" applyBorder="1" applyAlignment="1">
      <alignment horizontal="right" vertical="center" wrapText="1"/>
    </xf>
    <xf numFmtId="3" fontId="4" fillId="12" borderId="2" xfId="0" applyNumberFormat="1" applyFont="1" applyFill="1" applyBorder="1" applyAlignment="1">
      <alignment horizontal="center" vertical="center" wrapText="1"/>
    </xf>
    <xf numFmtId="3" fontId="4" fillId="12" borderId="2" xfId="0" applyNumberFormat="1" applyFont="1" applyFill="1" applyBorder="1" applyAlignment="1">
      <alignment horizontal="right" vertical="center" wrapText="1"/>
    </xf>
    <xf numFmtId="3" fontId="5" fillId="12" borderId="2" xfId="0" applyNumberFormat="1" applyFont="1" applyFill="1" applyBorder="1" applyAlignment="1">
      <alignment horizontal="right" vertical="center" wrapText="1"/>
    </xf>
    <xf numFmtId="3" fontId="4" fillId="12" borderId="6" xfId="0" applyNumberFormat="1" applyFont="1" applyFill="1" applyBorder="1" applyAlignment="1">
      <alignment horizontal="center" vertical="center" wrapText="1"/>
    </xf>
    <xf numFmtId="0" fontId="3" fillId="12" borderId="3" xfId="0" applyFont="1" applyFill="1" applyBorder="1" applyAlignment="1">
      <alignment horizontal="left" vertical="top" wrapText="1"/>
    </xf>
    <xf numFmtId="49" fontId="4" fillId="12" borderId="2" xfId="0" applyNumberFormat="1" applyFont="1" applyFill="1" applyBorder="1" applyAlignment="1">
      <alignment horizontal="center" vertical="center" wrapText="1"/>
    </xf>
    <xf numFmtId="4" fontId="4" fillId="12" borderId="2" xfId="0" applyNumberFormat="1" applyFont="1" applyFill="1" applyBorder="1" applyAlignment="1">
      <alignment horizontal="center" vertical="center" wrapText="1"/>
    </xf>
    <xf numFmtId="9" fontId="40" fillId="12" borderId="2" xfId="0" applyNumberFormat="1" applyFont="1" applyFill="1" applyBorder="1" applyAlignment="1">
      <alignment horizontal="center" vertical="center" wrapText="1"/>
    </xf>
    <xf numFmtId="1" fontId="4" fillId="12" borderId="2" xfId="0" applyNumberFormat="1" applyFont="1" applyFill="1" applyBorder="1" applyAlignment="1">
      <alignment horizontal="center" vertical="center" wrapText="1"/>
    </xf>
    <xf numFmtId="167" fontId="4" fillId="12" borderId="2" xfId="0" applyNumberFormat="1" applyFont="1" applyFill="1" applyBorder="1" applyAlignment="1">
      <alignment horizontal="center" vertical="center" wrapText="1"/>
    </xf>
    <xf numFmtId="0" fontId="5" fillId="12" borderId="2" xfId="0" applyFont="1" applyFill="1" applyBorder="1" applyAlignment="1">
      <alignment horizontal="center" vertical="center" wrapText="1"/>
    </xf>
    <xf numFmtId="167" fontId="4" fillId="12" borderId="2" xfId="0" applyNumberFormat="1" applyFont="1" applyFill="1" applyBorder="1" applyAlignment="1">
      <alignment horizontal="right" vertical="center" wrapText="1"/>
    </xf>
    <xf numFmtId="1" fontId="4" fillId="12" borderId="2" xfId="0" applyNumberFormat="1" applyFont="1" applyFill="1" applyBorder="1" applyAlignment="1">
      <alignment horizontal="center" vertical="center"/>
    </xf>
    <xf numFmtId="14" fontId="4" fillId="12" borderId="2" xfId="0" applyNumberFormat="1" applyFont="1" applyFill="1" applyBorder="1" applyAlignment="1">
      <alignment horizontal="center" vertical="center" wrapText="1"/>
    </xf>
    <xf numFmtId="0" fontId="3" fillId="12" borderId="3" xfId="0" applyFont="1" applyFill="1" applyBorder="1" applyAlignment="1">
      <alignment horizontal="left" vertical="center" wrapText="1"/>
    </xf>
    <xf numFmtId="167" fontId="5" fillId="8" borderId="2" xfId="0" applyNumberFormat="1" applyFont="1" applyFill="1" applyBorder="1" applyAlignment="1">
      <alignment horizontal="center" vertical="center" wrapText="1"/>
    </xf>
    <xf numFmtId="0" fontId="4" fillId="11" borderId="2" xfId="0" applyFont="1" applyFill="1" applyBorder="1" applyAlignment="1">
      <alignment horizontal="center" vertical="center" wrapText="1"/>
    </xf>
    <xf numFmtId="3" fontId="7" fillId="8" borderId="2" xfId="0" quotePrefix="1" applyNumberFormat="1" applyFont="1" applyFill="1" applyBorder="1" applyAlignment="1">
      <alignment horizontal="center" vertical="center" wrapText="1"/>
    </xf>
    <xf numFmtId="0" fontId="3" fillId="8" borderId="3" xfId="0" applyFont="1" applyFill="1" applyBorder="1" applyAlignment="1">
      <alignment horizontal="left" vertical="top" wrapText="1"/>
    </xf>
    <xf numFmtId="1" fontId="4" fillId="8" borderId="2" xfId="0" applyNumberFormat="1" applyFont="1" applyFill="1" applyBorder="1" applyAlignment="1">
      <alignment horizontal="center" vertical="center" wrapText="1"/>
    </xf>
    <xf numFmtId="9" fontId="40" fillId="8" borderId="2" xfId="0" applyNumberFormat="1" applyFont="1" applyFill="1" applyBorder="1" applyAlignment="1">
      <alignment horizontal="center" vertical="center" wrapText="1"/>
    </xf>
    <xf numFmtId="0" fontId="5" fillId="12" borderId="2" xfId="0" applyFont="1" applyFill="1" applyBorder="1" applyAlignment="1">
      <alignment horizontal="left" vertical="center" wrapText="1"/>
    </xf>
    <xf numFmtId="0" fontId="5" fillId="8" borderId="2" xfId="0" applyFont="1" applyFill="1" applyBorder="1" applyAlignment="1">
      <alignment horizontal="left" vertical="center" wrapText="1"/>
    </xf>
    <xf numFmtId="1" fontId="4" fillId="4" borderId="38" xfId="0" applyNumberFormat="1" applyFont="1" applyFill="1" applyBorder="1" applyAlignment="1">
      <alignment horizontal="center" vertical="center" wrapText="1"/>
    </xf>
    <xf numFmtId="0" fontId="4" fillId="4" borderId="11" xfId="3" quotePrefix="1" applyFont="1" applyFill="1" applyBorder="1" applyAlignment="1">
      <alignment horizontal="center" vertical="center" wrapText="1"/>
    </xf>
    <xf numFmtId="0" fontId="8" fillId="4" borderId="15" xfId="0" applyFont="1" applyFill="1" applyBorder="1" applyAlignment="1">
      <alignment horizontal="left" vertical="top" wrapText="1"/>
    </xf>
    <xf numFmtId="0" fontId="4" fillId="4" borderId="32" xfId="0" quotePrefix="1" applyFont="1" applyFill="1" applyBorder="1" applyAlignment="1">
      <alignment horizontal="center" vertical="center" wrapText="1"/>
    </xf>
    <xf numFmtId="0" fontId="4" fillId="4" borderId="31" xfId="0" quotePrefix="1" applyFont="1" applyFill="1" applyBorder="1" applyAlignment="1">
      <alignment horizontal="left" vertical="center" wrapText="1"/>
    </xf>
    <xf numFmtId="0" fontId="3" fillId="4" borderId="15" xfId="0" applyFont="1" applyFill="1" applyBorder="1" applyAlignment="1">
      <alignment horizontal="left" vertical="top" wrapText="1"/>
    </xf>
    <xf numFmtId="0" fontId="4" fillId="4" borderId="21" xfId="0" applyFont="1" applyFill="1" applyBorder="1" applyAlignment="1">
      <alignment horizontal="center" vertical="center" wrapText="1"/>
    </xf>
    <xf numFmtId="0" fontId="4" fillId="4" borderId="13" xfId="0" quotePrefix="1" applyFont="1" applyFill="1" applyBorder="1" applyAlignment="1">
      <alignment horizontal="left" vertical="center" wrapText="1"/>
    </xf>
    <xf numFmtId="0" fontId="4" fillId="13" borderId="2" xfId="0" quotePrefix="1" applyFont="1" applyFill="1" applyBorder="1" applyAlignment="1">
      <alignment horizontal="center" vertical="center" wrapText="1"/>
    </xf>
    <xf numFmtId="1" fontId="4" fillId="13" borderId="21" xfId="0" applyNumberFormat="1" applyFont="1" applyFill="1" applyBorder="1" applyAlignment="1">
      <alignment horizontal="center" vertical="center" wrapText="1"/>
    </xf>
    <xf numFmtId="0" fontId="4" fillId="13" borderId="2" xfId="0" applyFont="1" applyFill="1" applyBorder="1" applyAlignment="1">
      <alignment horizontal="left" vertical="center" wrapText="1"/>
    </xf>
    <xf numFmtId="0" fontId="7" fillId="13" borderId="2" xfId="0" applyFont="1" applyFill="1" applyBorder="1" applyAlignment="1">
      <alignment horizontal="center" vertical="center" wrapText="1"/>
    </xf>
    <xf numFmtId="0" fontId="4" fillId="13" borderId="2" xfId="0" applyFont="1" applyFill="1" applyBorder="1" applyAlignment="1">
      <alignment horizontal="center" vertical="center" wrapText="1"/>
    </xf>
    <xf numFmtId="49" fontId="4" fillId="13" borderId="2" xfId="0" applyNumberFormat="1" applyFont="1" applyFill="1" applyBorder="1" applyAlignment="1">
      <alignment horizontal="center" vertical="center" wrapText="1"/>
    </xf>
    <xf numFmtId="3" fontId="7" fillId="13" borderId="2" xfId="0" quotePrefix="1" applyNumberFormat="1" applyFont="1" applyFill="1" applyBorder="1" applyAlignment="1">
      <alignment horizontal="center" vertical="center" wrapText="1"/>
    </xf>
    <xf numFmtId="0" fontId="4" fillId="13" borderId="2" xfId="3" applyFont="1" applyFill="1" applyBorder="1" applyAlignment="1">
      <alignment horizontal="center" vertical="center" wrapText="1"/>
    </xf>
    <xf numFmtId="0" fontId="4" fillId="13" borderId="2" xfId="3" quotePrefix="1" applyFont="1" applyFill="1" applyBorder="1" applyAlignment="1">
      <alignment horizontal="center" vertical="center" wrapText="1"/>
    </xf>
    <xf numFmtId="2" fontId="4" fillId="13" borderId="2" xfId="3" applyNumberFormat="1" applyFont="1" applyFill="1" applyBorder="1" applyAlignment="1">
      <alignment horizontal="center" vertical="center" wrapText="1"/>
    </xf>
    <xf numFmtId="167"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right" vertical="center" wrapText="1"/>
    </xf>
    <xf numFmtId="9" fontId="4" fillId="13" borderId="2" xfId="0" applyNumberFormat="1" applyFont="1" applyFill="1" applyBorder="1" applyAlignment="1">
      <alignment horizontal="center" vertical="center" wrapText="1"/>
    </xf>
    <xf numFmtId="165" fontId="4" fillId="13" borderId="2" xfId="0" applyNumberFormat="1" applyFont="1" applyFill="1" applyBorder="1" applyAlignment="1">
      <alignment horizontal="right" vertical="center" wrapText="1"/>
    </xf>
    <xf numFmtId="3" fontId="4" fillId="13" borderId="2" xfId="0" applyNumberFormat="1" applyFont="1" applyFill="1" applyBorder="1" applyAlignment="1">
      <alignment horizontal="center" vertical="center" wrapText="1"/>
    </xf>
    <xf numFmtId="3" fontId="4" fillId="13" borderId="2" xfId="0" applyNumberFormat="1" applyFont="1" applyFill="1" applyBorder="1" applyAlignment="1">
      <alignment horizontal="right" vertical="center" wrapText="1"/>
    </xf>
    <xf numFmtId="4" fontId="4" fillId="13" borderId="2" xfId="0" applyNumberFormat="1" applyFont="1" applyFill="1" applyBorder="1" applyAlignment="1">
      <alignment horizontal="center" vertical="center" wrapText="1"/>
    </xf>
    <xf numFmtId="3" fontId="5" fillId="13" borderId="2" xfId="0" applyNumberFormat="1" applyFont="1" applyFill="1" applyBorder="1" applyAlignment="1">
      <alignment horizontal="right" vertical="center" wrapText="1"/>
    </xf>
    <xf numFmtId="167" fontId="5" fillId="13" borderId="2" xfId="0" applyNumberFormat="1" applyFont="1" applyFill="1" applyBorder="1" applyAlignment="1">
      <alignment horizontal="right" vertical="center" wrapText="1"/>
    </xf>
    <xf numFmtId="9" fontId="41" fillId="13" borderId="2" xfId="0" applyNumberFormat="1" applyFont="1" applyFill="1" applyBorder="1" applyAlignment="1">
      <alignment horizontal="center" vertical="center" wrapText="1"/>
    </xf>
    <xf numFmtId="167" fontId="5" fillId="13" borderId="2" xfId="0" applyNumberFormat="1" applyFont="1" applyFill="1" applyBorder="1" applyAlignment="1">
      <alignment horizontal="center" vertical="center" wrapText="1"/>
    </xf>
    <xf numFmtId="3" fontId="4" fillId="13" borderId="6" xfId="0" applyNumberFormat="1" applyFont="1" applyFill="1" applyBorder="1" applyAlignment="1">
      <alignment horizontal="center" vertical="center" wrapText="1"/>
    </xf>
    <xf numFmtId="0" fontId="3" fillId="13" borderId="3" xfId="0" applyFont="1" applyFill="1" applyBorder="1" applyAlignment="1">
      <alignment horizontal="left" vertical="top" wrapText="1"/>
    </xf>
    <xf numFmtId="1" fontId="4" fillId="13" borderId="2" xfId="0" applyNumberFormat="1" applyFont="1" applyFill="1" applyBorder="1" applyAlignment="1">
      <alignment horizontal="center" vertical="center" wrapText="1"/>
    </xf>
    <xf numFmtId="0" fontId="5" fillId="13" borderId="2" xfId="0" applyFont="1" applyFill="1" applyBorder="1" applyAlignment="1">
      <alignment horizontal="center" vertical="center" wrapText="1"/>
    </xf>
    <xf numFmtId="49" fontId="4" fillId="13" borderId="2" xfId="0" quotePrefix="1" applyNumberFormat="1" applyFont="1" applyFill="1" applyBorder="1" applyAlignment="1">
      <alignment horizontal="center" vertical="center" wrapText="1"/>
    </xf>
    <xf numFmtId="14" fontId="4" fillId="13" borderId="2" xfId="0" applyNumberFormat="1" applyFont="1" applyFill="1" applyBorder="1" applyAlignment="1">
      <alignment horizontal="center" vertical="center" wrapText="1"/>
    </xf>
    <xf numFmtId="4" fontId="4" fillId="13" borderId="2" xfId="3" applyNumberFormat="1" applyFont="1" applyFill="1" applyBorder="1" applyAlignment="1">
      <alignment horizontal="center" vertical="center" wrapText="1"/>
    </xf>
    <xf numFmtId="0" fontId="5" fillId="13" borderId="2" xfId="0" applyFont="1" applyFill="1" applyBorder="1" applyAlignment="1">
      <alignment horizontal="left" vertical="center" wrapText="1"/>
    </xf>
    <xf numFmtId="167" fontId="4" fillId="13" borderId="2" xfId="0" applyNumberFormat="1" applyFont="1" applyFill="1" applyBorder="1" applyAlignment="1">
      <alignment horizontal="right" vertical="center" wrapText="1"/>
    </xf>
    <xf numFmtId="9" fontId="40" fillId="13" borderId="2" xfId="0" applyNumberFormat="1" applyFont="1" applyFill="1" applyBorder="1" applyAlignment="1">
      <alignment horizontal="center" vertical="center" wrapText="1"/>
    </xf>
    <xf numFmtId="167" fontId="4" fillId="13" borderId="2" xfId="0" applyNumberFormat="1" applyFont="1" applyFill="1" applyBorder="1" applyAlignment="1">
      <alignment horizontal="center" vertical="center" wrapText="1"/>
    </xf>
    <xf numFmtId="0" fontId="8" fillId="13" borderId="3" xfId="0" applyFont="1" applyFill="1" applyBorder="1" applyAlignment="1">
      <alignment horizontal="left" vertical="top" wrapText="1"/>
    </xf>
    <xf numFmtId="49" fontId="5" fillId="12" borderId="2" xfId="0" applyNumberFormat="1" applyFont="1" applyFill="1" applyBorder="1" applyAlignment="1">
      <alignment horizontal="center" vertical="center" wrapText="1"/>
    </xf>
    <xf numFmtId="3" fontId="5" fillId="12" borderId="2" xfId="3" applyNumberFormat="1" applyFont="1" applyFill="1" applyBorder="1" applyAlignment="1">
      <alignment horizontal="center" vertical="center" wrapText="1"/>
    </xf>
    <xf numFmtId="4" fontId="5" fillId="12" borderId="2" xfId="0" applyNumberFormat="1" applyFont="1" applyFill="1" applyBorder="1" applyAlignment="1">
      <alignment horizontal="center" vertical="center" wrapText="1"/>
    </xf>
    <xf numFmtId="1" fontId="4" fillId="12" borderId="21" xfId="0" applyNumberFormat="1" applyFont="1" applyFill="1" applyBorder="1" applyAlignment="1">
      <alignment horizontal="center" vertical="center" wrapText="1"/>
    </xf>
    <xf numFmtId="167" fontId="5" fillId="12" borderId="2" xfId="0" applyNumberFormat="1" applyFont="1" applyFill="1" applyBorder="1" applyAlignment="1">
      <alignment horizontal="right" vertical="center" wrapText="1"/>
    </xf>
    <xf numFmtId="9" fontId="41" fillId="12" borderId="2" xfId="0" applyNumberFormat="1" applyFont="1" applyFill="1" applyBorder="1" applyAlignment="1">
      <alignment horizontal="center" vertical="center" wrapText="1"/>
    </xf>
    <xf numFmtId="167" fontId="5" fillId="12" borderId="2" xfId="0" applyNumberFormat="1" applyFont="1" applyFill="1" applyBorder="1" applyAlignment="1">
      <alignment horizontal="center" vertical="center" wrapText="1"/>
    </xf>
    <xf numFmtId="49" fontId="4" fillId="12" borderId="6" xfId="0" quotePrefix="1" applyNumberFormat="1" applyFont="1" applyFill="1" applyBorder="1" applyAlignment="1">
      <alignment horizontal="center" vertical="center" wrapText="1"/>
    </xf>
    <xf numFmtId="0" fontId="4" fillId="12" borderId="13" xfId="0" applyFont="1" applyFill="1" applyBorder="1" applyAlignment="1">
      <alignment horizontal="center" vertical="center" wrapText="1"/>
    </xf>
    <xf numFmtId="0" fontId="4" fillId="14" borderId="2" xfId="0" quotePrefix="1" applyFont="1" applyFill="1" applyBorder="1" applyAlignment="1">
      <alignment horizontal="center" vertical="center" wrapText="1"/>
    </xf>
    <xf numFmtId="1" fontId="4" fillId="14" borderId="2" xfId="0" applyNumberFormat="1" applyFont="1" applyFill="1" applyBorder="1" applyAlignment="1">
      <alignment horizontal="center" vertical="center" wrapText="1"/>
    </xf>
    <xf numFmtId="0" fontId="4" fillId="14" borderId="6" xfId="0" applyFont="1" applyFill="1" applyBorder="1" applyAlignment="1">
      <alignment horizontal="left" vertical="center" wrapText="1"/>
    </xf>
    <xf numFmtId="0" fontId="7" fillId="14" borderId="2" xfId="0" applyFont="1" applyFill="1" applyBorder="1" applyAlignment="1">
      <alignment horizontal="center" vertical="center" wrapText="1"/>
    </xf>
    <xf numFmtId="0" fontId="4" fillId="14" borderId="13" xfId="0" applyFont="1" applyFill="1" applyBorder="1" applyAlignment="1">
      <alignment horizontal="left" vertical="center" wrapText="1"/>
    </xf>
    <xf numFmtId="0" fontId="4" fillId="14" borderId="13" xfId="0" applyFont="1" applyFill="1" applyBorder="1" applyAlignment="1">
      <alignment horizontal="center" vertical="center" wrapText="1"/>
    </xf>
    <xf numFmtId="0" fontId="4" fillId="14" borderId="2" xfId="0" applyFont="1" applyFill="1" applyBorder="1" applyAlignment="1">
      <alignment horizontal="center" vertical="center" wrapText="1"/>
    </xf>
    <xf numFmtId="1" fontId="4" fillId="14" borderId="2" xfId="0" quotePrefix="1" applyNumberFormat="1" applyFont="1" applyFill="1" applyBorder="1" applyAlignment="1">
      <alignment horizontal="center" vertical="center"/>
    </xf>
    <xf numFmtId="0" fontId="7" fillId="14" borderId="2" xfId="0" quotePrefix="1" applyFont="1" applyFill="1" applyBorder="1" applyAlignment="1">
      <alignment horizontal="center" vertical="center" wrapText="1"/>
    </xf>
    <xf numFmtId="167" fontId="4" fillId="14" borderId="2" xfId="3" applyNumberFormat="1" applyFont="1" applyFill="1" applyBorder="1" applyAlignment="1">
      <alignment horizontal="center" vertical="center" wrapText="1"/>
    </xf>
    <xf numFmtId="0" fontId="4" fillId="14" borderId="2" xfId="0" applyFont="1" applyFill="1" applyBorder="1" applyAlignment="1">
      <alignment horizontal="left" vertical="center" wrapText="1"/>
    </xf>
    <xf numFmtId="3" fontId="4" fillId="14" borderId="2" xfId="3" applyNumberFormat="1" applyFont="1" applyFill="1" applyBorder="1" applyAlignment="1">
      <alignment horizontal="right" vertical="center" wrapText="1"/>
    </xf>
    <xf numFmtId="3" fontId="4" fillId="14" borderId="2" xfId="0" applyNumberFormat="1" applyFont="1" applyFill="1" applyBorder="1" applyAlignment="1">
      <alignment horizontal="right" vertical="center" wrapText="1"/>
    </xf>
    <xf numFmtId="9" fontId="4" fillId="14" borderId="2" xfId="0" applyNumberFormat="1" applyFont="1" applyFill="1" applyBorder="1" applyAlignment="1">
      <alignment horizontal="center" vertical="center" wrapText="1"/>
    </xf>
    <xf numFmtId="165" fontId="4" fillId="14" borderId="2" xfId="0" applyNumberFormat="1" applyFont="1" applyFill="1" applyBorder="1" applyAlignment="1">
      <alignment horizontal="right" vertical="center" wrapText="1"/>
    </xf>
    <xf numFmtId="3" fontId="4" fillId="14" borderId="2" xfId="0" applyNumberFormat="1" applyFont="1" applyFill="1" applyBorder="1" applyAlignment="1">
      <alignment horizontal="center" vertical="center" wrapText="1"/>
    </xf>
    <xf numFmtId="4" fontId="4" fillId="14" borderId="2" xfId="0" applyNumberFormat="1" applyFont="1" applyFill="1" applyBorder="1" applyAlignment="1">
      <alignment horizontal="center" vertical="center" wrapText="1"/>
    </xf>
    <xf numFmtId="3" fontId="5" fillId="14" borderId="2" xfId="0" applyNumberFormat="1" applyFont="1" applyFill="1" applyBorder="1" applyAlignment="1">
      <alignment horizontal="right" vertical="center" wrapText="1"/>
    </xf>
    <xf numFmtId="167" fontId="5" fillId="14" borderId="2" xfId="0" applyNumberFormat="1" applyFont="1" applyFill="1" applyBorder="1" applyAlignment="1">
      <alignment horizontal="right" vertical="center" wrapText="1"/>
    </xf>
    <xf numFmtId="167" fontId="4" fillId="14" borderId="2" xfId="0" applyNumberFormat="1" applyFont="1" applyFill="1" applyBorder="1" applyAlignment="1">
      <alignment horizontal="center" vertical="center" wrapText="1"/>
    </xf>
    <xf numFmtId="3" fontId="4" fillId="14" borderId="6" xfId="0" applyNumberFormat="1" applyFont="1" applyFill="1" applyBorder="1" applyAlignment="1">
      <alignment horizontal="center" vertical="center" wrapText="1"/>
    </xf>
    <xf numFmtId="0" fontId="3" fillId="14" borderId="3" xfId="0" applyFont="1" applyFill="1" applyBorder="1" applyAlignment="1">
      <alignment horizontal="left" vertical="top" wrapText="1"/>
    </xf>
    <xf numFmtId="167" fontId="12" fillId="4"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vertical="center" wrapText="1"/>
    </xf>
    <xf numFmtId="9" fontId="4" fillId="0" borderId="0" xfId="4" quotePrefix="1" applyFont="1" applyFill="1" applyBorder="1" applyAlignment="1">
      <alignment horizontal="center" vertical="center" wrapText="1"/>
    </xf>
    <xf numFmtId="165" fontId="4" fillId="0" borderId="0" xfId="0" applyNumberFormat="1" applyFont="1" applyFill="1" applyBorder="1" applyAlignment="1">
      <alignment horizontal="right" vertical="center" wrapText="1"/>
    </xf>
    <xf numFmtId="167" fontId="4" fillId="0" borderId="0" xfId="0" applyNumberFormat="1" applyFont="1" applyFill="1" applyBorder="1" applyAlignment="1">
      <alignment horizontal="center" vertical="center" wrapText="1"/>
    </xf>
    <xf numFmtId="0" fontId="4" fillId="0" borderId="0" xfId="0" quotePrefix="1" applyFont="1" applyFill="1" applyBorder="1" applyAlignment="1">
      <alignment horizontal="justify" vertical="center" wrapText="1"/>
    </xf>
    <xf numFmtId="0" fontId="4" fillId="0" borderId="0" xfId="0" applyFont="1" applyFill="1" applyBorder="1" applyAlignment="1">
      <alignment horizontal="left" vertical="center" wrapText="1"/>
    </xf>
    <xf numFmtId="2" fontId="4" fillId="0" borderId="0" xfId="0" applyNumberFormat="1" applyFont="1" applyFill="1" applyBorder="1" applyAlignment="1">
      <alignment horizontal="center" vertical="center" wrapText="1"/>
    </xf>
    <xf numFmtId="167" fontId="4" fillId="0" borderId="0" xfId="3" applyNumberFormat="1" applyFont="1" applyFill="1" applyBorder="1" applyAlignment="1">
      <alignment horizontal="center" vertical="center" wrapText="1"/>
    </xf>
    <xf numFmtId="169" fontId="0" fillId="0" borderId="0" xfId="1" applyNumberFormat="1" applyFont="1"/>
    <xf numFmtId="0" fontId="5" fillId="0" borderId="0" xfId="0" applyFont="1"/>
    <xf numFmtId="0" fontId="0" fillId="0" borderId="1" xfId="0" applyBorder="1"/>
    <xf numFmtId="169" fontId="0" fillId="0" borderId="1" xfId="1" applyNumberFormat="1" applyFont="1" applyBorder="1"/>
    <xf numFmtId="0" fontId="0" fillId="0" borderId="1" xfId="0" applyBorder="1" applyAlignment="1">
      <alignment horizontal="right"/>
    </xf>
    <xf numFmtId="0" fontId="4" fillId="0" borderId="1" xfId="0" applyFont="1" applyBorder="1" applyAlignment="1">
      <alignment horizontal="right"/>
    </xf>
    <xf numFmtId="0" fontId="4" fillId="0" borderId="1" xfId="0" applyFont="1" applyBorder="1"/>
    <xf numFmtId="0" fontId="5" fillId="0" borderId="1" xfId="0" applyFont="1" applyBorder="1"/>
    <xf numFmtId="169" fontId="5" fillId="0" borderId="1" xfId="1" applyNumberFormat="1" applyFont="1" applyBorder="1"/>
    <xf numFmtId="0" fontId="4" fillId="0" borderId="1" xfId="0" quotePrefix="1" applyFont="1" applyBorder="1" applyAlignment="1">
      <alignment horizontal="center"/>
    </xf>
    <xf numFmtId="0" fontId="0" fillId="0" borderId="0" xfId="0" applyAlignment="1">
      <alignment wrapText="1"/>
    </xf>
    <xf numFmtId="0" fontId="0" fillId="0" borderId="0" xfId="0" applyAlignment="1">
      <alignment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vertical="center" wrapText="1"/>
    </xf>
    <xf numFmtId="3" fontId="0" fillId="0" borderId="1" xfId="0" applyNumberFormat="1" applyBorder="1" applyAlignment="1">
      <alignment vertical="center" wrapText="1"/>
    </xf>
    <xf numFmtId="3" fontId="5" fillId="0" borderId="1" xfId="0" applyNumberFormat="1" applyFont="1" applyBorder="1" applyAlignment="1">
      <alignment vertical="center" wrapText="1"/>
    </xf>
    <xf numFmtId="0" fontId="3" fillId="0" borderId="1" xfId="0" applyFont="1" applyBorder="1" applyAlignment="1">
      <alignment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0" fillId="0" borderId="1" xfId="0" applyBorder="1" applyAlignment="1">
      <alignment horizontal="center" vertical="center" wrapText="1"/>
    </xf>
    <xf numFmtId="2" fontId="0" fillId="0" borderId="1" xfId="0" applyNumberFormat="1" applyBorder="1" applyAlignment="1">
      <alignment horizontal="center" vertical="center" wrapText="1"/>
    </xf>
    <xf numFmtId="0" fontId="8" fillId="0" borderId="0" xfId="0" applyFont="1" applyFill="1" applyBorder="1" applyAlignment="1">
      <alignment horizontal="left" vertical="top" wrapText="1"/>
    </xf>
    <xf numFmtId="0" fontId="3" fillId="0" borderId="3" xfId="0" applyFont="1" applyFill="1" applyBorder="1" applyAlignment="1">
      <alignment horizontal="left" vertical="top" wrapText="1"/>
    </xf>
    <xf numFmtId="0" fontId="8" fillId="0" borderId="0" xfId="0" applyFont="1" applyFill="1" applyBorder="1" applyAlignment="1">
      <alignment horizontal="left" vertical="center" wrapText="1"/>
    </xf>
    <xf numFmtId="0" fontId="12" fillId="0" borderId="0" xfId="0" applyFont="1" applyFill="1" applyBorder="1" applyAlignment="1">
      <alignment horizontal="left" vertical="center" wrapText="1"/>
    </xf>
    <xf numFmtId="3" fontId="12" fillId="0" borderId="0" xfId="0" applyNumberFormat="1" applyFont="1" applyFill="1" applyBorder="1" applyAlignment="1">
      <alignment vertical="center" wrapText="1"/>
    </xf>
    <xf numFmtId="0" fontId="0" fillId="0" borderId="0" xfId="0" quotePrefix="1"/>
    <xf numFmtId="0" fontId="5" fillId="2" borderId="1" xfId="0" applyFont="1" applyFill="1" applyBorder="1" applyAlignment="1">
      <alignment horizontal="left"/>
    </xf>
    <xf numFmtId="0" fontId="7" fillId="0" borderId="2" xfId="0" applyFont="1" applyBorder="1" applyAlignment="1">
      <alignment horizontal="center" vertical="center" wrapText="1"/>
    </xf>
    <xf numFmtId="0" fontId="4" fillId="0" borderId="10" xfId="0" quotePrefix="1" applyFont="1" applyFill="1" applyBorder="1" applyAlignment="1">
      <alignment horizontal="center" vertical="center" wrapText="1"/>
    </xf>
    <xf numFmtId="0" fontId="4" fillId="4" borderId="10" xfId="0" quotePrefix="1" applyFont="1" applyFill="1" applyBorder="1" applyAlignment="1">
      <alignment horizontal="center" vertical="center" wrapText="1"/>
    </xf>
    <xf numFmtId="164" fontId="14" fillId="2" borderId="10" xfId="0" applyNumberFormat="1" applyFont="1" applyFill="1" applyBorder="1" applyAlignment="1">
      <alignment horizontal="right" vertical="center" wrapText="1"/>
    </xf>
    <xf numFmtId="164" fontId="11" fillId="6" borderId="10" xfId="0" applyNumberFormat="1" applyFont="1" applyFill="1" applyBorder="1" applyAlignment="1">
      <alignment horizontal="center" vertical="center" wrapText="1"/>
    </xf>
    <xf numFmtId="3" fontId="5" fillId="7" borderId="10" xfId="0" applyNumberFormat="1" applyFont="1" applyFill="1" applyBorder="1" applyAlignment="1">
      <alignment horizontal="right" vertical="center" wrapText="1"/>
    </xf>
    <xf numFmtId="165" fontId="5" fillId="2" borderId="10" xfId="0" applyNumberFormat="1" applyFont="1" applyFill="1" applyBorder="1" applyAlignment="1">
      <alignment horizontal="right" vertical="center" wrapText="1"/>
    </xf>
    <xf numFmtId="3" fontId="5" fillId="2" borderId="10" xfId="0" applyNumberFormat="1" applyFont="1" applyFill="1" applyBorder="1" applyAlignment="1">
      <alignment horizontal="right" vertical="center" wrapText="1"/>
    </xf>
    <xf numFmtId="164" fontId="11" fillId="2" borderId="10" xfId="0" applyNumberFormat="1" applyFont="1" applyFill="1" applyBorder="1" applyAlignment="1">
      <alignment horizontal="center" vertical="center" wrapText="1"/>
    </xf>
    <xf numFmtId="165" fontId="11" fillId="2" borderId="10" xfId="0" applyNumberFormat="1" applyFont="1" applyFill="1" applyBorder="1" applyAlignment="1">
      <alignment horizontal="right" vertical="center" wrapText="1"/>
    </xf>
    <xf numFmtId="3" fontId="5" fillId="2" borderId="10" xfId="0" applyNumberFormat="1" applyFont="1" applyFill="1" applyBorder="1" applyAlignment="1">
      <alignment vertical="center" wrapText="1"/>
    </xf>
    <xf numFmtId="3" fontId="5" fillId="4" borderId="10" xfId="0" applyNumberFormat="1" applyFont="1" applyFill="1" applyBorder="1" applyAlignment="1">
      <alignment vertical="center" wrapText="1"/>
    </xf>
    <xf numFmtId="3" fontId="5" fillId="2" borderId="10" xfId="0" applyNumberFormat="1" applyFont="1" applyFill="1" applyBorder="1" applyAlignment="1">
      <alignment horizontal="center" vertical="center" wrapText="1"/>
    </xf>
    <xf numFmtId="3" fontId="4" fillId="2" borderId="16" xfId="0" applyNumberFormat="1" applyFont="1" applyFill="1" applyBorder="1" applyAlignment="1">
      <alignment vertical="center" wrapText="1"/>
    </xf>
    <xf numFmtId="3" fontId="12" fillId="2" borderId="17" xfId="0" applyNumberFormat="1" applyFont="1" applyFill="1" applyBorder="1" applyAlignment="1">
      <alignment vertical="top" wrapText="1"/>
    </xf>
    <xf numFmtId="1" fontId="4" fillId="4" borderId="24" xfId="0" applyNumberFormat="1" applyFont="1" applyFill="1" applyBorder="1" applyAlignment="1">
      <alignment horizontal="center"/>
    </xf>
    <xf numFmtId="0" fontId="7" fillId="0" borderId="24" xfId="0" applyFont="1" applyBorder="1" applyAlignment="1">
      <alignment horizontal="center" vertical="center" wrapText="1"/>
    </xf>
    <xf numFmtId="3" fontId="7" fillId="4" borderId="24" xfId="0" quotePrefix="1" applyNumberFormat="1" applyFont="1" applyFill="1" applyBorder="1" applyAlignment="1">
      <alignment horizontal="center" vertical="center" wrapText="1"/>
    </xf>
    <xf numFmtId="4" fontId="4" fillId="4" borderId="24" xfId="0" applyNumberFormat="1" applyFont="1" applyFill="1" applyBorder="1" applyAlignment="1">
      <alignment horizontal="right" vertical="center" wrapText="1"/>
    </xf>
    <xf numFmtId="3" fontId="3" fillId="4" borderId="29" xfId="0" applyNumberFormat="1" applyFont="1" applyFill="1" applyBorder="1" applyAlignment="1">
      <alignment vertical="top" wrapText="1"/>
    </xf>
    <xf numFmtId="0" fontId="4" fillId="0" borderId="1" xfId="0" applyFont="1" applyFill="1" applyBorder="1" applyAlignment="1">
      <alignment horizontal="center" vertical="center" wrapText="1"/>
    </xf>
    <xf numFmtId="0" fontId="5" fillId="6" borderId="1" xfId="0" applyFont="1" applyFill="1" applyBorder="1" applyAlignment="1">
      <alignment horizontal="left" vertical="center" wrapText="1"/>
    </xf>
    <xf numFmtId="164" fontId="4" fillId="2" borderId="1" xfId="3" applyNumberFormat="1" applyFont="1" applyFill="1" applyBorder="1" applyAlignment="1">
      <alignment horizontal="right" vertical="center" wrapText="1"/>
    </xf>
    <xf numFmtId="0" fontId="5" fillId="0" borderId="0" xfId="0" applyFont="1" applyFill="1" applyAlignment="1"/>
    <xf numFmtId="1" fontId="4" fillId="0" borderId="0" xfId="0" applyNumberFormat="1" applyFont="1" applyFill="1" applyAlignment="1">
      <alignment horizontal="center" vertical="center" wrapText="1"/>
    </xf>
    <xf numFmtId="1" fontId="5" fillId="0" borderId="0" xfId="0" applyNumberFormat="1" applyFont="1" applyFill="1" applyAlignment="1">
      <alignment horizontal="center" vertical="center" wrapText="1"/>
    </xf>
    <xf numFmtId="1" fontId="9" fillId="0" borderId="1" xfId="0" quotePrefix="1" applyNumberFormat="1" applyFont="1" applyFill="1" applyBorder="1" applyAlignment="1">
      <alignment horizontal="center" vertical="center" wrapText="1"/>
    </xf>
    <xf numFmtId="1" fontId="8" fillId="0" borderId="10" xfId="0" quotePrefix="1" applyNumberFormat="1" applyFont="1" applyFill="1" applyBorder="1" applyAlignment="1">
      <alignment horizontal="center" vertical="center" wrapText="1"/>
    </xf>
    <xf numFmtId="1" fontId="11" fillId="0" borderId="18" xfId="0" applyNumberFormat="1"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1" fontId="4" fillId="0" borderId="1" xfId="0" quotePrefix="1" applyNumberFormat="1" applyFont="1" applyFill="1" applyBorder="1" applyAlignment="1">
      <alignment horizontal="center" vertical="center" wrapText="1"/>
    </xf>
    <xf numFmtId="0" fontId="4" fillId="0" borderId="32" xfId="0" quotePrefix="1" applyFont="1" applyFill="1" applyBorder="1" applyAlignment="1">
      <alignment horizontal="center" vertical="center" wrapText="1"/>
    </xf>
    <xf numFmtId="1" fontId="4" fillId="0" borderId="16" xfId="0" quotePrefix="1" applyNumberFormat="1" applyFont="1" applyFill="1" applyBorder="1" applyAlignment="1">
      <alignment horizontal="center" vertical="center" wrapText="1"/>
    </xf>
    <xf numFmtId="1" fontId="4" fillId="0" borderId="1" xfId="0" applyNumberFormat="1" applyFont="1" applyFill="1" applyBorder="1" applyAlignment="1">
      <alignment horizontal="center" vertical="center" wrapText="1"/>
    </xf>
    <xf numFmtId="0" fontId="4" fillId="0" borderId="24" xfId="0" applyFont="1" applyFill="1" applyBorder="1" applyAlignment="1">
      <alignment horizontal="center" vertical="center" wrapText="1"/>
    </xf>
    <xf numFmtId="1" fontId="4" fillId="0" borderId="2" xfId="0" quotePrefix="1" applyNumberFormat="1" applyFont="1" applyFill="1" applyBorder="1" applyAlignment="1">
      <alignment horizontal="center" vertical="center" wrapText="1"/>
    </xf>
    <xf numFmtId="0" fontId="4" fillId="0" borderId="6" xfId="0" quotePrefix="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4" fillId="0" borderId="0" xfId="0" applyNumberFormat="1" applyFont="1" applyFill="1" applyBorder="1" applyAlignment="1">
      <alignment horizontal="center" vertical="center" wrapText="1"/>
    </xf>
    <xf numFmtId="1" fontId="9" fillId="0" borderId="17" xfId="0" applyNumberFormat="1" applyFont="1" applyFill="1" applyBorder="1" applyAlignment="1">
      <alignment horizontal="center" vertical="center" wrapText="1"/>
    </xf>
    <xf numFmtId="1" fontId="5" fillId="0" borderId="0" xfId="0" applyNumberFormat="1" applyFont="1" applyFill="1" applyAlignment="1">
      <alignment horizontal="right" vertical="center" wrapText="1"/>
    </xf>
    <xf numFmtId="9" fontId="40" fillId="4" borderId="24" xfId="0" applyNumberFormat="1" applyFont="1" applyFill="1" applyBorder="1" applyAlignment="1">
      <alignment horizontal="center" vertical="center" wrapText="1"/>
    </xf>
    <xf numFmtId="169" fontId="4" fillId="0" borderId="0" xfId="1" applyNumberFormat="1" applyFont="1" applyFill="1" applyAlignment="1">
      <alignment vertical="center" wrapText="1"/>
    </xf>
    <xf numFmtId="169" fontId="5" fillId="4" borderId="0" xfId="1" applyNumberFormat="1" applyFont="1" applyFill="1" applyAlignment="1">
      <alignment vertical="center" wrapText="1"/>
    </xf>
    <xf numFmtId="0" fontId="1" fillId="4" borderId="11" xfId="0" applyFont="1" applyFill="1" applyBorder="1" applyAlignment="1">
      <alignment horizontal="left" vertical="center" wrapText="1"/>
    </xf>
    <xf numFmtId="0" fontId="1" fillId="4" borderId="11" xfId="0" quotePrefix="1" applyFont="1" applyFill="1" applyBorder="1" applyAlignment="1">
      <alignment horizontal="justify" vertical="center" wrapText="1"/>
    </xf>
    <xf numFmtId="0" fontId="1" fillId="4" borderId="2" xfId="0" applyFont="1" applyFill="1" applyBorder="1" applyAlignment="1">
      <alignment horizontal="left" vertical="center" wrapText="1"/>
    </xf>
    <xf numFmtId="3" fontId="1" fillId="4" borderId="2" xfId="0" quotePrefix="1" applyNumberFormat="1" applyFont="1" applyFill="1" applyBorder="1" applyAlignment="1">
      <alignment horizontal="center" vertical="center" wrapText="1"/>
    </xf>
    <xf numFmtId="0" fontId="1" fillId="4" borderId="2" xfId="0" quotePrefix="1" applyFont="1" applyFill="1" applyBorder="1" applyAlignment="1">
      <alignment horizontal="justify" vertical="center" wrapText="1"/>
    </xf>
    <xf numFmtId="0" fontId="1" fillId="4" borderId="2" xfId="0" quotePrefix="1"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0" borderId="2" xfId="0" quotePrefix="1" applyFont="1" applyFill="1" applyBorder="1" applyAlignment="1">
      <alignment horizontal="center" vertical="center" wrapText="1"/>
    </xf>
    <xf numFmtId="0" fontId="0" fillId="6" borderId="0" xfId="0" applyFill="1"/>
    <xf numFmtId="0" fontId="4" fillId="17" borderId="2" xfId="0" quotePrefix="1" applyFont="1" applyFill="1" applyBorder="1" applyAlignment="1">
      <alignment horizontal="center" vertical="center" wrapText="1"/>
    </xf>
    <xf numFmtId="0" fontId="4" fillId="17" borderId="6" xfId="0" quotePrefix="1" applyFont="1" applyFill="1" applyBorder="1" applyAlignment="1">
      <alignment horizontal="center" vertical="center" wrapText="1"/>
    </xf>
    <xf numFmtId="0" fontId="4" fillId="17" borderId="2" xfId="0" applyFont="1" applyFill="1" applyBorder="1" applyAlignment="1">
      <alignment horizontal="left" vertical="center" wrapText="1"/>
    </xf>
    <xf numFmtId="0" fontId="7" fillId="17" borderId="2" xfId="0" applyFont="1" applyFill="1" applyBorder="1" applyAlignment="1">
      <alignment horizontal="center" vertical="center" wrapText="1"/>
    </xf>
    <xf numFmtId="0" fontId="5" fillId="17" borderId="2" xfId="0" applyFont="1" applyFill="1" applyBorder="1" applyAlignment="1">
      <alignment horizontal="left" vertical="center" wrapText="1"/>
    </xf>
    <xf numFmtId="0" fontId="4" fillId="17" borderId="2" xfId="0" quotePrefix="1" applyFont="1" applyFill="1" applyBorder="1" applyAlignment="1">
      <alignment horizontal="left" vertical="center" wrapText="1"/>
    </xf>
    <xf numFmtId="0" fontId="4" fillId="17" borderId="2" xfId="0" applyFont="1" applyFill="1" applyBorder="1" applyAlignment="1">
      <alignment horizontal="center" vertical="center" wrapText="1"/>
    </xf>
    <xf numFmtId="0" fontId="7" fillId="17" borderId="6" xfId="0" applyFont="1" applyFill="1" applyBorder="1" applyAlignment="1">
      <alignment horizontal="center" vertical="center" wrapText="1"/>
    </xf>
    <xf numFmtId="0" fontId="4" fillId="17" borderId="13" xfId="0" applyFont="1" applyFill="1" applyBorder="1" applyAlignment="1">
      <alignment horizontal="center" vertical="center" wrapText="1"/>
    </xf>
    <xf numFmtId="167" fontId="4" fillId="17" borderId="2" xfId="3" applyNumberFormat="1" applyFont="1" applyFill="1" applyBorder="1" applyAlignment="1">
      <alignment horizontal="center" vertical="center" wrapText="1"/>
    </xf>
    <xf numFmtId="3" fontId="4" fillId="17" borderId="2" xfId="3" applyNumberFormat="1" applyFont="1" applyFill="1" applyBorder="1" applyAlignment="1">
      <alignment horizontal="right" vertical="center" wrapText="1"/>
    </xf>
    <xf numFmtId="9" fontId="4" fillId="17" borderId="2" xfId="0" applyNumberFormat="1" applyFont="1" applyFill="1" applyBorder="1" applyAlignment="1">
      <alignment horizontal="center" vertical="center" wrapText="1"/>
    </xf>
    <xf numFmtId="165" fontId="4" fillId="17" borderId="2" xfId="0" applyNumberFormat="1" applyFont="1" applyFill="1" applyBorder="1" applyAlignment="1">
      <alignment horizontal="right" vertical="center" wrapText="1"/>
    </xf>
    <xf numFmtId="3" fontId="4" fillId="17" borderId="2" xfId="0" applyNumberFormat="1" applyFont="1" applyFill="1" applyBorder="1" applyAlignment="1">
      <alignment horizontal="center" vertical="center" wrapText="1"/>
    </xf>
    <xf numFmtId="3" fontId="4" fillId="17" borderId="2" xfId="0" applyNumberFormat="1" applyFont="1" applyFill="1" applyBorder="1" applyAlignment="1">
      <alignment horizontal="right" vertical="center" wrapText="1"/>
    </xf>
    <xf numFmtId="3" fontId="5" fillId="17" borderId="2" xfId="0" applyNumberFormat="1" applyFont="1" applyFill="1" applyBorder="1" applyAlignment="1">
      <alignment horizontal="right" vertical="center" wrapText="1"/>
    </xf>
    <xf numFmtId="167" fontId="5" fillId="17" borderId="2" xfId="0" applyNumberFormat="1" applyFont="1" applyFill="1" applyBorder="1" applyAlignment="1">
      <alignment horizontal="right" vertical="center" wrapText="1"/>
    </xf>
    <xf numFmtId="9" fontId="40" fillId="17" borderId="2" xfId="0" applyNumberFormat="1" applyFont="1" applyFill="1" applyBorder="1" applyAlignment="1">
      <alignment horizontal="center" vertical="center" wrapText="1"/>
    </xf>
    <xf numFmtId="167" fontId="5" fillId="17" borderId="2" xfId="0" applyNumberFormat="1" applyFont="1" applyFill="1" applyBorder="1" applyAlignment="1">
      <alignment horizontal="center" vertical="center" wrapText="1"/>
    </xf>
    <xf numFmtId="3" fontId="4" fillId="17" borderId="6" xfId="0" applyNumberFormat="1" applyFont="1" applyFill="1" applyBorder="1" applyAlignment="1">
      <alignment horizontal="center" vertical="center" wrapText="1"/>
    </xf>
    <xf numFmtId="0" fontId="3" fillId="17" borderId="3" xfId="0" applyFont="1" applyFill="1" applyBorder="1" applyAlignment="1">
      <alignment horizontal="left" vertical="top" wrapText="1"/>
    </xf>
    <xf numFmtId="169" fontId="4" fillId="4" borderId="0" xfId="0" applyNumberFormat="1" applyFont="1" applyFill="1" applyAlignment="1">
      <alignment vertical="center" wrapText="1"/>
    </xf>
    <xf numFmtId="0" fontId="1" fillId="0" borderId="0" xfId="0" quotePrefix="1" applyFont="1" applyAlignment="1">
      <alignment horizontal="center"/>
    </xf>
    <xf numFmtId="0" fontId="40" fillId="0" borderId="0" xfId="0" applyFont="1"/>
    <xf numFmtId="0" fontId="1" fillId="0" borderId="0" xfId="0" applyFont="1"/>
    <xf numFmtId="0" fontId="1" fillId="4" borderId="11" xfId="0" applyFont="1" applyFill="1" applyBorder="1" applyAlignment="1">
      <alignment horizontal="center" vertical="center" wrapText="1"/>
    </xf>
    <xf numFmtId="2" fontId="1" fillId="4" borderId="2" xfId="0" applyNumberFormat="1" applyFont="1" applyFill="1" applyBorder="1" applyAlignment="1">
      <alignment horizontal="center" vertical="center" wrapText="1"/>
    </xf>
    <xf numFmtId="0" fontId="1" fillId="4" borderId="11" xfId="0" quotePrefix="1" applyFont="1" applyFill="1" applyBorder="1" applyAlignment="1">
      <alignment horizontal="center" vertical="center" wrapText="1"/>
    </xf>
    <xf numFmtId="3" fontId="4" fillId="11" borderId="2" xfId="0" applyNumberFormat="1" applyFont="1" applyFill="1" applyBorder="1" applyAlignment="1">
      <alignment horizontal="right" vertical="center" wrapText="1"/>
    </xf>
    <xf numFmtId="0" fontId="1" fillId="4" borderId="31" xfId="0" applyFont="1" applyFill="1" applyBorder="1" applyAlignment="1">
      <alignment horizontal="left" vertical="center" wrapText="1"/>
    </xf>
    <xf numFmtId="3" fontId="4" fillId="2" borderId="9" xfId="0" applyNumberFormat="1" applyFont="1" applyFill="1" applyBorder="1" applyAlignment="1">
      <alignment horizontal="center" vertical="center" wrapText="1"/>
    </xf>
    <xf numFmtId="0" fontId="8" fillId="2" borderId="8" xfId="0" applyFont="1" applyFill="1" applyBorder="1" applyAlignment="1">
      <alignment horizontal="left" vertical="top" wrapText="1"/>
    </xf>
    <xf numFmtId="3" fontId="8" fillId="2" borderId="8" xfId="3" applyNumberFormat="1" applyFont="1" applyFill="1" applyBorder="1" applyAlignment="1">
      <alignment horizontal="left" vertical="top" wrapText="1"/>
    </xf>
    <xf numFmtId="0" fontId="5" fillId="2" borderId="1" xfId="0" applyFont="1" applyFill="1" applyBorder="1" applyAlignment="1">
      <alignment horizontal="left" vertical="center" wrapText="1"/>
    </xf>
    <xf numFmtId="4" fontId="4" fillId="17" borderId="31" xfId="0" applyNumberFormat="1" applyFont="1" applyFill="1" applyBorder="1" applyAlignment="1">
      <alignment horizontal="center" vertical="center" wrapText="1"/>
    </xf>
    <xf numFmtId="1" fontId="4" fillId="0" borderId="9" xfId="0" quotePrefix="1" applyNumberFormat="1" applyFont="1" applyFill="1" applyBorder="1" applyAlignment="1">
      <alignment horizontal="center" vertical="center" wrapText="1"/>
    </xf>
    <xf numFmtId="0" fontId="1" fillId="4" borderId="0" xfId="0" applyFont="1" applyFill="1" applyAlignment="1">
      <alignment vertical="center" wrapText="1"/>
    </xf>
    <xf numFmtId="1" fontId="4" fillId="4" borderId="13" xfId="0" applyNumberFormat="1" applyFont="1" applyFill="1" applyBorder="1" applyAlignment="1">
      <alignment horizontal="center" vertical="center" wrapText="1"/>
    </xf>
    <xf numFmtId="1" fontId="4" fillId="4" borderId="24" xfId="0" quotePrefix="1" applyNumberFormat="1" applyFont="1" applyFill="1" applyBorder="1" applyAlignment="1">
      <alignment horizontal="center" vertical="center"/>
    </xf>
    <xf numFmtId="0" fontId="5" fillId="4" borderId="11" xfId="0" applyFont="1" applyFill="1" applyBorder="1" applyAlignment="1">
      <alignment horizontal="center" vertical="center" wrapText="1"/>
    </xf>
    <xf numFmtId="1" fontId="4" fillId="4" borderId="11" xfId="0" applyNumberFormat="1" applyFont="1" applyFill="1" applyBorder="1" applyAlignment="1">
      <alignment horizontal="center" vertical="center"/>
    </xf>
    <xf numFmtId="3" fontId="7" fillId="4" borderId="11" xfId="0" quotePrefix="1" applyNumberFormat="1" applyFont="1" applyFill="1" applyBorder="1" applyAlignment="1">
      <alignment horizontal="center" vertical="center" wrapText="1"/>
    </xf>
    <xf numFmtId="4" fontId="4" fillId="4" borderId="11" xfId="3" applyNumberFormat="1" applyFont="1" applyFill="1" applyBorder="1" applyAlignment="1">
      <alignment horizontal="center" vertical="center" wrapText="1"/>
    </xf>
    <xf numFmtId="0" fontId="39" fillId="4" borderId="2" xfId="0" applyFont="1" applyFill="1" applyBorder="1" applyAlignment="1">
      <alignment horizontal="center" vertical="center" wrapText="1"/>
    </xf>
    <xf numFmtId="0" fontId="5" fillId="4" borderId="24" xfId="0" applyFont="1" applyFill="1" applyBorder="1" applyAlignment="1">
      <alignment horizontal="left" vertical="center" wrapText="1"/>
    </xf>
    <xf numFmtId="0" fontId="4" fillId="4" borderId="24" xfId="0" quotePrefix="1" applyFont="1" applyFill="1" applyBorder="1" applyAlignment="1">
      <alignment horizontal="left" vertical="center" wrapText="1"/>
    </xf>
    <xf numFmtId="167" fontId="5" fillId="4" borderId="24" xfId="0" applyNumberFormat="1" applyFont="1" applyFill="1" applyBorder="1" applyAlignment="1">
      <alignment horizontal="center" vertical="center" wrapText="1"/>
    </xf>
    <xf numFmtId="167" fontId="5" fillId="4" borderId="7" xfId="0" applyNumberFormat="1" applyFont="1" applyFill="1" applyBorder="1" applyAlignment="1">
      <alignment horizontal="right" vertical="center" wrapText="1"/>
    </xf>
    <xf numFmtId="49" fontId="4" fillId="4" borderId="6" xfId="0" quotePrefix="1" applyNumberFormat="1" applyFont="1" applyFill="1" applyBorder="1" applyAlignment="1">
      <alignment horizontal="center" vertical="center" wrapText="1"/>
    </xf>
    <xf numFmtId="1" fontId="9" fillId="4" borderId="2" xfId="0" quotePrefix="1" applyNumberFormat="1" applyFont="1" applyFill="1" applyBorder="1" applyAlignment="1">
      <alignment horizontal="center" vertical="center"/>
    </xf>
    <xf numFmtId="1" fontId="4" fillId="13" borderId="2" xfId="0" quotePrefix="1" applyNumberFormat="1" applyFont="1" applyFill="1" applyBorder="1" applyAlignment="1">
      <alignment horizontal="center" vertical="center" wrapText="1"/>
    </xf>
    <xf numFmtId="2" fontId="4" fillId="13" borderId="2" xfId="0" applyNumberFormat="1" applyFont="1" applyFill="1" applyBorder="1" applyAlignment="1">
      <alignment horizontal="center" vertical="center" wrapText="1"/>
    </xf>
    <xf numFmtId="0" fontId="8" fillId="13" borderId="0" xfId="0" applyFont="1" applyFill="1" applyBorder="1" applyAlignment="1">
      <alignment horizontal="left" vertical="center" wrapText="1"/>
    </xf>
    <xf numFmtId="0" fontId="4" fillId="13" borderId="0" xfId="0" applyFont="1" applyFill="1" applyAlignment="1">
      <alignment vertical="center" wrapText="1"/>
    </xf>
    <xf numFmtId="3" fontId="1" fillId="4" borderId="11" xfId="0" quotePrefix="1" applyNumberFormat="1" applyFont="1" applyFill="1" applyBorder="1" applyAlignment="1">
      <alignment horizontal="center" vertical="center" wrapText="1"/>
    </xf>
    <xf numFmtId="9" fontId="4" fillId="4" borderId="31" xfId="0" applyNumberFormat="1" applyFont="1" applyFill="1" applyBorder="1" applyAlignment="1">
      <alignment horizontal="center" vertical="center" wrapText="1"/>
    </xf>
    <xf numFmtId="0" fontId="1" fillId="0" borderId="0" xfId="0" applyFont="1" applyFill="1" applyAlignment="1">
      <alignment horizontal="center" vertical="center" wrapText="1"/>
    </xf>
    <xf numFmtId="0" fontId="1" fillId="4" borderId="31" xfId="0" quotePrefix="1" applyFont="1" applyFill="1" applyBorder="1" applyAlignment="1">
      <alignment horizontal="center" vertical="center" wrapText="1"/>
    </xf>
    <xf numFmtId="9" fontId="4" fillId="4" borderId="31" xfId="4" quotePrefix="1" applyFont="1" applyFill="1" applyBorder="1" applyAlignment="1">
      <alignment horizontal="center" vertical="center" wrapText="1"/>
    </xf>
    <xf numFmtId="167" fontId="4" fillId="4" borderId="31" xfId="0" applyNumberFormat="1" applyFont="1" applyFill="1" applyBorder="1" applyAlignment="1">
      <alignment horizontal="center" vertical="center" wrapText="1"/>
    </xf>
    <xf numFmtId="0" fontId="1" fillId="4" borderId="31" xfId="0" quotePrefix="1" applyFont="1" applyFill="1" applyBorder="1" applyAlignment="1">
      <alignment horizontal="justify"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0" fontId="5" fillId="2" borderId="39" xfId="0" applyFont="1" applyFill="1" applyBorder="1" applyAlignment="1">
      <alignment horizontal="centerContinuous" vertical="center" wrapText="1"/>
    </xf>
    <xf numFmtId="0" fontId="5" fillId="2" borderId="0" xfId="0" applyFont="1" applyFill="1" applyBorder="1" applyAlignment="1">
      <alignment vertical="center" wrapText="1"/>
    </xf>
    <xf numFmtId="0" fontId="5" fillId="2" borderId="0" xfId="0" applyFont="1" applyFill="1" applyBorder="1" applyAlignment="1">
      <alignment horizontal="centerContinuous" vertical="center" wrapText="1"/>
    </xf>
    <xf numFmtId="0" fontId="5" fillId="2" borderId="1" xfId="0" applyFont="1" applyFill="1" applyBorder="1" applyAlignment="1">
      <alignment horizontal="centerContinuous" vertical="center" wrapText="1"/>
    </xf>
    <xf numFmtId="0" fontId="5" fillId="5" borderId="1" xfId="0" applyFont="1" applyFill="1" applyBorder="1" applyAlignment="1">
      <alignment vertical="center" wrapText="1"/>
    </xf>
    <xf numFmtId="0" fontId="5" fillId="5" borderId="1" xfId="0" applyFont="1" applyFill="1" applyBorder="1" applyAlignment="1">
      <alignment horizontal="centerContinuous" vertical="center" wrapText="1"/>
    </xf>
    <xf numFmtId="0" fontId="5" fillId="5" borderId="16" xfId="0" applyFont="1" applyFill="1" applyBorder="1" applyAlignment="1">
      <alignment horizontal="left" vertical="center"/>
    </xf>
    <xf numFmtId="0" fontId="5" fillId="2" borderId="1" xfId="0" applyFont="1" applyFill="1" applyBorder="1" applyAlignment="1">
      <alignment horizontal="left" vertical="center"/>
    </xf>
    <xf numFmtId="0" fontId="5" fillId="5" borderId="1" xfId="0" applyFont="1" applyFill="1" applyBorder="1" applyAlignment="1">
      <alignment horizontal="left" vertical="center"/>
    </xf>
    <xf numFmtId="0" fontId="5" fillId="2" borderId="9" xfId="0" applyFont="1" applyFill="1" applyBorder="1" applyAlignment="1">
      <alignment horizontal="left" vertical="center"/>
    </xf>
    <xf numFmtId="0" fontId="0" fillId="4" borderId="0" xfId="0" applyFill="1"/>
    <xf numFmtId="0" fontId="4" fillId="13" borderId="31" xfId="0" quotePrefix="1" applyFont="1" applyFill="1" applyBorder="1" applyAlignment="1">
      <alignment horizontal="center" vertical="center" wrapText="1"/>
    </xf>
    <xf numFmtId="0" fontId="1" fillId="13" borderId="31" xfId="0" applyFont="1" applyFill="1" applyBorder="1" applyAlignment="1">
      <alignment horizontal="left" vertical="center" wrapText="1"/>
    </xf>
    <xf numFmtId="0" fontId="7" fillId="13" borderId="31" xfId="0" applyFont="1" applyFill="1" applyBorder="1" applyAlignment="1">
      <alignment horizontal="center" vertical="center" wrapText="1"/>
    </xf>
    <xf numFmtId="0" fontId="5" fillId="13" borderId="31" xfId="0" applyFont="1" applyFill="1" applyBorder="1" applyAlignment="1">
      <alignment horizontal="left" vertical="center" wrapText="1"/>
    </xf>
    <xf numFmtId="0" fontId="4" fillId="13" borderId="31" xfId="0" quotePrefix="1" applyFont="1" applyFill="1" applyBorder="1" applyAlignment="1">
      <alignment horizontal="left" vertical="center" wrapText="1"/>
    </xf>
    <xf numFmtId="0" fontId="4" fillId="13" borderId="31" xfId="0" applyFont="1" applyFill="1" applyBorder="1" applyAlignment="1">
      <alignment horizontal="center" vertical="center" wrapText="1"/>
    </xf>
    <xf numFmtId="167" fontId="4" fillId="13" borderId="31" xfId="3" applyNumberFormat="1" applyFont="1" applyFill="1" applyBorder="1" applyAlignment="1">
      <alignment horizontal="center" vertical="center" wrapText="1"/>
    </xf>
    <xf numFmtId="3" fontId="4" fillId="13" borderId="31" xfId="3" applyNumberFormat="1" applyFont="1" applyFill="1" applyBorder="1" applyAlignment="1">
      <alignment horizontal="right" vertical="center" wrapText="1"/>
    </xf>
    <xf numFmtId="3" fontId="4" fillId="13" borderId="31" xfId="0" applyNumberFormat="1" applyFont="1" applyFill="1" applyBorder="1" applyAlignment="1">
      <alignment horizontal="center" vertical="center" wrapText="1"/>
    </xf>
    <xf numFmtId="3" fontId="4" fillId="13" borderId="31" xfId="0" applyNumberFormat="1" applyFont="1" applyFill="1" applyBorder="1" applyAlignment="1">
      <alignment horizontal="right" vertical="center" wrapText="1"/>
    </xf>
    <xf numFmtId="4" fontId="4" fillId="13" borderId="31" xfId="0" applyNumberFormat="1" applyFont="1" applyFill="1" applyBorder="1" applyAlignment="1">
      <alignment horizontal="center" vertical="center" wrapText="1"/>
    </xf>
    <xf numFmtId="3" fontId="5" fillId="13" borderId="31" xfId="0" applyNumberFormat="1" applyFont="1" applyFill="1" applyBorder="1" applyAlignment="1">
      <alignment horizontal="right" vertical="center" wrapText="1"/>
    </xf>
    <xf numFmtId="0" fontId="4" fillId="13" borderId="32" xfId="0" quotePrefix="1" applyFont="1" applyFill="1" applyBorder="1" applyAlignment="1">
      <alignment horizontal="center" vertical="center" wrapText="1"/>
    </xf>
    <xf numFmtId="0" fontId="4" fillId="13" borderId="31" xfId="0" applyFont="1" applyFill="1" applyBorder="1" applyAlignment="1">
      <alignment horizontal="left" vertical="center" wrapText="1"/>
    </xf>
    <xf numFmtId="0" fontId="7" fillId="13" borderId="6" xfId="0" applyFont="1" applyFill="1" applyBorder="1" applyAlignment="1">
      <alignment horizontal="center" vertical="center" wrapText="1"/>
    </xf>
    <xf numFmtId="0" fontId="4" fillId="13" borderId="33" xfId="0" applyFont="1" applyFill="1" applyBorder="1" applyAlignment="1">
      <alignment horizontal="center" vertical="center" wrapText="1"/>
    </xf>
    <xf numFmtId="2" fontId="4" fillId="13" borderId="31" xfId="0" applyNumberFormat="1" applyFont="1" applyFill="1" applyBorder="1" applyAlignment="1">
      <alignment horizontal="center" vertical="center" wrapText="1"/>
    </xf>
    <xf numFmtId="167" fontId="5" fillId="13" borderId="31" xfId="0" applyNumberFormat="1" applyFont="1" applyFill="1" applyBorder="1" applyAlignment="1">
      <alignment horizontal="right" vertical="center" wrapText="1"/>
    </xf>
    <xf numFmtId="9" fontId="40" fillId="13" borderId="31" xfId="0" applyNumberFormat="1" applyFont="1" applyFill="1" applyBorder="1" applyAlignment="1">
      <alignment horizontal="center" vertical="center" wrapText="1"/>
    </xf>
    <xf numFmtId="0" fontId="3" fillId="13" borderId="15" xfId="0" applyFont="1" applyFill="1" applyBorder="1" applyAlignment="1">
      <alignment horizontal="left" vertical="top" wrapText="1"/>
    </xf>
    <xf numFmtId="3" fontId="4" fillId="13" borderId="28" xfId="0" applyNumberFormat="1" applyFont="1" applyFill="1" applyBorder="1" applyAlignment="1">
      <alignment horizontal="center" vertical="center" wrapText="1"/>
    </xf>
    <xf numFmtId="0" fontId="4" fillId="13" borderId="6" xfId="0" applyFont="1" applyFill="1" applyBorder="1" applyAlignment="1">
      <alignment horizontal="left" vertical="center" wrapText="1"/>
    </xf>
    <xf numFmtId="0" fontId="4" fillId="13" borderId="13" xfId="0" applyFont="1" applyFill="1" applyBorder="1" applyAlignment="1">
      <alignment horizontal="left" vertical="center" wrapText="1"/>
    </xf>
    <xf numFmtId="49" fontId="4" fillId="13" borderId="6" xfId="0" applyNumberFormat="1" applyFont="1" applyFill="1" applyBorder="1" applyAlignment="1">
      <alignment horizontal="center" vertical="center" wrapText="1"/>
    </xf>
    <xf numFmtId="1" fontId="4" fillId="13" borderId="2" xfId="0" applyNumberFormat="1" applyFont="1" applyFill="1" applyBorder="1" applyAlignment="1">
      <alignment horizontal="center" vertical="center"/>
    </xf>
    <xf numFmtId="0" fontId="3" fillId="13" borderId="3" xfId="0" applyFont="1" applyFill="1" applyBorder="1" applyAlignment="1">
      <alignment horizontal="left" vertical="center" wrapText="1"/>
    </xf>
    <xf numFmtId="0" fontId="4" fillId="13" borderId="13" xfId="0" applyFont="1" applyFill="1" applyBorder="1" applyAlignment="1">
      <alignment horizontal="center" vertical="center" wrapText="1"/>
    </xf>
    <xf numFmtId="0" fontId="39" fillId="13" borderId="2" xfId="0" applyFont="1" applyFill="1" applyBorder="1" applyAlignment="1">
      <alignment horizontal="center" vertical="center" wrapText="1"/>
    </xf>
    <xf numFmtId="1" fontId="4" fillId="13" borderId="2" xfId="0" quotePrefix="1" applyNumberFormat="1" applyFont="1" applyFill="1" applyBorder="1" applyAlignment="1">
      <alignment horizontal="center"/>
    </xf>
    <xf numFmtId="0" fontId="7" fillId="13" borderId="2" xfId="0" quotePrefix="1" applyFont="1" applyFill="1" applyBorder="1" applyAlignment="1">
      <alignment horizontal="center" vertical="center" wrapText="1"/>
    </xf>
    <xf numFmtId="4" fontId="4" fillId="13" borderId="2" xfId="0" applyNumberFormat="1" applyFont="1" applyFill="1" applyBorder="1" applyAlignment="1">
      <alignment horizontal="right" vertical="center" wrapText="1"/>
    </xf>
    <xf numFmtId="49" fontId="5" fillId="13" borderId="6" xfId="0" quotePrefix="1" applyNumberFormat="1" applyFont="1" applyFill="1" applyBorder="1" applyAlignment="1">
      <alignment horizontal="center" vertical="center" wrapText="1"/>
    </xf>
    <xf numFmtId="0" fontId="7" fillId="13" borderId="2" xfId="0" quotePrefix="1" applyNumberFormat="1" applyFont="1" applyFill="1" applyBorder="1" applyAlignment="1">
      <alignment horizontal="center" vertical="center" wrapText="1"/>
    </xf>
    <xf numFmtId="0" fontId="3" fillId="13" borderId="3" xfId="0" applyFont="1" applyFill="1" applyBorder="1" applyAlignment="1">
      <alignment vertical="top" wrapText="1"/>
    </xf>
    <xf numFmtId="0" fontId="4" fillId="13" borderId="7" xfId="0" applyFont="1" applyFill="1" applyBorder="1" applyAlignment="1">
      <alignment horizontal="center" vertical="center" wrapText="1"/>
    </xf>
    <xf numFmtId="1" fontId="4" fillId="12" borderId="2" xfId="0" quotePrefix="1" applyNumberFormat="1" applyFont="1" applyFill="1" applyBorder="1" applyAlignment="1">
      <alignment horizontal="center" vertical="center"/>
    </xf>
    <xf numFmtId="2" fontId="4" fillId="12" borderId="2" xfId="0" applyNumberFormat="1" applyFont="1" applyFill="1" applyBorder="1" applyAlignment="1">
      <alignment horizontal="center" vertical="center" wrapText="1"/>
    </xf>
    <xf numFmtId="0" fontId="1" fillId="0" borderId="11" xfId="0" quotePrefix="1" applyFont="1" applyFill="1" applyBorder="1" applyAlignment="1">
      <alignment horizontal="center" vertical="center" wrapText="1"/>
    </xf>
    <xf numFmtId="0" fontId="5" fillId="0" borderId="0" xfId="0" applyFont="1" applyFill="1" applyAlignment="1">
      <alignment horizontal="center"/>
    </xf>
    <xf numFmtId="3" fontId="5" fillId="0" borderId="0" xfId="0" applyNumberFormat="1" applyFont="1" applyFill="1" applyAlignment="1">
      <alignment horizontal="center"/>
    </xf>
    <xf numFmtId="3" fontId="31" fillId="0" borderId="0" xfId="0" applyNumberFormat="1" applyFont="1" applyFill="1" applyAlignment="1">
      <alignment horizontal="center"/>
    </xf>
    <xf numFmtId="3" fontId="15" fillId="0" borderId="0" xfId="0" applyNumberFormat="1" applyFont="1" applyFill="1" applyAlignment="1">
      <alignment horizontal="center" wrapText="1"/>
    </xf>
    <xf numFmtId="0" fontId="5" fillId="0" borderId="0" xfId="0" applyFont="1" applyFill="1" applyAlignment="1">
      <alignment horizontal="left"/>
    </xf>
    <xf numFmtId="0" fontId="6" fillId="0" borderId="0" xfId="0" applyFont="1" applyFill="1" applyAlignment="1">
      <alignment horizontal="center"/>
    </xf>
    <xf numFmtId="0" fontId="9" fillId="0"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12" xfId="0" applyFont="1" applyFill="1" applyBorder="1" applyAlignment="1">
      <alignment horizontal="center" vertical="center" wrapText="1"/>
    </xf>
    <xf numFmtId="1" fontId="9" fillId="6"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3" fontId="9" fillId="15" borderId="1" xfId="3" applyNumberFormat="1" applyFont="1" applyFill="1" applyBorder="1" applyAlignment="1">
      <alignment horizontal="center" vertical="center" wrapText="1"/>
    </xf>
    <xf numFmtId="0" fontId="12" fillId="15" borderId="1" xfId="0" applyFont="1" applyFill="1" applyBorder="1" applyAlignment="1">
      <alignment horizontal="center" vertical="center" wrapText="1"/>
    </xf>
    <xf numFmtId="3" fontId="9" fillId="4" borderId="9" xfId="0" applyNumberFormat="1" applyFont="1" applyFill="1" applyBorder="1" applyAlignment="1">
      <alignment horizontal="center" vertical="center" wrapText="1"/>
    </xf>
    <xf numFmtId="3" fontId="9" fillId="4" borderId="39" xfId="0" applyNumberFormat="1" applyFont="1" applyFill="1" applyBorder="1" applyAlignment="1">
      <alignment horizontal="center" vertical="center" wrapText="1"/>
    </xf>
    <xf numFmtId="9" fontId="9" fillId="4" borderId="18" xfId="0" applyNumberFormat="1" applyFont="1" applyFill="1" applyBorder="1" applyAlignment="1">
      <alignment horizontal="center" vertical="center" wrapText="1"/>
    </xf>
    <xf numFmtId="9" fontId="9" fillId="4" borderId="12" xfId="0" applyNumberFormat="1" applyFont="1" applyFill="1" applyBorder="1" applyAlignment="1">
      <alignment horizontal="center" vertical="center" wrapText="1"/>
    </xf>
    <xf numFmtId="3" fontId="12" fillId="3" borderId="1" xfId="0" applyNumberFormat="1" applyFont="1" applyFill="1" applyBorder="1" applyAlignment="1">
      <alignment horizontal="center" vertical="center" wrapText="1"/>
    </xf>
    <xf numFmtId="3" fontId="12" fillId="4" borderId="18" xfId="0" applyNumberFormat="1" applyFont="1" applyFill="1" applyBorder="1" applyAlignment="1">
      <alignment horizontal="center" vertical="center" wrapText="1"/>
    </xf>
    <xf numFmtId="3" fontId="12" fillId="4" borderId="12" xfId="0" applyNumberFormat="1" applyFont="1" applyFill="1" applyBorder="1" applyAlignment="1">
      <alignment horizontal="center" vertical="center" wrapText="1"/>
    </xf>
    <xf numFmtId="3" fontId="11" fillId="0" borderId="1" xfId="0" applyNumberFormat="1" applyFont="1" applyFill="1" applyBorder="1" applyAlignment="1">
      <alignment horizontal="center" vertical="center" wrapText="1"/>
    </xf>
    <xf numFmtId="3" fontId="11" fillId="0" borderId="1" xfId="0" quotePrefix="1" applyNumberFormat="1" applyFont="1" applyFill="1" applyBorder="1" applyAlignment="1">
      <alignment horizontal="center" vertical="center" wrapText="1"/>
    </xf>
    <xf numFmtId="0" fontId="5" fillId="2" borderId="9"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167" fontId="12" fillId="4" borderId="1" xfId="0" applyNumberFormat="1"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4" borderId="18" xfId="3" applyNumberFormat="1" applyFont="1" applyFill="1" applyBorder="1" applyAlignment="1">
      <alignment horizontal="center" vertical="center" wrapText="1"/>
    </xf>
    <xf numFmtId="3" fontId="9" fillId="4" borderId="12" xfId="3" applyNumberFormat="1" applyFont="1" applyFill="1" applyBorder="1" applyAlignment="1">
      <alignment horizontal="center" vertical="center" wrapText="1"/>
    </xf>
    <xf numFmtId="3" fontId="9" fillId="6" borderId="18" xfId="3" applyNumberFormat="1" applyFont="1" applyFill="1" applyBorder="1" applyAlignment="1">
      <alignment horizontal="center" vertical="center" wrapText="1"/>
    </xf>
    <xf numFmtId="3" fontId="9" fillId="6" borderId="12" xfId="3" applyNumberFormat="1" applyFont="1" applyFill="1" applyBorder="1" applyAlignment="1">
      <alignment horizontal="center" vertical="center" wrapText="1"/>
    </xf>
    <xf numFmtId="0" fontId="5" fillId="5" borderId="27" xfId="0" applyFont="1" applyFill="1" applyBorder="1" applyAlignment="1">
      <alignment horizontal="left" vertical="center" wrapText="1"/>
    </xf>
    <xf numFmtId="0" fontId="5" fillId="2" borderId="35" xfId="0" applyFont="1" applyFill="1" applyBorder="1" applyAlignment="1">
      <alignment horizontal="left" vertical="center" wrapText="1"/>
    </xf>
    <xf numFmtId="3" fontId="12" fillId="0" borderId="1" xfId="0" applyNumberFormat="1" applyFont="1" applyFill="1" applyBorder="1" applyAlignment="1">
      <alignment horizontal="center" vertical="center" wrapText="1"/>
    </xf>
    <xf numFmtId="3" fontId="12" fillId="0" borderId="9" xfId="0" applyNumberFormat="1" applyFont="1" applyFill="1" applyBorder="1" applyAlignment="1">
      <alignment horizontal="center" vertical="center" wrapText="1"/>
    </xf>
    <xf numFmtId="3" fontId="12" fillId="0" borderId="8" xfId="0" applyNumberFormat="1" applyFont="1" applyFill="1" applyBorder="1" applyAlignment="1">
      <alignment horizontal="center" vertical="center" wrapText="1"/>
    </xf>
    <xf numFmtId="9" fontId="12" fillId="3" borderId="1" xfId="0" applyNumberFormat="1" applyFont="1" applyFill="1" applyBorder="1" applyAlignment="1">
      <alignment horizontal="center" vertical="center" wrapText="1"/>
    </xf>
    <xf numFmtId="0" fontId="5" fillId="2" borderId="23" xfId="0" applyFont="1" applyFill="1" applyBorder="1" applyAlignment="1">
      <alignment horizontal="left" vertical="center" wrapText="1"/>
    </xf>
    <xf numFmtId="0" fontId="5" fillId="2" borderId="20" xfId="0" applyFont="1" applyFill="1" applyBorder="1" applyAlignment="1">
      <alignment horizontal="left" vertical="center" wrapText="1"/>
    </xf>
    <xf numFmtId="0" fontId="5" fillId="5" borderId="6" xfId="0" applyFont="1" applyFill="1" applyBorder="1" applyAlignment="1">
      <alignment horizontal="left" vertical="center" wrapText="1"/>
    </xf>
    <xf numFmtId="0" fontId="5" fillId="5" borderId="13" xfId="0" applyFont="1" applyFill="1" applyBorder="1" applyAlignment="1">
      <alignment horizontal="left" vertical="center" wrapText="1"/>
    </xf>
    <xf numFmtId="0" fontId="5" fillId="5" borderId="3" xfId="0" applyFont="1" applyFill="1" applyBorder="1" applyAlignment="1">
      <alignment horizontal="left" vertical="center" wrapText="1"/>
    </xf>
    <xf numFmtId="0" fontId="31" fillId="0" borderId="0" xfId="0" applyFont="1" applyFill="1" applyAlignment="1">
      <alignment horizontal="center"/>
    </xf>
    <xf numFmtId="0" fontId="5" fillId="16" borderId="11" xfId="0" applyFont="1" applyFill="1" applyBorder="1" applyAlignment="1">
      <alignment horizontal="left" vertical="center" wrapText="1"/>
    </xf>
    <xf numFmtId="0" fontId="5" fillId="5" borderId="5" xfId="0" applyFont="1" applyFill="1" applyBorder="1" applyAlignment="1">
      <alignment horizontal="left" vertical="center" wrapText="1"/>
    </xf>
    <xf numFmtId="1" fontId="9" fillId="6" borderId="18" xfId="0" applyNumberFormat="1" applyFont="1" applyFill="1" applyBorder="1" applyAlignment="1">
      <alignment horizontal="center" vertical="center" wrapText="1"/>
    </xf>
    <xf numFmtId="1" fontId="9" fillId="6" borderId="12" xfId="0" applyNumberFormat="1" applyFont="1" applyFill="1" applyBorder="1" applyAlignment="1">
      <alignment horizontal="center" vertical="center" wrapText="1"/>
    </xf>
    <xf numFmtId="3" fontId="15" fillId="0" borderId="0" xfId="0" applyNumberFormat="1" applyFont="1" applyFill="1" applyAlignment="1">
      <alignment horizontal="center" vertical="center" wrapText="1"/>
    </xf>
    <xf numFmtId="0" fontId="6" fillId="0" borderId="0" xfId="0" applyFont="1" applyFill="1" applyAlignment="1">
      <alignment horizontal="center" vertical="center"/>
    </xf>
    <xf numFmtId="1" fontId="9" fillId="0" borderId="1" xfId="0" applyNumberFormat="1" applyFont="1" applyFill="1" applyBorder="1" applyAlignment="1">
      <alignment horizontal="center" vertical="center" wrapText="1"/>
    </xf>
    <xf numFmtId="0" fontId="19" fillId="0" borderId="0" xfId="0" applyFont="1" applyFill="1" applyAlignment="1">
      <alignment horizontal="center"/>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5" fillId="0" borderId="0" xfId="0" applyFont="1" applyFill="1" applyAlignment="1">
      <alignment horizontal="center"/>
    </xf>
    <xf numFmtId="0" fontId="43" fillId="0" borderId="0" xfId="0" applyFont="1" applyFill="1" applyBorder="1" applyAlignment="1">
      <alignment horizontal="left" vertical="center" wrapText="1"/>
    </xf>
    <xf numFmtId="0" fontId="23"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1" fillId="0" borderId="0" xfId="0" applyFont="1" applyFill="1" applyAlignment="1">
      <alignment horizontal="center"/>
    </xf>
    <xf numFmtId="0" fontId="5" fillId="0" borderId="0" xfId="0" applyFont="1" applyFill="1" applyAlignment="1">
      <alignment horizontal="center" vertical="center"/>
    </xf>
    <xf numFmtId="0" fontId="5" fillId="0" borderId="0" xfId="0" applyFont="1" applyAlignment="1">
      <alignment horizontal="center"/>
    </xf>
    <xf numFmtId="0" fontId="0" fillId="0" borderId="0" xfId="0" applyAlignment="1">
      <alignment horizontal="center"/>
    </xf>
  </cellXfs>
  <cellStyles count="5">
    <cellStyle name="Comma" xfId="1" builtinId="3"/>
    <cellStyle name="Normal" xfId="0" builtinId="0"/>
    <cellStyle name="Normal 2" xfId="2"/>
    <cellStyle name="Normal_Ke can Cap pho -PTTH" xfId="3"/>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36663" name="Line 2"/>
        <xdr:cNvSpPr>
          <a:spLocks noChangeShapeType="1"/>
        </xdr:cNvSpPr>
      </xdr:nvSpPr>
      <xdr:spPr bwMode="auto">
        <a:xfrm>
          <a:off x="183832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666750</xdr:colOff>
      <xdr:row>3</xdr:row>
      <xdr:rowOff>9525</xdr:rowOff>
    </xdr:from>
    <xdr:to>
      <xdr:col>3</xdr:col>
      <xdr:colOff>1400175</xdr:colOff>
      <xdr:row>3</xdr:row>
      <xdr:rowOff>9525</xdr:rowOff>
    </xdr:to>
    <xdr:sp macro="" textlink="">
      <xdr:nvSpPr>
        <xdr:cNvPr id="233646" name="Line 2"/>
        <xdr:cNvSpPr>
          <a:spLocks noChangeShapeType="1"/>
        </xdr:cNvSpPr>
      </xdr:nvSpPr>
      <xdr:spPr bwMode="auto">
        <a:xfrm>
          <a:off x="197167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40283" name="Line 2"/>
        <xdr:cNvSpPr>
          <a:spLocks noChangeShapeType="1"/>
        </xdr:cNvSpPr>
      </xdr:nvSpPr>
      <xdr:spPr bwMode="auto">
        <a:xfrm>
          <a:off x="1924050"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5524500" y="409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4" name="Straight Connector 3"/>
        <xdr:cNvCxnSpPr/>
      </xdr:nvCxnSpPr>
      <xdr:spPr>
        <a:xfrm>
          <a:off x="1552575" y="381000"/>
          <a:ext cx="1076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6" name="Straight Connector 5"/>
        <xdr:cNvCxnSpPr/>
      </xdr:nvCxnSpPr>
      <xdr:spPr>
        <a:xfrm>
          <a:off x="8151813" y="404813"/>
          <a:ext cx="17965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LIEUMAYCU\Quynh%20chung\Quynh%20Exel\2020\Luong\Co%20huu\Bang%20luong%20BC%20T06%20-%2020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LUONG_QUYNH\So%20tai%20khoan%20OCB.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yExcel\MyExcel.xla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ULIEUMAYCU/Quynh%20chung/Quynh%20Exel/2022/Luong/Co%20huu/Bang%20luong%20BC%20T05%20-%2020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cell r="C9" t="str">
            <v>0016100006544007</v>
          </cell>
        </row>
        <row r="10">
          <cell r="B10" t="str">
            <v>Đinh Văn Đệ</v>
          </cell>
          <cell r="C10" t="str">
            <v>0016100006699008</v>
          </cell>
        </row>
        <row r="11">
          <cell r="B11" t="str">
            <v>Đinh Hồng Minh</v>
          </cell>
          <cell r="C11" t="str">
            <v>0016100006543008</v>
          </cell>
        </row>
        <row r="12">
          <cell r="B12" t="str">
            <v>Châu Văn Bảo</v>
          </cell>
          <cell r="C12" t="str">
            <v>0016100006674008</v>
          </cell>
        </row>
        <row r="13">
          <cell r="B13" t="str">
            <v>Nguyễn Kính</v>
          </cell>
          <cell r="C13" t="str">
            <v>0016100006705008</v>
          </cell>
        </row>
        <row r="14">
          <cell r="B14" t="str">
            <v>Nguyễn Ngọc Trang</v>
          </cell>
          <cell r="C14" t="str">
            <v>0016100006546007</v>
          </cell>
        </row>
        <row r="15">
          <cell r="B15" t="str">
            <v>Nguyễn Thanh Lâm</v>
          </cell>
          <cell r="C15" t="str">
            <v>0016100006661003</v>
          </cell>
        </row>
        <row r="16">
          <cell r="B16" t="str">
            <v>Nguyễn Văn Tấn</v>
          </cell>
          <cell r="C16" t="str">
            <v>0016100006537008</v>
          </cell>
        </row>
        <row r="17">
          <cell r="B17" t="str">
            <v>Trương Việt Khánh Trang</v>
          </cell>
          <cell r="C17" t="str">
            <v>0016100006832002</v>
          </cell>
        </row>
        <row r="18">
          <cell r="B18" t="str">
            <v>Lê Quang Liêm</v>
          </cell>
          <cell r="C18" t="str">
            <v>0016100006806001</v>
          </cell>
        </row>
        <row r="19">
          <cell r="B19" t="str">
            <v>Lâm Viết Dũng</v>
          </cell>
          <cell r="C19" t="str">
            <v>0016100006550007</v>
          </cell>
        </row>
        <row r="20">
          <cell r="B20" t="str">
            <v>Nguyễn Trọng Nghĩa</v>
          </cell>
          <cell r="C20" t="str">
            <v>0016100006639008</v>
          </cell>
        </row>
        <row r="21">
          <cell r="B21" t="str">
            <v>Hồ Minh Lợi</v>
          </cell>
          <cell r="C21" t="str">
            <v>0016100006781009</v>
          </cell>
        </row>
        <row r="22">
          <cell r="B22" t="str">
            <v>Trần Kim Thu Liễu</v>
          </cell>
          <cell r="C22" t="str">
            <v>0016100006773006</v>
          </cell>
        </row>
        <row r="23">
          <cell r="B23" t="str">
            <v>Trang Thị Xuân Uyên</v>
          </cell>
          <cell r="C23" t="str">
            <v>0016100006567007</v>
          </cell>
        </row>
        <row r="24">
          <cell r="B24" t="str">
            <v>Lê Xuân Thiện</v>
          </cell>
          <cell r="C24" t="str">
            <v>0016100006766007</v>
          </cell>
        </row>
        <row r="25">
          <cell r="B25" t="str">
            <v>Phạm Minh Nghĩa</v>
          </cell>
          <cell r="C25" t="str">
            <v>0016100006660007</v>
          </cell>
        </row>
        <row r="26">
          <cell r="B26" t="str">
            <v>Nguyễn Thị Hoa</v>
          </cell>
          <cell r="C26" t="str">
            <v>0016100006769009</v>
          </cell>
        </row>
        <row r="27">
          <cell r="B27" t="str">
            <v>Võ Thị Anh Đào</v>
          </cell>
          <cell r="C27" t="str">
            <v>0016100006776005</v>
          </cell>
        </row>
        <row r="28">
          <cell r="B28" t="str">
            <v>Nguyễn Văn Thành</v>
          </cell>
          <cell r="C28" t="str">
            <v>0016100006495006</v>
          </cell>
        </row>
        <row r="29">
          <cell r="B29" t="str">
            <v>Hồ Văn Sĩ</v>
          </cell>
          <cell r="C29" t="str">
            <v>0016100006538007</v>
          </cell>
        </row>
        <row r="30">
          <cell r="B30" t="str">
            <v>Nguyễn Ngọc Hiệp</v>
          </cell>
          <cell r="C30" t="str">
            <v>0016100006783001</v>
          </cell>
        </row>
        <row r="31">
          <cell r="B31" t="str">
            <v>Huỳnh Ngọc Mai</v>
          </cell>
          <cell r="C31" t="str">
            <v>0016100006617004</v>
          </cell>
        </row>
        <row r="32">
          <cell r="B32" t="str">
            <v>Phạm Thị Thu Nga</v>
          </cell>
          <cell r="C32" t="str">
            <v>0016100006810009</v>
          </cell>
        </row>
        <row r="33">
          <cell r="B33" t="str">
            <v>Nguyễn Khoa</v>
          </cell>
          <cell r="C33" t="str">
            <v>0016100006509007</v>
          </cell>
        </row>
        <row r="34">
          <cell r="B34" t="str">
            <v>Võ Đắc Thịnh</v>
          </cell>
          <cell r="C34" t="str">
            <v>0016100006694009</v>
          </cell>
        </row>
        <row r="35">
          <cell r="B35" t="str">
            <v>Tạ Minh Cường</v>
          </cell>
          <cell r="C35" t="str">
            <v>0016100006592001</v>
          </cell>
        </row>
        <row r="36">
          <cell r="B36" t="str">
            <v>Nguyễn Chí Nhân</v>
          </cell>
          <cell r="C36" t="str">
            <v>0016100006689005</v>
          </cell>
        </row>
        <row r="37">
          <cell r="B37" t="str">
            <v>Nguyễn Vân Giang</v>
          </cell>
          <cell r="C37" t="str">
            <v>0016100006510005</v>
          </cell>
        </row>
        <row r="38">
          <cell r="B38" t="str">
            <v>Nguyễn Thị Huyền Nga</v>
          </cell>
          <cell r="C38" t="str">
            <v>0016100006615001</v>
          </cell>
        </row>
        <row r="39">
          <cell r="B39" t="str">
            <v>Phan Đức Long</v>
          </cell>
          <cell r="C39" t="str">
            <v>0016100006708007</v>
          </cell>
        </row>
        <row r="40">
          <cell r="B40" t="str">
            <v>Võ Cường</v>
          </cell>
          <cell r="C40" t="str">
            <v>0016100006611006</v>
          </cell>
        </row>
        <row r="41">
          <cell r="B41" t="str">
            <v>Hà Phước Tuấn</v>
          </cell>
          <cell r="C41" t="str">
            <v>0016100006736003</v>
          </cell>
        </row>
        <row r="42">
          <cell r="B42" t="str">
            <v>Nguyễn Minh Đức</v>
          </cell>
          <cell r="C42" t="str">
            <v>0016100006585005</v>
          </cell>
        </row>
        <row r="43">
          <cell r="B43" t="str">
            <v>Phan Văn Thành</v>
          </cell>
          <cell r="C43" t="str">
            <v>0016100006815008</v>
          </cell>
        </row>
        <row r="44">
          <cell r="B44" t="str">
            <v>Đặng Thị Nhật Minh</v>
          </cell>
          <cell r="C44" t="str">
            <v>0016100006728008</v>
          </cell>
        </row>
        <row r="45">
          <cell r="B45" t="str">
            <v>Nguyễn Đức Thắng</v>
          </cell>
          <cell r="C45" t="str">
            <v>0016100006613009</v>
          </cell>
        </row>
        <row r="46">
          <cell r="B46" t="str">
            <v>Nguyễn Hồng Đức</v>
          </cell>
          <cell r="C46" t="str">
            <v>0016100006644001</v>
          </cell>
        </row>
        <row r="47">
          <cell r="B47" t="str">
            <v>Nguyễn Thanh Vĩnh Phúc</v>
          </cell>
          <cell r="C47" t="str">
            <v>0016100006814004</v>
          </cell>
        </row>
        <row r="48">
          <cell r="B48" t="str">
            <v>Trần Công Tiến</v>
          </cell>
          <cell r="C48" t="str">
            <v>0016100006531002</v>
          </cell>
        </row>
        <row r="49">
          <cell r="B49" t="str">
            <v>Nguyễn Thanh Tú</v>
          </cell>
          <cell r="C49" t="str">
            <v>0016100006622008</v>
          </cell>
        </row>
        <row r="50">
          <cell r="B50" t="str">
            <v>Cao Thị Nga</v>
          </cell>
          <cell r="C50" t="str">
            <v>0016100006734008</v>
          </cell>
        </row>
        <row r="51">
          <cell r="B51" t="str">
            <v>Nguyễn Văn Yên</v>
          </cell>
          <cell r="C51" t="str">
            <v>0016100006530006</v>
          </cell>
        </row>
        <row r="52">
          <cell r="B52" t="str">
            <v>Vũ Quang Khải</v>
          </cell>
          <cell r="C52" t="str">
            <v>0016100006758007</v>
          </cell>
        </row>
        <row r="53">
          <cell r="B53" t="str">
            <v>Đỗ Thị Phương Khanh</v>
          </cell>
          <cell r="C53" t="str">
            <v>0016100006760001</v>
          </cell>
        </row>
        <row r="54">
          <cell r="B54" t="str">
            <v>Trương Thị Phương Hồng</v>
          </cell>
          <cell r="C54" t="str">
            <v>0016100006763008</v>
          </cell>
        </row>
        <row r="55">
          <cell r="B55" t="str">
            <v>Nguyễn Tứ Cảnh</v>
          </cell>
          <cell r="C55" t="str">
            <v>0016100006501006</v>
          </cell>
        </row>
        <row r="56">
          <cell r="B56" t="str">
            <v>Phan Thị Xuân Trang</v>
          </cell>
          <cell r="C56" t="str">
            <v>0016100006811005</v>
          </cell>
        </row>
        <row r="57">
          <cell r="B57" t="str">
            <v>Nguyễn Minh Đức</v>
          </cell>
          <cell r="C57" t="str">
            <v>0016100006590009</v>
          </cell>
        </row>
        <row r="58">
          <cell r="B58" t="str">
            <v>Nguyễn Thị Cẩm Thạch</v>
          </cell>
          <cell r="C58" t="str">
            <v>0016100006753005</v>
          </cell>
        </row>
        <row r="59">
          <cell r="B59" t="str">
            <v>Nguyễn Vũ Xuân Thì</v>
          </cell>
          <cell r="C59" t="str">
            <v>0016100006586001</v>
          </cell>
        </row>
        <row r="60">
          <cell r="B60" t="str">
            <v>Võ Thị Hồng Lan</v>
          </cell>
          <cell r="C60" t="str">
            <v>0016100006704004</v>
          </cell>
        </row>
        <row r="61">
          <cell r="B61" t="str">
            <v>Nguyễn Anh Tăng</v>
          </cell>
          <cell r="C61" t="str">
            <v>0016100006504005</v>
          </cell>
        </row>
        <row r="62">
          <cell r="B62" t="str">
            <v>Ngô Hoàng Anh</v>
          </cell>
          <cell r="C62" t="str">
            <v>0016100006593008</v>
          </cell>
        </row>
        <row r="63">
          <cell r="B63" t="str">
            <v>Tăng Cẩm Huê</v>
          </cell>
          <cell r="C63" t="str">
            <v>0016100006583002</v>
          </cell>
        </row>
        <row r="64">
          <cell r="B64" t="str">
            <v>Nguyễn Anh Kiệt</v>
          </cell>
          <cell r="C64" t="str">
            <v>0016100006588004</v>
          </cell>
        </row>
        <row r="65">
          <cell r="B65" t="str">
            <v>Nguyễn Tam Cương</v>
          </cell>
          <cell r="C65" t="str">
            <v>0016100006647008</v>
          </cell>
        </row>
        <row r="66">
          <cell r="B66" t="str">
            <v>Vương Thanh Thủy</v>
          </cell>
          <cell r="C66" t="str">
            <v>0016100006735007</v>
          </cell>
        </row>
        <row r="67">
          <cell r="B67" t="str">
            <v>Nguyễn Thị Dinh</v>
          </cell>
          <cell r="C67" t="str">
            <v>0016100006731001</v>
          </cell>
        </row>
        <row r="68">
          <cell r="B68" t="str">
            <v>Nguyễn Văn Đông</v>
          </cell>
          <cell r="C68" t="str">
            <v>0016100006688009</v>
          </cell>
        </row>
        <row r="69">
          <cell r="B69" t="str">
            <v>Đặng Thế Huân</v>
          </cell>
          <cell r="C69" t="str">
            <v>0016100006532009</v>
          </cell>
        </row>
        <row r="70">
          <cell r="B70" t="str">
            <v>Nguyễn Thị Thu Tâm</v>
          </cell>
          <cell r="C70" t="str">
            <v>0016100006618008</v>
          </cell>
        </row>
        <row r="71">
          <cell r="B71" t="str">
            <v>Nguyễn Thị Bảo Trân</v>
          </cell>
          <cell r="C71" t="str">
            <v>0016100006801007</v>
          </cell>
        </row>
        <row r="72">
          <cell r="B72" t="str">
            <v>Võ Anh Hào</v>
          </cell>
          <cell r="C72" t="str">
            <v>0016100006812001</v>
          </cell>
        </row>
        <row r="73">
          <cell r="B73" t="str">
            <v>Nguyễn Trần Thanh Nhàn</v>
          </cell>
          <cell r="C73" t="str">
            <v>0016100006582006</v>
          </cell>
        </row>
        <row r="74">
          <cell r="B74" t="str">
            <v>Trần Hiếu Trinh</v>
          </cell>
          <cell r="C74" t="str">
            <v>0016100006642009</v>
          </cell>
        </row>
        <row r="75">
          <cell r="B75" t="str">
            <v>Trần Trung Hiếu</v>
          </cell>
          <cell r="C75" t="str">
            <v>0016100006595008</v>
          </cell>
        </row>
        <row r="76">
          <cell r="B76" t="str">
            <v>Lê Tiến Đạt</v>
          </cell>
          <cell r="C76" t="str">
            <v>0016100006616008</v>
          </cell>
        </row>
        <row r="77">
          <cell r="B77" t="str">
            <v>Võ Thị Xuân Thơ</v>
          </cell>
          <cell r="C77" t="str">
            <v>0016100006527005</v>
          </cell>
        </row>
        <row r="78">
          <cell r="B78" t="str">
            <v>Nguyễn Tất Thắng</v>
          </cell>
          <cell r="C78" t="str">
            <v>0016100006715006</v>
          </cell>
        </row>
        <row r="79">
          <cell r="B79" t="str">
            <v>Đặng Đức Minh</v>
          </cell>
          <cell r="C79" t="str">
            <v>0016100006503009</v>
          </cell>
        </row>
        <row r="80">
          <cell r="B80" t="str">
            <v>Nguyễn Thị Tố Nga</v>
          </cell>
          <cell r="C80" t="str">
            <v>0016100006609001</v>
          </cell>
        </row>
        <row r="81">
          <cell r="B81" t="str">
            <v>Nguyễn Thị Ngọc Hiền</v>
          </cell>
          <cell r="C81" t="str">
            <v>0016100006641002</v>
          </cell>
        </row>
        <row r="82">
          <cell r="B82" t="str">
            <v>Lê Thế Huân</v>
          </cell>
          <cell r="C82" t="str">
            <v>0016100006596007</v>
          </cell>
        </row>
        <row r="83">
          <cell r="B83" t="str">
            <v>Mạnh Lê Hoàn</v>
          </cell>
          <cell r="C83" t="str">
            <v>0016100006529008</v>
          </cell>
        </row>
        <row r="84">
          <cell r="B84" t="str">
            <v>Nguyễn Văn Sơn</v>
          </cell>
          <cell r="C84" t="str">
            <v>0016100006614005</v>
          </cell>
        </row>
        <row r="85">
          <cell r="B85" t="str">
            <v>Nguyễn Thị Nhuận</v>
          </cell>
          <cell r="C85" t="str">
            <v>0016100006519002</v>
          </cell>
        </row>
        <row r="86">
          <cell r="B86" t="str">
            <v>Phạm Thị Thanh Thúy</v>
          </cell>
          <cell r="C86" t="str">
            <v>0016100006574003</v>
          </cell>
        </row>
        <row r="87">
          <cell r="B87" t="str">
            <v>Nguyễn Thanh Sơn</v>
          </cell>
          <cell r="C87" t="str">
            <v>0016100006721006</v>
          </cell>
        </row>
        <row r="88">
          <cell r="B88" t="str">
            <v>Võ Minh Quang</v>
          </cell>
          <cell r="C88" t="str">
            <v>0016100006759003</v>
          </cell>
        </row>
        <row r="89">
          <cell r="B89" t="str">
            <v>Hà Nhật Thanh</v>
          </cell>
          <cell r="C89" t="str">
            <v>0016100006717009</v>
          </cell>
        </row>
        <row r="90">
          <cell r="B90" t="str">
            <v>Nguyễn Hồng Phúc</v>
          </cell>
          <cell r="C90" t="str">
            <v>0016100007698008</v>
          </cell>
        </row>
        <row r="91">
          <cell r="B91" t="str">
            <v>Cao Xuân Giang</v>
          </cell>
          <cell r="C91" t="str">
            <v>0016100007755001</v>
          </cell>
        </row>
        <row r="92">
          <cell r="B92" t="str">
            <v>Lê Thị Phương Thảo</v>
          </cell>
          <cell r="C92" t="str">
            <v>0016100007787008</v>
          </cell>
        </row>
        <row r="93">
          <cell r="B93" t="str">
            <v>Nguyễn Lương Tâm</v>
          </cell>
          <cell r="C93" t="str">
            <v>0016100007699004</v>
          </cell>
        </row>
        <row r="94">
          <cell r="B94" t="str">
            <v>Trần Thế Sơn</v>
          </cell>
          <cell r="C94" t="str">
            <v>0016100007776009</v>
          </cell>
        </row>
        <row r="95">
          <cell r="B95" t="str">
            <v>Trần Giang Nam</v>
          </cell>
          <cell r="C95" t="str">
            <v>0016100012091006</v>
          </cell>
        </row>
        <row r="96">
          <cell r="B96" t="str">
            <v>Trần Văn Đông</v>
          </cell>
          <cell r="C96" t="str">
            <v>0016100012092002</v>
          </cell>
        </row>
        <row r="97">
          <cell r="B97" t="str">
            <v>Nguyễn Trọng Thạch</v>
          </cell>
          <cell r="C97" t="str">
            <v>0016100012450006</v>
          </cell>
        </row>
        <row r="98">
          <cell r="B98" t="str">
            <v>Nguyễn Khắc Huy</v>
          </cell>
          <cell r="C98" t="str">
            <v>0016100012451002</v>
          </cell>
        </row>
        <row r="99">
          <cell r="B99" t="str">
            <v xml:space="preserve">Trương Thị Hồng </v>
          </cell>
          <cell r="C99" t="str">
            <v>0016100006657006</v>
          </cell>
        </row>
        <row r="100">
          <cell r="B100" t="str">
            <v>Lý Văn Trung</v>
          </cell>
          <cell r="C100" t="str">
            <v>0016100018936008</v>
          </cell>
        </row>
        <row r="101">
          <cell r="B101" t="str">
            <v>Huỳnh Thị Minh Ly</v>
          </cell>
          <cell r="C101" t="str">
            <v>0016100006518006</v>
          </cell>
        </row>
        <row r="102">
          <cell r="B102" t="str">
            <v>Nguyễn Thị Minh Thùy</v>
          </cell>
          <cell r="C102" t="str">
            <v>0016100006516003</v>
          </cell>
        </row>
        <row r="103">
          <cell r="B103" t="str">
            <v>Võ Tấn Kiệt</v>
          </cell>
          <cell r="C103" t="str">
            <v>0016100006511001</v>
          </cell>
        </row>
        <row r="104">
          <cell r="B104" t="str">
            <v>Lương Xuân Thịnh</v>
          </cell>
          <cell r="C104" t="str">
            <v>0016100006540001</v>
          </cell>
        </row>
        <row r="105">
          <cell r="B105" t="str">
            <v>Nguyễn Anh Tuấn</v>
          </cell>
          <cell r="C105" t="str">
            <v>0016100006823003</v>
          </cell>
        </row>
        <row r="106">
          <cell r="B106" t="str">
            <v>Chung Trần Thế Vinh</v>
          </cell>
          <cell r="C106" t="str">
            <v>0016100006787007</v>
          </cell>
        </row>
        <row r="107">
          <cell r="B107" t="str">
            <v>Đỗ Tuấn Việt</v>
          </cell>
          <cell r="C107" t="str">
            <v>0016100006500007</v>
          </cell>
        </row>
        <row r="108">
          <cell r="B108" t="str">
            <v>Nguyễn Hữu Thiện</v>
          </cell>
          <cell r="C108" t="str">
            <v>0016100006563001</v>
          </cell>
        </row>
        <row r="109">
          <cell r="B109" t="str">
            <v>Nguyễn Văn Chiến</v>
          </cell>
          <cell r="C109" t="str">
            <v>0016100006548002</v>
          </cell>
        </row>
        <row r="110">
          <cell r="B110" t="str">
            <v>Nguyễn Thị Kim Dung</v>
          </cell>
          <cell r="C110" t="str">
            <v>0016100006682008</v>
          </cell>
        </row>
        <row r="111">
          <cell r="B111" t="str">
            <v>Nguyễn Ngọc Quỳnh</v>
          </cell>
          <cell r="C111" t="str">
            <v>0016100006730005</v>
          </cell>
        </row>
        <row r="112">
          <cell r="B112" t="str">
            <v>Lê Thị Hồng Vân</v>
          </cell>
          <cell r="C112" t="str">
            <v>0016100006777001</v>
          </cell>
        </row>
        <row r="113">
          <cell r="B113" t="str">
            <v>Nguyễn Thành Nam</v>
          </cell>
          <cell r="C113" t="str">
            <v>0016100006648007</v>
          </cell>
        </row>
        <row r="114">
          <cell r="B114" t="str">
            <v>Trần Đình Khải</v>
          </cell>
          <cell r="C114" t="str">
            <v>0016100006761008</v>
          </cell>
        </row>
        <row r="115">
          <cell r="B115" t="str">
            <v>Đinh Đồng Hiệp</v>
          </cell>
          <cell r="C115" t="str">
            <v>0016100006587008</v>
          </cell>
        </row>
        <row r="116">
          <cell r="B116" t="str">
            <v>Trần Vĩnh Xuyên</v>
          </cell>
          <cell r="C116" t="str">
            <v>0008100002629007</v>
          </cell>
        </row>
        <row r="117">
          <cell r="B117" t="str">
            <v>Phạm Quang Vũ</v>
          </cell>
          <cell r="C117" t="str">
            <v>0016100007211001</v>
          </cell>
        </row>
        <row r="118">
          <cell r="B118" t="str">
            <v>Nguyễn Ngọc Thọ</v>
          </cell>
          <cell r="C118" t="str">
            <v>0016100006630008</v>
          </cell>
        </row>
        <row r="119">
          <cell r="B119" t="str">
            <v>Hoàng Văn Viết</v>
          </cell>
          <cell r="C119" t="str">
            <v>0016100006558008</v>
          </cell>
        </row>
        <row r="120">
          <cell r="B120" t="str">
            <v>Quách Minh Thử</v>
          </cell>
          <cell r="C120" t="str">
            <v>0016100006528001</v>
          </cell>
        </row>
        <row r="121">
          <cell r="B121" t="str">
            <v>Vũ Đức Pháp</v>
          </cell>
          <cell r="C121" t="str">
            <v>0016100006779004</v>
          </cell>
        </row>
        <row r="122">
          <cell r="B122" t="str">
            <v>Nguyễn Hữu Mạnh</v>
          </cell>
          <cell r="C122" t="str">
            <v>0016100006632003</v>
          </cell>
        </row>
        <row r="123">
          <cell r="B123" t="str">
            <v>Trần Việt Khánh</v>
          </cell>
          <cell r="C123" t="str">
            <v>0016100006626003</v>
          </cell>
        </row>
        <row r="124">
          <cell r="B124" t="str">
            <v>Vũ Thị Thái Linh</v>
          </cell>
          <cell r="C124" t="str">
            <v>0016100006738006</v>
          </cell>
        </row>
        <row r="125">
          <cell r="B125" t="str">
            <v>Lê Thái Hùng</v>
          </cell>
          <cell r="C125" t="str">
            <v>0016100006619007</v>
          </cell>
        </row>
        <row r="126">
          <cell r="B126" t="str">
            <v>Đinh Thị Huyên</v>
          </cell>
          <cell r="C126" t="str">
            <v>0016100006727004</v>
          </cell>
        </row>
        <row r="127">
          <cell r="B127" t="str">
            <v>Phan Thị Thùy Trang</v>
          </cell>
          <cell r="C127" t="str">
            <v>0016100006726008</v>
          </cell>
        </row>
        <row r="128">
          <cell r="B128" t="str">
            <v>Nguyễn Văn Đôn</v>
          </cell>
          <cell r="C128" t="str">
            <v>0016100006750006</v>
          </cell>
        </row>
        <row r="129">
          <cell r="B129" t="str">
            <v>Trịnh Hoàng Hiệp</v>
          </cell>
          <cell r="C129" t="str">
            <v>0016100006608005</v>
          </cell>
        </row>
        <row r="130">
          <cell r="B130" t="str">
            <v>Phạm Quỳnh Như</v>
          </cell>
          <cell r="C130" t="str">
            <v>0016100006603003</v>
          </cell>
        </row>
        <row r="131">
          <cell r="B131" t="str">
            <v>Lữ Xuân Trang</v>
          </cell>
          <cell r="C131" t="str">
            <v>0016100006604007</v>
          </cell>
        </row>
        <row r="132">
          <cell r="B132" t="str">
            <v>Bùi Anh Tuấn</v>
          </cell>
          <cell r="C132" t="str">
            <v>0016100006800003</v>
          </cell>
        </row>
        <row r="133">
          <cell r="B133" t="str">
            <v>Hà Quốc Bảo</v>
          </cell>
          <cell r="C133" t="str">
            <v>0016100006696001</v>
          </cell>
        </row>
        <row r="134">
          <cell r="B134" t="str">
            <v>Nguyễn Trọng Phú</v>
          </cell>
          <cell r="C134" t="str">
            <v>0016100006505001</v>
          </cell>
        </row>
        <row r="135">
          <cell r="B135" t="str">
            <v>Bùi Đặng Hoàng Tuấn</v>
          </cell>
          <cell r="C135" t="str">
            <v>0016100006679007</v>
          </cell>
        </row>
        <row r="136">
          <cell r="B136" t="str">
            <v>Nguyễn Thị Ngọc Anh</v>
          </cell>
          <cell r="C136" t="str">
            <v>0016100006654007</v>
          </cell>
        </row>
        <row r="137">
          <cell r="B137" t="str">
            <v>Nguyễn Thị Kim Anh</v>
          </cell>
          <cell r="C137" t="str">
            <v>0016100006719001</v>
          </cell>
        </row>
        <row r="138">
          <cell r="B138" t="str">
            <v>Hồng Mộng Tuyết Dung</v>
          </cell>
          <cell r="C138" t="str">
            <v>0016100006512008</v>
          </cell>
        </row>
        <row r="139">
          <cell r="B139" t="str">
            <v>Trương Hữu Lộc</v>
          </cell>
          <cell r="C139" t="str">
            <v>0016100006562005</v>
          </cell>
        </row>
        <row r="140">
          <cell r="B140" t="str">
            <v>Ninh Đỗ Hiệp</v>
          </cell>
          <cell r="C140" t="str">
            <v>0016100006690003</v>
          </cell>
        </row>
        <row r="141">
          <cell r="B141" t="str">
            <v>Lương Minh Dũng</v>
          </cell>
          <cell r="C141" t="str">
            <v>0016100006792008</v>
          </cell>
        </row>
        <row r="142">
          <cell r="B142" t="str">
            <v>Nguyễn Văn Chì</v>
          </cell>
          <cell r="C142" t="str">
            <v>0016100006765003</v>
          </cell>
        </row>
        <row r="143">
          <cell r="B143" t="str">
            <v>Nguyễn Thị Vân</v>
          </cell>
          <cell r="C143" t="str">
            <v>0016100006864001</v>
          </cell>
        </row>
        <row r="144">
          <cell r="B144" t="str">
            <v>Mai Nguyễn Hoàng Yến</v>
          </cell>
          <cell r="C144" t="str">
            <v>0016100006652004</v>
          </cell>
        </row>
        <row r="145">
          <cell r="B145" t="str">
            <v>Trần Thị Diễm Thúy</v>
          </cell>
          <cell r="C145" t="str">
            <v>0016100006561009</v>
          </cell>
        </row>
        <row r="146">
          <cell r="B146" t="str">
            <v>Nguyễn Thị Hải Hà</v>
          </cell>
          <cell r="C146" t="str">
            <v>0016100006541008</v>
          </cell>
        </row>
        <row r="147">
          <cell r="B147" t="str">
            <v>Nguyễn Thị Tuyết</v>
          </cell>
          <cell r="C147" t="str">
            <v>0016100006733004</v>
          </cell>
        </row>
        <row r="148">
          <cell r="B148" t="str">
            <v>Lê Hồng Anh Tuấn</v>
          </cell>
          <cell r="C148" t="str">
            <v>0016100006493003</v>
          </cell>
        </row>
        <row r="149">
          <cell r="B149" t="str">
            <v>Nguyễn Tiến Việt Dũng</v>
          </cell>
          <cell r="C149" t="str">
            <v>0016100006678003</v>
          </cell>
        </row>
        <row r="150">
          <cell r="B150" t="str">
            <v>Thân Thị Nhung</v>
          </cell>
          <cell r="C150" t="str">
            <v>0016100006549009</v>
          </cell>
        </row>
        <row r="151">
          <cell r="B151" t="str">
            <v>Phạm Lê Đông Hưng</v>
          </cell>
          <cell r="C151" t="str">
            <v>0016100006514008</v>
          </cell>
        </row>
        <row r="152">
          <cell r="B152" t="str">
            <v>Nguyễn Thị Thanh Thảo</v>
          </cell>
          <cell r="C152" t="str">
            <v>0016100006521007</v>
          </cell>
        </row>
        <row r="153">
          <cell r="B153" t="str">
            <v>Thái Thị My Sa</v>
          </cell>
          <cell r="C153" t="str">
            <v>0016100006768002</v>
          </cell>
        </row>
        <row r="154">
          <cell r="B154" t="str">
            <v>Lưu Hoàng Hải Yến</v>
          </cell>
          <cell r="C154" t="str">
            <v>0016100006799005</v>
          </cell>
        </row>
        <row r="155">
          <cell r="B155" t="str">
            <v>Nguyễn Thị Thùy</v>
          </cell>
          <cell r="C155" t="str">
            <v>0016100006535008</v>
          </cell>
        </row>
        <row r="156">
          <cell r="B156" t="str">
            <v>Bùi Thị Dương</v>
          </cell>
          <cell r="C156" t="str">
            <v>0016100006716002</v>
          </cell>
        </row>
        <row r="157">
          <cell r="B157" t="str">
            <v>Trần Thị Phương Oanh</v>
          </cell>
          <cell r="C157" t="str">
            <v>0016100006576006</v>
          </cell>
        </row>
        <row r="158">
          <cell r="B158" t="str">
            <v>Phan Thị Ngọc Phượng</v>
          </cell>
          <cell r="C158" t="str">
            <v>0016100006635002</v>
          </cell>
        </row>
        <row r="159">
          <cell r="B159" t="str">
            <v>Vũ Thị Thu Thủy</v>
          </cell>
          <cell r="C159" t="str">
            <v>0016100006685007</v>
          </cell>
        </row>
        <row r="160">
          <cell r="B160" t="str">
            <v>Đỗ Thị Tâm</v>
          </cell>
          <cell r="C160" t="str">
            <v>0016100006552007</v>
          </cell>
        </row>
        <row r="161">
          <cell r="B161" t="str">
            <v>Giáp Thị Vượng</v>
          </cell>
          <cell r="C161" t="str">
            <v>0016100006526009</v>
          </cell>
        </row>
        <row r="162">
          <cell r="B162" t="str">
            <v>Trần Thị Ánh Phượng</v>
          </cell>
          <cell r="C162" t="str">
            <v>0016100006767006</v>
          </cell>
        </row>
        <row r="163">
          <cell r="B163" t="str">
            <v>Nguyễn Thị Hồng Thắm</v>
          </cell>
          <cell r="C163" t="str">
            <v>0016100006681004</v>
          </cell>
        </row>
        <row r="164">
          <cell r="B164" t="str">
            <v>Vũ Như Quỳnh</v>
          </cell>
          <cell r="C164" t="str">
            <v>0016100006771003</v>
          </cell>
        </row>
        <row r="165">
          <cell r="B165" t="str">
            <v>Mai Thu Hương</v>
          </cell>
          <cell r="C165" t="str">
            <v>0016100006498005</v>
          </cell>
        </row>
        <row r="166">
          <cell r="B166" t="str">
            <v>Võ Thị Lệ Trân</v>
          </cell>
          <cell r="C166" t="str">
            <v>0016100006524006</v>
          </cell>
        </row>
        <row r="167">
          <cell r="B167" t="str">
            <v>Trần Thị Minh Thoa</v>
          </cell>
          <cell r="C167" t="str">
            <v>0016100006515007</v>
          </cell>
        </row>
        <row r="168">
          <cell r="B168" t="str">
            <v>Đỗ Thị Ngọc</v>
          </cell>
          <cell r="C168" t="str">
            <v>0016100006513004</v>
          </cell>
        </row>
        <row r="169">
          <cell r="B169" t="str">
            <v>Giáp Văn Thịnh</v>
          </cell>
          <cell r="C169" t="str">
            <v>0016100006599006</v>
          </cell>
        </row>
        <row r="170">
          <cell r="B170" t="str">
            <v>Vũ Ngọc Quang</v>
          </cell>
          <cell r="C170" t="str">
            <v>0016100006807008</v>
          </cell>
        </row>
        <row r="171">
          <cell r="B171" t="str">
            <v>Đỗ Văn Trông</v>
          </cell>
          <cell r="C171" t="str">
            <v>0016100006564008</v>
          </cell>
        </row>
        <row r="172">
          <cell r="B172" t="str">
            <v>Nguyễn Thị Bích Liễu</v>
          </cell>
          <cell r="C172" t="str">
            <v>0016100006663006</v>
          </cell>
        </row>
        <row r="173">
          <cell r="B173" t="str">
            <v>Vương Hội Khánh</v>
          </cell>
          <cell r="C173" t="str">
            <v>0016100006542004</v>
          </cell>
        </row>
        <row r="174">
          <cell r="B174" t="str">
            <v>Nguyễn Cao Thắng</v>
          </cell>
          <cell r="C174" t="str">
            <v>0016100006770007</v>
          </cell>
        </row>
        <row r="175">
          <cell r="B175" t="str">
            <v>Phan Anh Tuấn Kiệt</v>
          </cell>
          <cell r="C175" t="str">
            <v>0016100006634006</v>
          </cell>
        </row>
        <row r="176">
          <cell r="B176" t="str">
            <v>Đặng Thái Sơn</v>
          </cell>
          <cell r="C176" t="str">
            <v>0016100006744006</v>
          </cell>
        </row>
        <row r="177">
          <cell r="B177" t="str">
            <v>Lê Xuân Thủy</v>
          </cell>
          <cell r="C177" t="str">
            <v>0016100006607009</v>
          </cell>
        </row>
        <row r="178">
          <cell r="B178" t="str">
            <v>Nguyễn Văn Minh</v>
          </cell>
          <cell r="C178" t="str">
            <v>0016100006508008</v>
          </cell>
        </row>
        <row r="179">
          <cell r="B179" t="str">
            <v>Lê Văn Bình</v>
          </cell>
          <cell r="C179" t="str">
            <v>0016100006772007</v>
          </cell>
        </row>
        <row r="180">
          <cell r="B180" t="str">
            <v>Mai Chiếm Tuấn</v>
          </cell>
          <cell r="C180" t="str">
            <v>0016100006762004</v>
          </cell>
        </row>
        <row r="181">
          <cell r="B181" t="str">
            <v>Nguyễn Duy Hải</v>
          </cell>
          <cell r="C181" t="str">
            <v>0016100006813008</v>
          </cell>
        </row>
        <row r="182">
          <cell r="B182" t="str">
            <v>Lưu Thị Thúy</v>
          </cell>
          <cell r="C182" t="str">
            <v>0016100006605006</v>
          </cell>
        </row>
        <row r="183">
          <cell r="B183" t="str">
            <v>Nguyễn Thị Thu Hà</v>
          </cell>
          <cell r="C183" t="str">
            <v>0016100006683007</v>
          </cell>
        </row>
        <row r="184">
          <cell r="B184" t="str">
            <v>Dương Minh Chung</v>
          </cell>
          <cell r="C184" t="str">
            <v>0016100006794003</v>
          </cell>
        </row>
        <row r="185">
          <cell r="B185" t="str">
            <v>Nguyễn Phú Tân</v>
          </cell>
          <cell r="C185" t="str">
            <v>0016100006701005</v>
          </cell>
        </row>
        <row r="186">
          <cell r="B186" t="str">
            <v>Đặng Thị Kiến Trúc</v>
          </cell>
          <cell r="C186" t="str">
            <v>0016100006620005</v>
          </cell>
        </row>
        <row r="187">
          <cell r="B187" t="str">
            <v>Đỗ Trọng Quý</v>
          </cell>
          <cell r="C187" t="str">
            <v>0016100006556005</v>
          </cell>
        </row>
        <row r="188">
          <cell r="B188" t="str">
            <v>Nguyễn Phương Hà</v>
          </cell>
          <cell r="C188" t="str">
            <v>0016100006775009</v>
          </cell>
        </row>
        <row r="189">
          <cell r="B189" t="str">
            <v>Nguyễn Nguyên Hoàng Ngọc Quyên</v>
          </cell>
          <cell r="C189" t="str">
            <v>0016100006612002</v>
          </cell>
        </row>
        <row r="190">
          <cell r="B190" t="str">
            <v>Vũ Hạnh Chiêu</v>
          </cell>
          <cell r="C190" t="str">
            <v>0016100006591005</v>
          </cell>
        </row>
        <row r="191">
          <cell r="B191" t="str">
            <v>Phạm Thị Vinh</v>
          </cell>
          <cell r="C191" t="str">
            <v>0016100006578009</v>
          </cell>
        </row>
        <row r="192">
          <cell r="B192" t="str">
            <v>Nguyễn Thị Thủy</v>
          </cell>
          <cell r="C192" t="str">
            <v>0016100006673001</v>
          </cell>
        </row>
        <row r="193">
          <cell r="B193" t="str">
            <v>Trịnh Khắc Vũ</v>
          </cell>
          <cell r="C193" t="str">
            <v>0016100006625007</v>
          </cell>
        </row>
        <row r="194">
          <cell r="B194" t="str">
            <v>Trần Thị Hồng Thu</v>
          </cell>
          <cell r="C194" t="str">
            <v>0016100006109009</v>
          </cell>
        </row>
        <row r="195">
          <cell r="B195" t="str">
            <v>Lê Nguyễn Mỹ Trâm</v>
          </cell>
          <cell r="C195" t="str">
            <v>0016100006789007</v>
          </cell>
        </row>
        <row r="196">
          <cell r="B196" t="str">
            <v>Trần Thị Thu Hà</v>
          </cell>
          <cell r="C196" t="str">
            <v>0016100006711008</v>
          </cell>
        </row>
        <row r="197">
          <cell r="B197" t="str">
            <v>Huỳnh Thị Mai</v>
          </cell>
          <cell r="C197" t="str">
            <v>0016100006539003</v>
          </cell>
        </row>
        <row r="198">
          <cell r="B198" t="str">
            <v>Ngô Phong Cường</v>
          </cell>
          <cell r="C198" t="str">
            <v>0016100006555009</v>
          </cell>
        </row>
        <row r="199">
          <cell r="B199" t="str">
            <v>Nguyễn Thanh Vũ</v>
          </cell>
          <cell r="C199" t="str">
            <v>0016100006752009</v>
          </cell>
        </row>
        <row r="200">
          <cell r="B200" t="str">
            <v>Nguyễn Sanh Cường</v>
          </cell>
          <cell r="C200" t="str">
            <v>0016100006791004</v>
          </cell>
        </row>
        <row r="201">
          <cell r="B201" t="str">
            <v>Lê Quý Hưng Quốc</v>
          </cell>
          <cell r="C201" t="str">
            <v>0016100006629002</v>
          </cell>
        </row>
        <row r="202">
          <cell r="B202" t="str">
            <v>Nguyễn Cao Phong</v>
          </cell>
          <cell r="C202" t="str">
            <v>0016100006774002</v>
          </cell>
        </row>
        <row r="203">
          <cell r="B203" t="str">
            <v>Nguyễn Thị Thanh Tú</v>
          </cell>
          <cell r="C203" t="str">
            <v>0016100006621001</v>
          </cell>
        </row>
        <row r="204">
          <cell r="B204" t="str">
            <v>Nguyễn Mạnh Phương</v>
          </cell>
          <cell r="C204" t="str">
            <v>0016100006624008</v>
          </cell>
        </row>
        <row r="205">
          <cell r="B205" t="str">
            <v>Nguyễn Thị Khánh Thư</v>
          </cell>
          <cell r="C205" t="str">
            <v>0016100006809008</v>
          </cell>
        </row>
        <row r="206">
          <cell r="B206" t="str">
            <v>Triệu Phú Nguyên</v>
          </cell>
          <cell r="C206" t="str">
            <v>0016100006740008</v>
          </cell>
        </row>
        <row r="207">
          <cell r="B207" t="str">
            <v>Dương Ngọc Vọng</v>
          </cell>
          <cell r="C207" t="str">
            <v>0016100006749008</v>
          </cell>
        </row>
        <row r="208">
          <cell r="B208" t="str">
            <v>Nguyễn Thành Đức</v>
          </cell>
          <cell r="C208" t="str">
            <v>0016100006743007</v>
          </cell>
        </row>
        <row r="209">
          <cell r="B209" t="str">
            <v>Lư Thị Yến Vũ</v>
          </cell>
          <cell r="C209" t="str">
            <v>0016100006793007</v>
          </cell>
        </row>
        <row r="210">
          <cell r="B210" t="str">
            <v>Bùi Văn Dũng</v>
          </cell>
          <cell r="C210" t="str">
            <v>0016100006816007</v>
          </cell>
        </row>
        <row r="211">
          <cell r="B211" t="str">
            <v>Lê Hồng Thái</v>
          </cell>
          <cell r="C211" t="str">
            <v>0016100006795007</v>
          </cell>
        </row>
        <row r="212">
          <cell r="B212" t="str">
            <v>Đỗ Thị Hải Yến</v>
          </cell>
          <cell r="C212" t="str">
            <v>0016100006798009</v>
          </cell>
        </row>
        <row r="213">
          <cell r="B213" t="str">
            <v>Trần Thị Ánh Tuyết</v>
          </cell>
          <cell r="C213" t="str">
            <v>0016100006623004</v>
          </cell>
        </row>
        <row r="214">
          <cell r="B214" t="str">
            <v>Nguyễn Thị Thu Hồng</v>
          </cell>
          <cell r="C214" t="str">
            <v>0016100006507004</v>
          </cell>
        </row>
        <row r="215">
          <cell r="B215" t="str">
            <v>Hà Như Mai</v>
          </cell>
          <cell r="C215" t="str">
            <v>0016100006732008</v>
          </cell>
        </row>
        <row r="216">
          <cell r="B216" t="str">
            <v>Đặng Ngọc Đoàn</v>
          </cell>
          <cell r="C216" t="str">
            <v>0016100006797002</v>
          </cell>
        </row>
        <row r="217">
          <cell r="B217" t="str">
            <v>Giang Phi Hùng</v>
          </cell>
          <cell r="C217" t="str">
            <v>0016100006686006</v>
          </cell>
        </row>
        <row r="218">
          <cell r="B218" t="str">
            <v>Cao Thị Hồng Thắm</v>
          </cell>
          <cell r="C218" t="str">
            <v>0016100006645008</v>
          </cell>
        </row>
        <row r="219">
          <cell r="B219" t="str">
            <v>Lê Thị Mai Hường</v>
          </cell>
          <cell r="C219" t="str">
            <v>0016100006579005</v>
          </cell>
        </row>
        <row r="220">
          <cell r="B220" t="str">
            <v>Lê Phi Trường</v>
          </cell>
          <cell r="C220" t="str">
            <v>0016100006751002</v>
          </cell>
        </row>
        <row r="221">
          <cell r="B221" t="str">
            <v>Nguyễn Bạch Cẩm Dung</v>
          </cell>
          <cell r="C221" t="str">
            <v>0016100006571004</v>
          </cell>
        </row>
        <row r="222">
          <cell r="B222" t="str">
            <v>Đỗ Thị Thơm</v>
          </cell>
          <cell r="C222" t="str">
            <v>0016100005288007</v>
          </cell>
        </row>
        <row r="223">
          <cell r="B223" t="str">
            <v>Nguyễn Ngọc Quỳnh</v>
          </cell>
          <cell r="C223" t="str">
            <v>0016100006808004</v>
          </cell>
        </row>
        <row r="224">
          <cell r="B224" t="str">
            <v>Nguyễn Tiến Dũng</v>
          </cell>
          <cell r="C224" t="str">
            <v>0016100006786008</v>
          </cell>
        </row>
        <row r="225">
          <cell r="B225" t="str">
            <v>Nguyễn Minh Thái</v>
          </cell>
          <cell r="C225" t="str">
            <v>0016100006742003</v>
          </cell>
        </row>
        <row r="226">
          <cell r="B226" t="str">
            <v>Phan Văn Hòa</v>
          </cell>
          <cell r="C226" t="str">
            <v>0016100006534001</v>
          </cell>
        </row>
        <row r="227">
          <cell r="B227" t="str">
            <v>Nguyễn Thùy Linh</v>
          </cell>
          <cell r="C227" t="str">
            <v>0016100006581007</v>
          </cell>
        </row>
        <row r="228">
          <cell r="B228" t="str">
            <v>Bùi Thành Dũng</v>
          </cell>
          <cell r="C228" t="str">
            <v>0016100006729007</v>
          </cell>
        </row>
        <row r="229">
          <cell r="B229" t="str">
            <v>Nguyễn Thái Bình</v>
          </cell>
          <cell r="C229" t="str">
            <v>0016100006695005</v>
          </cell>
        </row>
        <row r="230">
          <cell r="B230" t="str">
            <v>Nguyễn Thành Long</v>
          </cell>
          <cell r="C230" t="str">
            <v>0016100006788003</v>
          </cell>
        </row>
        <row r="231">
          <cell r="B231" t="str">
            <v>Nguyễn Thị Thủy</v>
          </cell>
          <cell r="C231" t="str">
            <v>0016100006756004</v>
          </cell>
        </row>
        <row r="232">
          <cell r="B232" t="str">
            <v>Lâm Thị Phương Thùy</v>
          </cell>
          <cell r="C232" t="str">
            <v>0016100006547006</v>
          </cell>
        </row>
        <row r="233">
          <cell r="B233" t="str">
            <v>Trần Thị Hương</v>
          </cell>
          <cell r="C233" t="str">
            <v>0016100006757008</v>
          </cell>
        </row>
        <row r="234">
          <cell r="B234" t="str">
            <v>Phạm Thị Lê Chi</v>
          </cell>
          <cell r="C234" t="str">
            <v>0016100006714007</v>
          </cell>
        </row>
        <row r="235">
          <cell r="B235" t="str">
            <v>Nguyễn Văn Danh</v>
          </cell>
          <cell r="C235" t="str">
            <v>0016100006628006</v>
          </cell>
        </row>
        <row r="236">
          <cell r="B236" t="str">
            <v>Huỳnh Thị Cẩm Hoa</v>
          </cell>
          <cell r="C236" t="str">
            <v>0016100006568003</v>
          </cell>
        </row>
        <row r="237">
          <cell r="B237" t="str">
            <v>Nguyễn Minh Đức Cường</v>
          </cell>
          <cell r="C237" t="str">
            <v>0016100006584009</v>
          </cell>
        </row>
        <row r="238">
          <cell r="B238" t="str">
            <v>Đỗ Huỳnh Thanh Phong</v>
          </cell>
          <cell r="C238" t="str">
            <v>0016100006610007</v>
          </cell>
        </row>
        <row r="239">
          <cell r="B239" t="str">
            <v>Kiều Trung Tín</v>
          </cell>
          <cell r="C239" t="str">
            <v>'0016100006821008</v>
          </cell>
        </row>
        <row r="240">
          <cell r="B240" t="str">
            <v>Trần Minh Tuấn</v>
          </cell>
          <cell r="C240" t="str">
            <v>0016100006693002</v>
          </cell>
        </row>
        <row r="241">
          <cell r="B241" t="str">
            <v>Trần Đình Khoa</v>
          </cell>
          <cell r="C241" t="str">
            <v>0016100006557001</v>
          </cell>
        </row>
        <row r="242">
          <cell r="B242" t="str">
            <v>Trần Quốc Duy</v>
          </cell>
          <cell r="C242" t="str">
            <v>0016100006741007</v>
          </cell>
        </row>
        <row r="243">
          <cell r="B243" t="str">
            <v>Huỳnh Quốc Dũng</v>
          </cell>
          <cell r="C243" t="str">
            <v>0016100007758008</v>
          </cell>
        </row>
        <row r="244">
          <cell r="B244" t="str">
            <v>Hồ Ngọc Chi</v>
          </cell>
          <cell r="C244" t="str">
            <v>0016100007759007</v>
          </cell>
        </row>
        <row r="245">
          <cell r="B245" t="str">
            <v>Nguyễn Thị Hiền</v>
          </cell>
          <cell r="C245" t="str">
            <v>0016100006631007</v>
          </cell>
        </row>
        <row r="246">
          <cell r="B246" t="str">
            <v>Hồ Văn Hóa</v>
          </cell>
          <cell r="C246" t="str">
            <v>0016100006577002</v>
          </cell>
        </row>
        <row r="247">
          <cell r="B247" t="str">
            <v>Nguyễn Ngọc Tuyên</v>
          </cell>
          <cell r="C247" t="str">
            <v>0016100006747005</v>
          </cell>
        </row>
        <row r="248">
          <cell r="B248" t="str">
            <v>Trần Minh Thông</v>
          </cell>
          <cell r="C248" t="str">
            <v>0016100006790008</v>
          </cell>
        </row>
        <row r="249">
          <cell r="B249" t="str">
            <v>Nguyễn Thanh Hùng</v>
          </cell>
          <cell r="C249" t="str">
            <v>0016100006697008</v>
          </cell>
        </row>
        <row r="250">
          <cell r="B250" t="str">
            <v>Bùi Thị Ngọc Sương</v>
          </cell>
          <cell r="C250" t="str">
            <v>0016100006572008</v>
          </cell>
        </row>
        <row r="251">
          <cell r="B251" t="str">
            <v>Lê Thị Thu Thảo</v>
          </cell>
          <cell r="C251" t="str">
            <v>0016100006606002</v>
          </cell>
        </row>
        <row r="252">
          <cell r="B252" t="str">
            <v>Bùi Ánh Tuyết</v>
          </cell>
          <cell r="C252" t="str">
            <v>0016100006554002</v>
          </cell>
        </row>
        <row r="253">
          <cell r="B253" t="str">
            <v>Trần Nguyên Bảo Trân</v>
          </cell>
          <cell r="C253" t="str">
            <v>0016100006643005</v>
          </cell>
        </row>
        <row r="254">
          <cell r="B254" t="str">
            <v>Hoàng Thị Trang</v>
          </cell>
          <cell r="C254" t="str">
            <v>0016100006646004</v>
          </cell>
        </row>
        <row r="255">
          <cell r="B255" t="str">
            <v>Dương Thị Hồng</v>
          </cell>
          <cell r="C255" t="str">
            <v>0016100006597003</v>
          </cell>
        </row>
        <row r="256">
          <cell r="B256" t="str">
            <v>Hoàng Phúc Bảo</v>
          </cell>
          <cell r="C256" t="str">
            <v>0016100006559004</v>
          </cell>
        </row>
        <row r="257">
          <cell r="B257" t="str">
            <v>Chế Vân Cầm</v>
          </cell>
          <cell r="C257" t="str">
            <v>0016100006573007</v>
          </cell>
        </row>
        <row r="258">
          <cell r="B258" t="str">
            <v>Dương Đức Kiên</v>
          </cell>
          <cell r="C258" t="str">
            <v>0016100006700009</v>
          </cell>
        </row>
        <row r="259">
          <cell r="B259" t="str">
            <v>Nguyễn Văn Hậu</v>
          </cell>
          <cell r="C259" t="str">
            <v>0016100006722002</v>
          </cell>
        </row>
        <row r="260">
          <cell r="B260" t="str">
            <v>Trần Văn Lượng</v>
          </cell>
          <cell r="C260" t="str">
            <v>'0016100006822007</v>
          </cell>
        </row>
        <row r="261">
          <cell r="B261" t="str">
            <v>Trần Hồng Thảo</v>
          </cell>
          <cell r="C261" t="str">
            <v>0016100006570008</v>
          </cell>
        </row>
        <row r="262">
          <cell r="B262" t="str">
            <v>Nguyễn Mỹ Tiên</v>
          </cell>
          <cell r="C262" t="str">
            <v>0016100006638001</v>
          </cell>
        </row>
        <row r="263">
          <cell r="B263" t="str">
            <v>Trần Thị Ngọc Dung</v>
          </cell>
          <cell r="C263" t="str">
            <v>0016100006602007</v>
          </cell>
        </row>
        <row r="264">
          <cell r="B264" t="str">
            <v>Cao Văn Tuấn</v>
          </cell>
          <cell r="C264" t="str">
            <v>0016100007189006</v>
          </cell>
        </row>
        <row r="265">
          <cell r="B265" t="str">
            <v>Nguyễn Thanh Giang</v>
          </cell>
          <cell r="C265" t="str">
            <v>0016100007212008</v>
          </cell>
        </row>
        <row r="266">
          <cell r="B266" t="str">
            <v>Đào Anh Tuấn</v>
          </cell>
          <cell r="C266" t="str">
            <v>0016100006601008</v>
          </cell>
        </row>
        <row r="267">
          <cell r="B267" t="str">
            <v>Võ Thị Kim Thư</v>
          </cell>
          <cell r="C267" t="str">
            <v>0016100006637005</v>
          </cell>
        </row>
        <row r="268">
          <cell r="B268" t="str">
            <v>Trần Thanh Trúc</v>
          </cell>
          <cell r="C268" t="str">
            <v>0016100006589008</v>
          </cell>
        </row>
        <row r="269">
          <cell r="B269" t="str">
            <v>Phạm Thị Thu Hiền</v>
          </cell>
          <cell r="C269" t="str">
            <v>0016100006702001</v>
          </cell>
        </row>
        <row r="270">
          <cell r="B270" t="str">
            <v>Trần Nam Anh</v>
          </cell>
          <cell r="C270" t="str">
            <v>0016100007188007</v>
          </cell>
        </row>
        <row r="271">
          <cell r="B271" t="str">
            <v>Đỗ Thị Ngát</v>
          </cell>
          <cell r="C271" t="str">
            <v>0016100006778008</v>
          </cell>
        </row>
        <row r="272">
          <cell r="B272" t="str">
            <v>Lê Minh Phong</v>
          </cell>
          <cell r="C272" t="str">
            <v>0016100006655003</v>
          </cell>
        </row>
        <row r="273">
          <cell r="B273" t="str">
            <v>Ngô Thanh Điền</v>
          </cell>
          <cell r="C273" t="str">
            <v>0016100006684003</v>
          </cell>
        </row>
        <row r="274">
          <cell r="B274" t="str">
            <v>Nguyễn Thùy Dương</v>
          </cell>
          <cell r="C274" t="str">
            <v>0016100006640006</v>
          </cell>
        </row>
        <row r="275">
          <cell r="B275" t="str">
            <v>Bùi Thị Lan Anh</v>
          </cell>
          <cell r="C275" t="str">
            <v>0016100006725001</v>
          </cell>
        </row>
        <row r="276">
          <cell r="B276" t="str">
            <v>Đặng Thu Hà</v>
          </cell>
          <cell r="C276" t="str">
            <v>0016100006633007</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sheetData sheetId="2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D"/>
      <sheetName val="BC"/>
      <sheetName val="Bang dieu chinh BC T01.2020"/>
    </sheetNames>
    <sheetDataSet>
      <sheetData sheetId="0"/>
      <sheetData sheetId="1">
        <row r="14">
          <cell r="D14" t="str">
            <v>Phạm Hữu Lộc</v>
          </cell>
          <cell r="E14" t="str">
            <v>Hiệu trưởng</v>
          </cell>
          <cell r="K14" t="str">
            <v>022874945</v>
          </cell>
          <cell r="L14" t="str">
            <v>1603215001126</v>
          </cell>
          <cell r="M14" t="str">
            <v>41200001203</v>
          </cell>
          <cell r="N14" t="str">
            <v>V.07.01.03</v>
          </cell>
          <cell r="O14" t="str">
            <v>A1</v>
          </cell>
          <cell r="P14">
            <v>9</v>
          </cell>
          <cell r="Q14">
            <v>4.9800000000000004</v>
          </cell>
          <cell r="R14">
            <v>3.5026999999999999</v>
          </cell>
          <cell r="S14">
            <v>10</v>
          </cell>
          <cell r="T14">
            <v>0.498</v>
          </cell>
          <cell r="U14">
            <v>742020</v>
          </cell>
          <cell r="V14">
            <v>0.9</v>
          </cell>
          <cell r="W14">
            <v>0.33</v>
          </cell>
          <cell r="X14">
            <v>2.1046999999999998</v>
          </cell>
        </row>
        <row r="15">
          <cell r="D15" t="str">
            <v>Đinh Văn Đệ</v>
          </cell>
          <cell r="E15" t="str">
            <v>Phó Hiệu trưởng</v>
          </cell>
          <cell r="K15" t="str">
            <v>025372149</v>
          </cell>
          <cell r="L15" t="str">
            <v>1603215001371</v>
          </cell>
          <cell r="M15" t="str">
            <v>50200000021</v>
          </cell>
          <cell r="N15" t="str">
            <v>V.07.01.03</v>
          </cell>
          <cell r="O15" t="str">
            <v>A1</v>
          </cell>
          <cell r="P15">
            <v>8</v>
          </cell>
          <cell r="Q15">
            <v>4.9800000000000004</v>
          </cell>
          <cell r="R15">
            <v>1.7223999999999999</v>
          </cell>
          <cell r="T15">
            <v>0</v>
          </cell>
          <cell r="U15">
            <v>0</v>
          </cell>
          <cell r="V15">
            <v>0.7</v>
          </cell>
          <cell r="W15">
            <v>0.18</v>
          </cell>
          <cell r="X15">
            <v>1.0224</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01.003</v>
          </cell>
          <cell r="O16" t="str">
            <v>A1</v>
          </cell>
          <cell r="P16">
            <v>8</v>
          </cell>
          <cell r="Q16">
            <v>4.9800000000000004</v>
          </cell>
          <cell r="R16">
            <v>0.7</v>
          </cell>
          <cell r="T16">
            <v>0</v>
          </cell>
          <cell r="U16">
            <v>0</v>
          </cell>
          <cell r="V16">
            <v>0.7</v>
          </cell>
          <cell r="X16">
            <v>0</v>
          </cell>
        </row>
        <row r="17">
          <cell r="D17" t="str">
            <v>Châu Văn Bảo</v>
          </cell>
          <cell r="E17" t="str">
            <v>Phó Hiệu trưởng</v>
          </cell>
          <cell r="K17" t="str">
            <v>025661153</v>
          </cell>
          <cell r="L17" t="str">
            <v>1603215001359</v>
          </cell>
          <cell r="M17" t="str">
            <v>50200000102</v>
          </cell>
          <cell r="N17" t="str">
            <v>V.07.01.03</v>
          </cell>
          <cell r="O17" t="str">
            <v>A1</v>
          </cell>
          <cell r="P17">
            <v>6</v>
          </cell>
          <cell r="Q17">
            <v>4.32</v>
          </cell>
          <cell r="R17">
            <v>1.5533999999999999</v>
          </cell>
          <cell r="T17">
            <v>0</v>
          </cell>
          <cell r="U17">
            <v>0</v>
          </cell>
          <cell r="V17">
            <v>0.7</v>
          </cell>
          <cell r="W17">
            <v>0.17</v>
          </cell>
          <cell r="X17">
            <v>0.85340000000000005</v>
          </cell>
        </row>
        <row r="18">
          <cell r="D18" t="str">
            <v>Nguyễn Kính</v>
          </cell>
          <cell r="E18" t="str">
            <v>TP. Kế hoạch - Tài chính</v>
          </cell>
          <cell r="K18" t="str">
            <v>023147526</v>
          </cell>
          <cell r="M18" t="str">
            <v>50800000800</v>
          </cell>
          <cell r="N18" t="str">
            <v>06.031</v>
          </cell>
          <cell r="O18" t="str">
            <v>A1</v>
          </cell>
          <cell r="P18">
            <v>9</v>
          </cell>
          <cell r="Q18">
            <v>4.9800000000000004</v>
          </cell>
          <cell r="R18">
            <v>3.0129000000000001</v>
          </cell>
          <cell r="S18">
            <v>33</v>
          </cell>
          <cell r="T18">
            <v>1.6434</v>
          </cell>
          <cell r="U18">
            <v>2448666</v>
          </cell>
          <cell r="V18">
            <v>0.45</v>
          </cell>
          <cell r="W18">
            <v>0.13</v>
          </cell>
          <cell r="X18">
            <v>0.91949999999999998</v>
          </cell>
        </row>
        <row r="19">
          <cell r="D19" t="str">
            <v>Nguyễn Ngọc Trang</v>
          </cell>
          <cell r="E19" t="str">
            <v>TP. QLKH &amp; HTQT</v>
          </cell>
          <cell r="F19" t="str">
            <v>Th.S</v>
          </cell>
          <cell r="G19" t="str">
            <v>x</v>
          </cell>
          <cell r="I19" t="str">
            <v>QL</v>
          </cell>
          <cell r="J19" t="str">
            <v>QL015</v>
          </cell>
          <cell r="K19" t="str">
            <v>021609851</v>
          </cell>
          <cell r="L19" t="str">
            <v>1603205182270</v>
          </cell>
          <cell r="M19" t="str">
            <v>11100000746</v>
          </cell>
          <cell r="N19" t="str">
            <v>V.07.01.02</v>
          </cell>
          <cell r="O19" t="str">
            <v>A2.1</v>
          </cell>
          <cell r="P19">
            <v>3</v>
          </cell>
          <cell r="Q19">
            <v>5.76</v>
          </cell>
          <cell r="R19">
            <v>2.1267</v>
          </cell>
          <cell r="T19">
            <v>0</v>
          </cell>
          <cell r="U19">
            <v>0</v>
          </cell>
          <cell r="V19">
            <v>0.45</v>
          </cell>
          <cell r="W19">
            <v>0.27</v>
          </cell>
          <cell r="X19">
            <v>1.6767000000000001</v>
          </cell>
        </row>
        <row r="20">
          <cell r="D20" t="str">
            <v>Lê Quang Liêm</v>
          </cell>
          <cell r="E20" t="str">
            <v>Trưởng phòng Quản trị - Dịch vụ</v>
          </cell>
          <cell r="K20" t="str">
            <v>024891110</v>
          </cell>
          <cell r="L20" t="str">
            <v>1603215001365</v>
          </cell>
          <cell r="M20" t="str">
            <v>50200000160</v>
          </cell>
          <cell r="N20" t="str">
            <v>V.07.01.03</v>
          </cell>
          <cell r="O20" t="str">
            <v>A1</v>
          </cell>
          <cell r="P20">
            <v>7</v>
          </cell>
          <cell r="Q20">
            <v>4.6500000000000004</v>
          </cell>
          <cell r="R20">
            <v>1.419</v>
          </cell>
          <cell r="T20">
            <v>0</v>
          </cell>
          <cell r="U20">
            <v>0</v>
          </cell>
          <cell r="V20">
            <v>0.45</v>
          </cell>
          <cell r="W20">
            <v>0.19</v>
          </cell>
          <cell r="X20">
            <v>0.96899999999999997</v>
          </cell>
        </row>
        <row r="21">
          <cell r="D21" t="str">
            <v>Lâm Viết Dũng</v>
          </cell>
          <cell r="E21" t="str">
            <v>Trưởng phòng Tổ chức - Hành chính - Tổng hợp</v>
          </cell>
          <cell r="K21" t="str">
            <v>079076001426</v>
          </cell>
          <cell r="M21" t="str">
            <v>50800000104</v>
          </cell>
          <cell r="N21" t="str">
            <v>V.07.01.03</v>
          </cell>
          <cell r="O21" t="str">
            <v>A1</v>
          </cell>
          <cell r="P21">
            <v>7</v>
          </cell>
          <cell r="Q21">
            <v>4.6500000000000004</v>
          </cell>
          <cell r="R21">
            <v>1.3680000000000001</v>
          </cell>
          <cell r="T21">
            <v>0</v>
          </cell>
          <cell r="U21">
            <v>0</v>
          </cell>
          <cell r="V21">
            <v>0.45</v>
          </cell>
          <cell r="W21">
            <v>0.18</v>
          </cell>
          <cell r="X21">
            <v>0.91800000000000004</v>
          </cell>
        </row>
        <row r="22">
          <cell r="D22" t="str">
            <v>Nguyễn Trọng Nghĩa</v>
          </cell>
          <cell r="E22" t="str">
            <v>Trưởng khoa Kinh tế</v>
          </cell>
          <cell r="K22" t="str">
            <v>079072011875</v>
          </cell>
          <cell r="M22" t="str">
            <v>50800000001</v>
          </cell>
          <cell r="N22" t="str">
            <v>V.07.01.03</v>
          </cell>
          <cell r="O22" t="str">
            <v>A1</v>
          </cell>
          <cell r="P22">
            <v>7</v>
          </cell>
          <cell r="Q22">
            <v>4.6500000000000004</v>
          </cell>
          <cell r="R22">
            <v>1.113</v>
          </cell>
          <cell r="T22">
            <v>0</v>
          </cell>
          <cell r="U22">
            <v>0</v>
          </cell>
          <cell r="V22">
            <v>0.45</v>
          </cell>
          <cell r="W22">
            <v>0.13</v>
          </cell>
          <cell r="X22">
            <v>0.66300000000000003</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V.08.01.03</v>
          </cell>
          <cell r="O23" t="str">
            <v>A1</v>
          </cell>
          <cell r="P23">
            <v>6</v>
          </cell>
          <cell r="Q23">
            <v>4.32</v>
          </cell>
          <cell r="R23">
            <v>0.45</v>
          </cell>
          <cell r="T23">
            <v>0</v>
          </cell>
          <cell r="U23">
            <v>0</v>
          </cell>
          <cell r="V23">
            <v>0.45</v>
          </cell>
          <cell r="X23">
            <v>0</v>
          </cell>
        </row>
        <row r="24">
          <cell r="D24" t="str">
            <v>Lê Xuân Thiện</v>
          </cell>
          <cell r="E24" t="str">
            <v>Trưởng phòng Thanh tra giáo dục - CT Sinh viên</v>
          </cell>
          <cell r="F24" t="str">
            <v>ĐH</v>
          </cell>
          <cell r="I24" t="str">
            <v>NV</v>
          </cell>
          <cell r="J24" t="str">
            <v>NV063</v>
          </cell>
          <cell r="K24" t="str">
            <v>048065000101</v>
          </cell>
          <cell r="L24" t="str">
            <v>1603205185958</v>
          </cell>
          <cell r="M24" t="str">
            <v>11100000742</v>
          </cell>
          <cell r="N24" t="str">
            <v>01.003</v>
          </cell>
          <cell r="O24" t="str">
            <v>A1</v>
          </cell>
          <cell r="P24">
            <v>8</v>
          </cell>
          <cell r="Q24">
            <v>4.9800000000000004</v>
          </cell>
          <cell r="R24">
            <v>0.45</v>
          </cell>
          <cell r="T24">
            <v>0</v>
          </cell>
          <cell r="U24">
            <v>0</v>
          </cell>
          <cell r="V24">
            <v>0.45</v>
          </cell>
          <cell r="X24">
            <v>0</v>
          </cell>
        </row>
        <row r="25">
          <cell r="D25" t="str">
            <v>Phạm Minh Nghĩa</v>
          </cell>
          <cell r="E25" t="str">
            <v>Phó Trưởng khoa Điện - Điện tử</v>
          </cell>
          <cell r="F25" t="str">
            <v>ĐH</v>
          </cell>
          <cell r="H25" t="str">
            <v>GV</v>
          </cell>
          <cell r="I25" t="str">
            <v>PPK</v>
          </cell>
          <cell r="J25" t="str">
            <v>PPK028</v>
          </cell>
          <cell r="K25" t="str">
            <v>079064008054</v>
          </cell>
          <cell r="L25" t="str">
            <v>1603205178896</v>
          </cell>
          <cell r="M25" t="str">
            <v>11100000702</v>
          </cell>
          <cell r="N25" t="str">
            <v>V.07.01.03</v>
          </cell>
          <cell r="O25" t="str">
            <v>A1</v>
          </cell>
          <cell r="P25">
            <v>9</v>
          </cell>
          <cell r="Q25">
            <v>4.9800000000000004</v>
          </cell>
          <cell r="R25">
            <v>2.7259000000000002</v>
          </cell>
          <cell r="S25">
            <v>12</v>
          </cell>
          <cell r="T25">
            <v>0.59760000000000002</v>
          </cell>
          <cell r="U25">
            <v>890424.00000000012</v>
          </cell>
          <cell r="V25">
            <v>0.35</v>
          </cell>
          <cell r="W25">
            <v>0.3</v>
          </cell>
          <cell r="X25">
            <v>1.7783</v>
          </cell>
        </row>
        <row r="26">
          <cell r="D26" t="str">
            <v>Nguyễn Văn Tấn</v>
          </cell>
          <cell r="E26" t="str">
            <v>TP. Tuyển sinh - Đào tạo</v>
          </cell>
          <cell r="F26" t="str">
            <v>Th.S</v>
          </cell>
          <cell r="I26" t="str">
            <v>QL</v>
          </cell>
          <cell r="J26" t="str">
            <v>QL012</v>
          </cell>
          <cell r="K26" t="str">
            <v>020505708</v>
          </cell>
          <cell r="L26" t="str">
            <v>1603205185675</v>
          </cell>
          <cell r="M26" t="str">
            <v>11100000732</v>
          </cell>
          <cell r="N26" t="str">
            <v>V.07.01.03</v>
          </cell>
          <cell r="O26" t="str">
            <v>A1</v>
          </cell>
          <cell r="P26">
            <v>9</v>
          </cell>
          <cell r="Q26">
            <v>4.9800000000000004</v>
          </cell>
          <cell r="R26">
            <v>0.89779999999999993</v>
          </cell>
          <cell r="S26">
            <v>11</v>
          </cell>
          <cell r="T26">
            <v>0.54779999999999995</v>
          </cell>
          <cell r="U26">
            <v>816222</v>
          </cell>
          <cell r="V26">
            <v>0.35</v>
          </cell>
          <cell r="X26">
            <v>0</v>
          </cell>
        </row>
        <row r="27">
          <cell r="D27" t="str">
            <v>Hồ Minh Lợi</v>
          </cell>
          <cell r="E27" t="str">
            <v>Phó trưởng phòng Thanh tra giáo dục - CT Sinh viên</v>
          </cell>
          <cell r="F27" t="str">
            <v>ĐH</v>
          </cell>
          <cell r="I27" t="str">
            <v>QL</v>
          </cell>
          <cell r="J27" t="str">
            <v>QL020</v>
          </cell>
          <cell r="K27" t="str">
            <v>001062010054</v>
          </cell>
          <cell r="L27" t="str">
            <v>1603205178809</v>
          </cell>
          <cell r="M27" t="str">
            <v>11100000704</v>
          </cell>
          <cell r="N27" t="str">
            <v>01.003</v>
          </cell>
          <cell r="O27" t="str">
            <v>A1</v>
          </cell>
          <cell r="P27">
            <v>9</v>
          </cell>
          <cell r="Q27">
            <v>4.9800000000000004</v>
          </cell>
          <cell r="R27">
            <v>0.79820000000000002</v>
          </cell>
          <cell r="S27">
            <v>9</v>
          </cell>
          <cell r="T27">
            <v>0.44819999999999999</v>
          </cell>
          <cell r="U27">
            <v>667818.00000000012</v>
          </cell>
          <cell r="V27">
            <v>0.35</v>
          </cell>
          <cell r="X27">
            <v>0</v>
          </cell>
        </row>
        <row r="28">
          <cell r="D28" t="str">
            <v>Nguyễn Thị Hoa</v>
          </cell>
          <cell r="E28" t="str">
            <v>Phó Trưởng phòng Tổ chức - Hành chính - Tổng hợp</v>
          </cell>
          <cell r="F28" t="str">
            <v>ĐH</v>
          </cell>
          <cell r="G28" t="str">
            <v>x</v>
          </cell>
          <cell r="I28" t="str">
            <v>PPK</v>
          </cell>
          <cell r="J28" t="str">
            <v>PPK024</v>
          </cell>
          <cell r="K28" t="str">
            <v>027165000168</v>
          </cell>
          <cell r="L28" t="str">
            <v>1603205178815</v>
          </cell>
          <cell r="M28" t="str">
            <v>11100000743</v>
          </cell>
          <cell r="N28" t="str">
            <v>01.003</v>
          </cell>
          <cell r="O28" t="str">
            <v>A1</v>
          </cell>
          <cell r="P28">
            <v>8</v>
          </cell>
          <cell r="Q28">
            <v>4.9800000000000004</v>
          </cell>
          <cell r="R28">
            <v>0.35</v>
          </cell>
          <cell r="T28">
            <v>0</v>
          </cell>
          <cell r="U28">
            <v>0</v>
          </cell>
          <cell r="V28">
            <v>0.35</v>
          </cell>
          <cell r="X28">
            <v>0</v>
          </cell>
        </row>
        <row r="29">
          <cell r="D29" t="str">
            <v>Võ Thị Anh Đào</v>
          </cell>
          <cell r="E29" t="str">
            <v>Phó TP. Khảo thí và KĐCL</v>
          </cell>
          <cell r="F29" t="str">
            <v>ĐH</v>
          </cell>
          <cell r="G29" t="str">
            <v>x</v>
          </cell>
          <cell r="I29" t="str">
            <v>PPK</v>
          </cell>
          <cell r="J29" t="str">
            <v>PPK036</v>
          </cell>
          <cell r="K29" t="str">
            <v>021710592</v>
          </cell>
          <cell r="L29" t="str">
            <v>1603205185646</v>
          </cell>
          <cell r="M29" t="str">
            <v>11100000701</v>
          </cell>
          <cell r="N29" t="str">
            <v>01.003</v>
          </cell>
          <cell r="O29" t="str">
            <v>A1</v>
          </cell>
          <cell r="P29">
            <v>9</v>
          </cell>
          <cell r="Q29">
            <v>4.9800000000000004</v>
          </cell>
          <cell r="R29">
            <v>0.79820000000000002</v>
          </cell>
          <cell r="S29">
            <v>9</v>
          </cell>
          <cell r="T29">
            <v>0.44819999999999999</v>
          </cell>
          <cell r="U29">
            <v>667818.00000000012</v>
          </cell>
          <cell r="V29">
            <v>0.35</v>
          </cell>
          <cell r="X29">
            <v>0</v>
          </cell>
        </row>
        <row r="30">
          <cell r="D30" t="str">
            <v>Nguyễn Văn Thành</v>
          </cell>
          <cell r="E30" t="str">
            <v>Phó Trưởng phòng Quản trị - Dịch vụ</v>
          </cell>
          <cell r="F30" t="str">
            <v>ĐH</v>
          </cell>
          <cell r="I30" t="str">
            <v>GV</v>
          </cell>
          <cell r="J30" t="str">
            <v>GV087</v>
          </cell>
          <cell r="K30" t="str">
            <v>079074000549</v>
          </cell>
          <cell r="L30" t="str">
            <v>1603205182190</v>
          </cell>
          <cell r="M30" t="str">
            <v>11100000723</v>
          </cell>
          <cell r="N30" t="str">
            <v>V.07.01.03</v>
          </cell>
          <cell r="O30" t="str">
            <v>A1</v>
          </cell>
          <cell r="P30">
            <v>8</v>
          </cell>
          <cell r="Q30">
            <v>4.9800000000000004</v>
          </cell>
          <cell r="R30">
            <v>1.3094000000000001</v>
          </cell>
          <cell r="T30">
            <v>0</v>
          </cell>
          <cell r="U30">
            <v>0</v>
          </cell>
          <cell r="V30">
            <v>0.35</v>
          </cell>
          <cell r="W30">
            <v>0.18</v>
          </cell>
          <cell r="X30">
            <v>0.95940000000000003</v>
          </cell>
        </row>
        <row r="31">
          <cell r="D31" t="str">
            <v>Hồ Văn Sĩ</v>
          </cell>
          <cell r="E31" t="str">
            <v>Trưởng phòng Tuyển sinh - Đào tạo</v>
          </cell>
          <cell r="F31" t="str">
            <v>Th.S</v>
          </cell>
          <cell r="I31" t="str">
            <v>PPK</v>
          </cell>
          <cell r="J31" t="str">
            <v>PPK029</v>
          </cell>
          <cell r="K31" t="str">
            <v>022764854</v>
          </cell>
          <cell r="L31" t="str">
            <v>1603205185681</v>
          </cell>
          <cell r="M31" t="str">
            <v>11100000707</v>
          </cell>
          <cell r="N31" t="str">
            <v>V.07.01.03</v>
          </cell>
          <cell r="O31" t="str">
            <v>A1</v>
          </cell>
          <cell r="P31">
            <v>8</v>
          </cell>
          <cell r="Q31">
            <v>4.9800000000000004</v>
          </cell>
          <cell r="R31">
            <v>1.536</v>
          </cell>
          <cell r="T31">
            <v>0</v>
          </cell>
          <cell r="U31">
            <v>0</v>
          </cell>
          <cell r="V31">
            <v>0.45</v>
          </cell>
          <cell r="W31">
            <v>0.2</v>
          </cell>
          <cell r="X31">
            <v>1.0860000000000001</v>
          </cell>
        </row>
        <row r="32">
          <cell r="D32" t="str">
            <v>Nguyễn Ngọc Hiệp</v>
          </cell>
          <cell r="E32" t="str">
            <v>Phó Trưởng phòng Thanh tra giáo dục - CT Sinh viên</v>
          </cell>
          <cell r="F32" t="str">
            <v>ĐH</v>
          </cell>
          <cell r="I32" t="str">
            <v>GV</v>
          </cell>
          <cell r="J32" t="str">
            <v>GV089</v>
          </cell>
          <cell r="K32" t="str">
            <v>022776286</v>
          </cell>
          <cell r="L32" t="str">
            <v>1603205179173</v>
          </cell>
          <cell r="M32" t="str">
            <v>11100000751</v>
          </cell>
          <cell r="N32" t="str">
            <v>V.07.01.03</v>
          </cell>
          <cell r="O32" t="str">
            <v>A1</v>
          </cell>
          <cell r="P32">
            <v>8</v>
          </cell>
          <cell r="Q32">
            <v>4.9800000000000004</v>
          </cell>
          <cell r="R32">
            <v>1.4159999999999999</v>
          </cell>
          <cell r="T32">
            <v>0</v>
          </cell>
          <cell r="U32">
            <v>0</v>
          </cell>
          <cell r="V32">
            <v>0.35</v>
          </cell>
          <cell r="W32">
            <v>0.2</v>
          </cell>
          <cell r="X32">
            <v>1.0660000000000001</v>
          </cell>
        </row>
        <row r="33">
          <cell r="D33" t="str">
            <v>Huỳnh Ngọc Mai</v>
          </cell>
          <cell r="E33" t="str">
            <v>Phó Trưởng khoa Điện - Điện tử</v>
          </cell>
          <cell r="F33" t="str">
            <v>Th.S</v>
          </cell>
          <cell r="H33" t="str">
            <v>GV</v>
          </cell>
          <cell r="I33" t="str">
            <v>TT</v>
          </cell>
          <cell r="J33" t="str">
            <v>TT050</v>
          </cell>
          <cell r="K33" t="str">
            <v>023230246</v>
          </cell>
          <cell r="L33" t="str">
            <v>1603205179042</v>
          </cell>
          <cell r="M33" t="str">
            <v>11100000722</v>
          </cell>
          <cell r="N33" t="str">
            <v>V.07.01.03</v>
          </cell>
          <cell r="O33" t="str">
            <v>A1</v>
          </cell>
          <cell r="P33">
            <v>9</v>
          </cell>
          <cell r="Q33">
            <v>4.9800000000000004</v>
          </cell>
          <cell r="R33">
            <v>1.8264</v>
          </cell>
          <cell r="S33">
            <v>5</v>
          </cell>
          <cell r="T33">
            <v>0.249</v>
          </cell>
          <cell r="U33">
            <v>371010</v>
          </cell>
          <cell r="V33">
            <v>0.35</v>
          </cell>
          <cell r="W33">
            <v>0.22</v>
          </cell>
          <cell r="X33">
            <v>1.2274</v>
          </cell>
        </row>
        <row r="34">
          <cell r="D34" t="str">
            <v>Phạm Thị Thu Nga</v>
          </cell>
          <cell r="E34" t="str">
            <v>Phó Trưởng khoa KHCB</v>
          </cell>
          <cell r="F34" t="str">
            <v>Th.S</v>
          </cell>
          <cell r="G34" t="str">
            <v>x</v>
          </cell>
          <cell r="H34" t="str">
            <v>GV</v>
          </cell>
          <cell r="I34" t="str">
            <v>TT</v>
          </cell>
          <cell r="J34" t="str">
            <v>TT055</v>
          </cell>
          <cell r="K34" t="str">
            <v>040176000521</v>
          </cell>
          <cell r="L34" t="str">
            <v>1603205186372</v>
          </cell>
          <cell r="M34" t="str">
            <v>11100000799</v>
          </cell>
          <cell r="N34" t="str">
            <v>V.07.01.03</v>
          </cell>
          <cell r="O34" t="str">
            <v>A1</v>
          </cell>
          <cell r="P34">
            <v>6</v>
          </cell>
          <cell r="Q34">
            <v>4.32</v>
          </cell>
          <cell r="R34">
            <v>1.1438999999999999</v>
          </cell>
          <cell r="T34">
            <v>0</v>
          </cell>
          <cell r="U34">
            <v>0</v>
          </cell>
          <cell r="V34">
            <v>0.35</v>
          </cell>
          <cell r="W34">
            <v>0.17</v>
          </cell>
          <cell r="X34">
            <v>0.79390000000000005</v>
          </cell>
        </row>
        <row r="35">
          <cell r="D35" t="str">
            <v>Nguyễn Khoa</v>
          </cell>
          <cell r="E35" t="str">
            <v>Phó Trưởng khoa CNTT</v>
          </cell>
          <cell r="F35" t="str">
            <v>ĐH</v>
          </cell>
          <cell r="H35" t="str">
            <v>GV</v>
          </cell>
          <cell r="I35" t="str">
            <v>PPK</v>
          </cell>
          <cell r="J35" t="str">
            <v>PPK031</v>
          </cell>
          <cell r="K35" t="str">
            <v>020634880</v>
          </cell>
          <cell r="L35" t="str">
            <v>1603205185311</v>
          </cell>
          <cell r="M35" t="str">
            <v>11100000802</v>
          </cell>
          <cell r="N35" t="str">
            <v>V.07.01.03</v>
          </cell>
          <cell r="O35" t="str">
            <v>A1</v>
          </cell>
          <cell r="P35">
            <v>6</v>
          </cell>
          <cell r="Q35">
            <v>4.32</v>
          </cell>
          <cell r="R35">
            <v>1.1438999999999999</v>
          </cell>
          <cell r="T35">
            <v>0</v>
          </cell>
          <cell r="U35">
            <v>0</v>
          </cell>
          <cell r="V35">
            <v>0.35</v>
          </cell>
          <cell r="W35">
            <v>0.17</v>
          </cell>
          <cell r="X35">
            <v>0.79390000000000005</v>
          </cell>
        </row>
        <row r="36">
          <cell r="D36" t="str">
            <v>Võ Đắc Thịnh</v>
          </cell>
          <cell r="E36" t="str">
            <v>Phó Trưởng khoa Công nghệ Động lực</v>
          </cell>
          <cell r="F36" t="str">
            <v>ĐH</v>
          </cell>
          <cell r="H36" t="str">
            <v>GV</v>
          </cell>
          <cell r="I36" t="str">
            <v>PPK</v>
          </cell>
          <cell r="J36" t="str">
            <v>PPK035</v>
          </cell>
          <cell r="K36" t="str">
            <v>079079003245</v>
          </cell>
          <cell r="L36" t="str">
            <v>1603205178692</v>
          </cell>
          <cell r="M36" t="str">
            <v>11100000776</v>
          </cell>
          <cell r="N36" t="str">
            <v>V.07.01.03</v>
          </cell>
          <cell r="O36" t="str">
            <v>A1</v>
          </cell>
          <cell r="P36">
            <v>6</v>
          </cell>
          <cell r="Q36">
            <v>4.32</v>
          </cell>
          <cell r="R36">
            <v>1.0972</v>
          </cell>
          <cell r="T36">
            <v>0</v>
          </cell>
          <cell r="U36">
            <v>0</v>
          </cell>
          <cell r="V36">
            <v>0.35</v>
          </cell>
          <cell r="W36">
            <v>0.16</v>
          </cell>
          <cell r="X36">
            <v>0.74719999999999998</v>
          </cell>
        </row>
        <row r="37">
          <cell r="D37" t="str">
            <v>Tạ Minh Cường</v>
          </cell>
          <cell r="E37" t="str">
            <v>Phó Trưởng khoa Công nghệ Điện - Điện tử</v>
          </cell>
          <cell r="F37" t="str">
            <v>ĐH</v>
          </cell>
          <cell r="H37" t="str">
            <v>GV</v>
          </cell>
          <cell r="I37" t="str">
            <v>TT</v>
          </cell>
          <cell r="J37" t="str">
            <v>TT056</v>
          </cell>
          <cell r="K37" t="str">
            <v>024257826</v>
          </cell>
          <cell r="L37" t="str">
            <v>1603205182517</v>
          </cell>
          <cell r="M37" t="str">
            <v>11100000713</v>
          </cell>
          <cell r="N37" t="str">
            <v>V.07.01.03</v>
          </cell>
          <cell r="O37" t="str">
            <v>A1</v>
          </cell>
          <cell r="P37">
            <v>6</v>
          </cell>
          <cell r="Q37">
            <v>4.32</v>
          </cell>
          <cell r="R37">
            <v>1.5175000000000001</v>
          </cell>
          <cell r="T37">
            <v>0</v>
          </cell>
          <cell r="U37">
            <v>0</v>
          </cell>
          <cell r="V37">
            <v>0.35</v>
          </cell>
          <cell r="W37">
            <v>0.25</v>
          </cell>
          <cell r="X37">
            <v>1.1675</v>
          </cell>
        </row>
        <row r="38">
          <cell r="D38" t="str">
            <v>Nguyễn Chí Nhân</v>
          </cell>
          <cell r="E38" t="str">
            <v>Tưởng phòng Khảo thí và KĐCL</v>
          </cell>
          <cell r="F38" t="str">
            <v>ĐH</v>
          </cell>
          <cell r="I38" t="str">
            <v>PPK</v>
          </cell>
          <cell r="J38" t="str">
            <v>PPK034</v>
          </cell>
          <cell r="K38" t="str">
            <v>023176396</v>
          </cell>
          <cell r="L38" t="str">
            <v>1603205182184</v>
          </cell>
          <cell r="M38" t="str">
            <v>11100066861</v>
          </cell>
          <cell r="N38" t="str">
            <v>V.07.01.03</v>
          </cell>
          <cell r="O38" t="str">
            <v>A1</v>
          </cell>
          <cell r="P38">
            <v>5</v>
          </cell>
          <cell r="Q38">
            <v>3.99</v>
          </cell>
          <cell r="R38">
            <v>1.1160000000000001</v>
          </cell>
          <cell r="T38">
            <v>0</v>
          </cell>
          <cell r="U38">
            <v>0</v>
          </cell>
          <cell r="V38">
            <v>0.45</v>
          </cell>
          <cell r="W38">
            <v>0.15</v>
          </cell>
          <cell r="X38">
            <v>0.66600000000000004</v>
          </cell>
        </row>
        <row r="39">
          <cell r="D39" t="str">
            <v>Nguyễn Vân Giang</v>
          </cell>
          <cell r="E39" t="str">
            <v>Phó Trưởng khoa CNTT</v>
          </cell>
          <cell r="F39" t="str">
            <v>Th.S</v>
          </cell>
          <cell r="G39" t="str">
            <v>x</v>
          </cell>
          <cell r="H39" t="str">
            <v>GV</v>
          </cell>
          <cell r="I39" t="str">
            <v>QL</v>
          </cell>
          <cell r="J39" t="str">
            <v>QL019</v>
          </cell>
          <cell r="K39" t="str">
            <v>022157496</v>
          </cell>
          <cell r="L39" t="str">
            <v>1603205185051</v>
          </cell>
          <cell r="M39" t="str">
            <v>11100000727</v>
          </cell>
          <cell r="N39" t="str">
            <v>15.112</v>
          </cell>
          <cell r="O39" t="str">
            <v>A2.2</v>
          </cell>
          <cell r="P39">
            <v>7</v>
          </cell>
          <cell r="Q39">
            <v>6.04</v>
          </cell>
          <cell r="R39">
            <v>2.2031000000000001</v>
          </cell>
          <cell r="T39">
            <v>0</v>
          </cell>
          <cell r="U39">
            <v>0</v>
          </cell>
          <cell r="V39">
            <v>0.35</v>
          </cell>
          <cell r="W39">
            <v>0.28999999999999998</v>
          </cell>
          <cell r="X39">
            <v>1.8531</v>
          </cell>
        </row>
        <row r="40">
          <cell r="D40" t="str">
            <v>Nguyễn Thị Huyền Nga</v>
          </cell>
          <cell r="E40" t="str">
            <v>Trưởng BM Hóa khoa KHCB</v>
          </cell>
          <cell r="F40" t="str">
            <v>ĐH</v>
          </cell>
          <cell r="G40" t="str">
            <v>x</v>
          </cell>
          <cell r="H40" t="str">
            <v>GV</v>
          </cell>
          <cell r="I40" t="str">
            <v>GV</v>
          </cell>
          <cell r="J40" t="str">
            <v>GV091</v>
          </cell>
          <cell r="K40" t="str">
            <v>040174000144</v>
          </cell>
          <cell r="L40" t="str">
            <v>1603205189784</v>
          </cell>
          <cell r="M40" t="str">
            <v>11100067878</v>
          </cell>
          <cell r="N40" t="str">
            <v>V.07.01.03</v>
          </cell>
          <cell r="O40" t="str">
            <v>A1</v>
          </cell>
          <cell r="P40">
            <v>8</v>
          </cell>
          <cell r="Q40">
            <v>4.9800000000000004</v>
          </cell>
          <cell r="R40">
            <v>1.296</v>
          </cell>
          <cell r="T40">
            <v>0</v>
          </cell>
          <cell r="U40">
            <v>0</v>
          </cell>
          <cell r="V40">
            <v>0.25</v>
          </cell>
          <cell r="W40">
            <v>0.2</v>
          </cell>
          <cell r="X40">
            <v>1.046</v>
          </cell>
        </row>
        <row r="41">
          <cell r="D41" t="str">
            <v>Phan Đức Long</v>
          </cell>
          <cell r="E41" t="str">
            <v>Tổ trưởng Tổ QL Ký túc xá SV</v>
          </cell>
          <cell r="F41" t="str">
            <v>ĐH</v>
          </cell>
          <cell r="H41" t="str">
            <v>GV</v>
          </cell>
          <cell r="I41" t="str">
            <v>GV</v>
          </cell>
          <cell r="J41" t="str">
            <v>GV094</v>
          </cell>
          <cell r="K41" t="str">
            <v>022688264</v>
          </cell>
          <cell r="L41" t="str">
            <v>1603205179180</v>
          </cell>
          <cell r="M41" t="str">
            <v>11100000789</v>
          </cell>
          <cell r="N41" t="str">
            <v>V.07.01.03</v>
          </cell>
          <cell r="O41" t="str">
            <v>A1</v>
          </cell>
          <cell r="P41">
            <v>7</v>
          </cell>
          <cell r="Q41">
            <v>4.6500000000000004</v>
          </cell>
          <cell r="R41">
            <v>1.1320000000000001</v>
          </cell>
          <cell r="T41">
            <v>0</v>
          </cell>
          <cell r="U41">
            <v>0</v>
          </cell>
          <cell r="V41">
            <v>0.25</v>
          </cell>
          <cell r="W41">
            <v>0.18</v>
          </cell>
          <cell r="X41">
            <v>0.88200000000000001</v>
          </cell>
        </row>
        <row r="42">
          <cell r="D42" t="str">
            <v>Võ Cường</v>
          </cell>
          <cell r="E42" t="str">
            <v>Trưởng BM khoa Điện - Điện tử</v>
          </cell>
          <cell r="F42" t="str">
            <v>ĐH</v>
          </cell>
          <cell r="H42" t="str">
            <v>GV</v>
          </cell>
          <cell r="I42" t="str">
            <v>TT</v>
          </cell>
          <cell r="J42" t="str">
            <v>TT057</v>
          </cell>
          <cell r="K42" t="str">
            <v>079066001159</v>
          </cell>
          <cell r="L42" t="str">
            <v>1603205179036</v>
          </cell>
          <cell r="M42" t="str">
            <v>11100000775</v>
          </cell>
          <cell r="N42" t="str">
            <v>V.07.01.03</v>
          </cell>
          <cell r="O42" t="str">
            <v>A1</v>
          </cell>
          <cell r="P42">
            <v>6</v>
          </cell>
          <cell r="Q42">
            <v>4.32</v>
          </cell>
          <cell r="R42">
            <v>0.98119999999999996</v>
          </cell>
          <cell r="T42">
            <v>0</v>
          </cell>
          <cell r="U42">
            <v>0</v>
          </cell>
          <cell r="V42">
            <v>0.25</v>
          </cell>
          <cell r="W42">
            <v>0.16</v>
          </cell>
          <cell r="X42">
            <v>0.73119999999999996</v>
          </cell>
        </row>
        <row r="43">
          <cell r="D43" t="str">
            <v>Hà Phước Tuấn</v>
          </cell>
          <cell r="E43" t="str">
            <v>Giảng viên khoa Cơ khí</v>
          </cell>
          <cell r="F43" t="str">
            <v>ĐH</v>
          </cell>
          <cell r="I43" t="str">
            <v>QL</v>
          </cell>
          <cell r="J43" t="str">
            <v>QL011</v>
          </cell>
          <cell r="K43" t="str">
            <v>022631400</v>
          </cell>
          <cell r="L43" t="str">
            <v>1603205189630</v>
          </cell>
          <cell r="M43" t="str">
            <v>11100000724</v>
          </cell>
          <cell r="N43" t="str">
            <v>V.07.01.03</v>
          </cell>
          <cell r="O43" t="str">
            <v>A1</v>
          </cell>
          <cell r="P43">
            <v>9</v>
          </cell>
          <cell r="Q43">
            <v>4.9800000000000004</v>
          </cell>
          <cell r="R43">
            <v>2.4004000000000003</v>
          </cell>
          <cell r="S43">
            <v>14</v>
          </cell>
          <cell r="T43">
            <v>0.69720000000000004</v>
          </cell>
          <cell r="U43">
            <v>1038828</v>
          </cell>
          <cell r="W43">
            <v>0.3</v>
          </cell>
          <cell r="X43">
            <v>1.7032</v>
          </cell>
        </row>
        <row r="44">
          <cell r="D44" t="str">
            <v>Phan Văn Thành</v>
          </cell>
          <cell r="E44" t="str">
            <v>Giảng viên khoa Công nghệ Cơ khí</v>
          </cell>
          <cell r="F44" t="str">
            <v>ĐH</v>
          </cell>
          <cell r="H44" t="str">
            <v>GV</v>
          </cell>
          <cell r="I44" t="str">
            <v>GV</v>
          </cell>
          <cell r="J44" t="str">
            <v>GV075</v>
          </cell>
          <cell r="K44" t="str">
            <v>021314535</v>
          </cell>
          <cell r="L44" t="str">
            <v>1603205249149</v>
          </cell>
          <cell r="M44" t="str">
            <v>11100000764</v>
          </cell>
          <cell r="N44" t="str">
            <v>V.07.01.03</v>
          </cell>
          <cell r="O44" t="str">
            <v>A1</v>
          </cell>
          <cell r="P44">
            <v>9</v>
          </cell>
          <cell r="Q44">
            <v>4.9800000000000004</v>
          </cell>
          <cell r="R44">
            <v>2.2061000000000002</v>
          </cell>
          <cell r="S44">
            <v>11</v>
          </cell>
          <cell r="T44">
            <v>0.54779999999999995</v>
          </cell>
          <cell r="U44">
            <v>816222</v>
          </cell>
          <cell r="W44">
            <v>0.3</v>
          </cell>
          <cell r="X44">
            <v>1.6583000000000001</v>
          </cell>
        </row>
        <row r="45">
          <cell r="D45" t="str">
            <v>Đặng Thị Nhật Minh</v>
          </cell>
          <cell r="E45" t="str">
            <v>Giảng viên khoa Lý luận chính trị</v>
          </cell>
          <cell r="F45" t="str">
            <v>Th.S</v>
          </cell>
          <cell r="G45" t="str">
            <v>x</v>
          </cell>
          <cell r="H45" t="str">
            <v>GV</v>
          </cell>
          <cell r="I45" t="str">
            <v>GV</v>
          </cell>
          <cell r="J45" t="str">
            <v>GV081</v>
          </cell>
          <cell r="K45" t="str">
            <v>079167006972</v>
          </cell>
          <cell r="L45" t="str">
            <v>1603205182530</v>
          </cell>
          <cell r="M45" t="str">
            <v>11100000714</v>
          </cell>
          <cell r="N45" t="str">
            <v>V.07.01.03</v>
          </cell>
          <cell r="O45" t="str">
            <v>A1</v>
          </cell>
          <cell r="P45">
            <v>9</v>
          </cell>
          <cell r="Q45">
            <v>4.9800000000000004</v>
          </cell>
          <cell r="R45">
            <v>1.5742</v>
          </cell>
          <cell r="S45">
            <v>7</v>
          </cell>
          <cell r="T45">
            <v>0.34860000000000002</v>
          </cell>
          <cell r="U45">
            <v>519414</v>
          </cell>
          <cell r="W45">
            <v>0.23</v>
          </cell>
          <cell r="X45">
            <v>1.2256</v>
          </cell>
        </row>
        <row r="46">
          <cell r="D46" t="str">
            <v>Nguyễn Đức Thắng</v>
          </cell>
          <cell r="E46" t="str">
            <v>Giảng viên khoa KHCB</v>
          </cell>
          <cell r="F46" t="str">
            <v>ĐH</v>
          </cell>
          <cell r="H46" t="str">
            <v>GV</v>
          </cell>
          <cell r="I46" t="str">
            <v>GV</v>
          </cell>
          <cell r="J46" t="str">
            <v>GV080</v>
          </cell>
          <cell r="K46" t="str">
            <v>021652916</v>
          </cell>
          <cell r="L46" t="str">
            <v>1603205190074</v>
          </cell>
          <cell r="M46" t="str">
            <v>11100000763</v>
          </cell>
          <cell r="N46" t="str">
            <v>V.07.01.03</v>
          </cell>
          <cell r="O46" t="str">
            <v>A1</v>
          </cell>
          <cell r="P46">
            <v>9</v>
          </cell>
          <cell r="Q46">
            <v>4.9800000000000004</v>
          </cell>
          <cell r="R46">
            <v>2.0118999999999998</v>
          </cell>
          <cell r="S46">
            <v>8</v>
          </cell>
          <cell r="T46">
            <v>0.39839999999999998</v>
          </cell>
          <cell r="U46">
            <v>593616.00000000012</v>
          </cell>
          <cell r="W46">
            <v>0.3</v>
          </cell>
          <cell r="X46">
            <v>1.6134999999999999</v>
          </cell>
        </row>
        <row r="47">
          <cell r="D47" t="str">
            <v>Nguyễn Hồng Đức</v>
          </cell>
          <cell r="E47" t="str">
            <v>Giảng viên khoa  Điện - Điện tử</v>
          </cell>
          <cell r="F47" t="str">
            <v>ĐH</v>
          </cell>
          <cell r="H47" t="str">
            <v>GV</v>
          </cell>
          <cell r="I47" t="str">
            <v>GV</v>
          </cell>
          <cell r="J47" t="str">
            <v>GV082</v>
          </cell>
          <cell r="K47" t="str">
            <v>022228240</v>
          </cell>
          <cell r="L47" t="str">
            <v>1603205179007</v>
          </cell>
          <cell r="M47" t="str">
            <v>11100000747</v>
          </cell>
          <cell r="N47" t="str">
            <v>V.07.01.03</v>
          </cell>
          <cell r="O47" t="str">
            <v>A1</v>
          </cell>
          <cell r="P47">
            <v>9</v>
          </cell>
          <cell r="Q47">
            <v>4.9800000000000004</v>
          </cell>
          <cell r="R47">
            <v>1.9043999999999999</v>
          </cell>
          <cell r="S47">
            <v>8</v>
          </cell>
          <cell r="T47">
            <v>0.39839999999999998</v>
          </cell>
          <cell r="U47">
            <v>593616.00000000012</v>
          </cell>
          <cell r="W47">
            <v>0.28000000000000003</v>
          </cell>
          <cell r="X47">
            <v>1.506</v>
          </cell>
        </row>
        <row r="48">
          <cell r="D48" t="str">
            <v>Trương Việt Khánh Trang</v>
          </cell>
          <cell r="E48" t="str">
            <v>Trưởng khoa CN May - Thời trang</v>
          </cell>
          <cell r="F48" t="str">
            <v>ĐH</v>
          </cell>
          <cell r="G48" t="str">
            <v>x</v>
          </cell>
          <cell r="H48" t="str">
            <v>GV</v>
          </cell>
          <cell r="I48" t="str">
            <v>QL</v>
          </cell>
          <cell r="J48" t="str">
            <v>QL016</v>
          </cell>
          <cell r="K48" t="str">
            <v>022135257</v>
          </cell>
          <cell r="L48" t="str">
            <v>1603205182523</v>
          </cell>
          <cell r="M48" t="str">
            <v>11100000761</v>
          </cell>
          <cell r="N48" t="str">
            <v>V.07.01.03</v>
          </cell>
          <cell r="O48" t="str">
            <v>A1</v>
          </cell>
          <cell r="P48">
            <v>9</v>
          </cell>
          <cell r="Q48">
            <v>4.9800000000000004</v>
          </cell>
          <cell r="R48">
            <v>1.4073</v>
          </cell>
          <cell r="S48">
            <v>6</v>
          </cell>
          <cell r="T48">
            <v>0.29880000000000001</v>
          </cell>
          <cell r="U48">
            <v>445212.00000000006</v>
          </cell>
          <cell r="W48">
            <v>0.21</v>
          </cell>
          <cell r="X48">
            <v>1.1085</v>
          </cell>
        </row>
        <row r="49">
          <cell r="D49" t="str">
            <v>Nguyễn Thanh Vĩnh Phúc</v>
          </cell>
          <cell r="E49" t="str">
            <v>Giảng viên khoa Cơ khí</v>
          </cell>
          <cell r="F49" t="str">
            <v>ĐH</v>
          </cell>
          <cell r="I49" t="str">
            <v>NV</v>
          </cell>
          <cell r="J49" t="str">
            <v>NV084</v>
          </cell>
          <cell r="K49" t="str">
            <v>022102283</v>
          </cell>
          <cell r="L49" t="str">
            <v>1603205186140</v>
          </cell>
          <cell r="M49" t="str">
            <v>11100000748</v>
          </cell>
          <cell r="N49" t="str">
            <v>V.07.01.03</v>
          </cell>
          <cell r="O49" t="str">
            <v>A1</v>
          </cell>
          <cell r="P49">
            <v>8</v>
          </cell>
          <cell r="Q49">
            <v>4.9800000000000004</v>
          </cell>
          <cell r="R49">
            <v>0.64739999999999998</v>
          </cell>
          <cell r="T49">
            <v>0</v>
          </cell>
          <cell r="U49">
            <v>0</v>
          </cell>
          <cell r="W49">
            <v>0.13</v>
          </cell>
          <cell r="X49">
            <v>0.64739999999999998</v>
          </cell>
        </row>
        <row r="50">
          <cell r="D50" t="str">
            <v>Trần Công Tiến</v>
          </cell>
          <cell r="E50" t="str">
            <v>Giảng viên khoa Điện - Điện tử</v>
          </cell>
          <cell r="F50" t="str">
            <v>ĐH</v>
          </cell>
          <cell r="H50" t="str">
            <v>GV</v>
          </cell>
          <cell r="I50" t="str">
            <v>TT</v>
          </cell>
          <cell r="J50" t="str">
            <v>TT051</v>
          </cell>
          <cell r="K50" t="str">
            <v>079072000577</v>
          </cell>
          <cell r="L50" t="str">
            <v>1603205178917</v>
          </cell>
          <cell r="M50" t="str">
            <v>11100000716</v>
          </cell>
          <cell r="N50" t="str">
            <v>V.07.01.03</v>
          </cell>
          <cell r="O50" t="str">
            <v>A1</v>
          </cell>
          <cell r="P50">
            <v>9</v>
          </cell>
          <cell r="Q50">
            <v>4.9800000000000004</v>
          </cell>
          <cell r="R50">
            <v>1.3994</v>
          </cell>
          <cell r="S50">
            <v>5</v>
          </cell>
          <cell r="T50">
            <v>0.249</v>
          </cell>
          <cell r="U50">
            <v>371010</v>
          </cell>
          <cell r="W50">
            <v>0.22</v>
          </cell>
          <cell r="X50">
            <v>1.1504000000000001</v>
          </cell>
        </row>
        <row r="51">
          <cell r="D51" t="str">
            <v>Nguyễn Thanh Tú</v>
          </cell>
          <cell r="E51" t="str">
            <v>Giảng viên khoa KHCB</v>
          </cell>
          <cell r="F51" t="str">
            <v>ĐH</v>
          </cell>
          <cell r="H51" t="str">
            <v>GV</v>
          </cell>
          <cell r="I51" t="str">
            <v>GV</v>
          </cell>
          <cell r="J51" t="str">
            <v>GV090</v>
          </cell>
          <cell r="K51" t="str">
            <v>079076002757</v>
          </cell>
          <cell r="L51" t="str">
            <v>1603205185580</v>
          </cell>
          <cell r="M51" t="str">
            <v>11100082588</v>
          </cell>
          <cell r="N51" t="str">
            <v>V.07.01.03</v>
          </cell>
          <cell r="O51" t="str">
            <v>A1</v>
          </cell>
          <cell r="P51">
            <v>8</v>
          </cell>
          <cell r="Q51">
            <v>4.9800000000000004</v>
          </cell>
          <cell r="R51">
            <v>0.996</v>
          </cell>
          <cell r="T51">
            <v>0</v>
          </cell>
          <cell r="U51">
            <v>0</v>
          </cell>
          <cell r="W51">
            <v>0.2</v>
          </cell>
          <cell r="X51">
            <v>0.996</v>
          </cell>
        </row>
        <row r="52">
          <cell r="D52" t="str">
            <v>Nguyễn Văn Yên</v>
          </cell>
          <cell r="E52" t="str">
            <v>Giảng viên khoa Điện - Điện tử</v>
          </cell>
          <cell r="F52" t="str">
            <v>ĐH</v>
          </cell>
          <cell r="H52" t="str">
            <v>GV</v>
          </cell>
          <cell r="I52" t="str">
            <v>PPK</v>
          </cell>
          <cell r="J52" t="str">
            <v>PPK030</v>
          </cell>
          <cell r="K52" t="str">
            <v>079073005167</v>
          </cell>
          <cell r="L52" t="str">
            <v>1603205182371</v>
          </cell>
          <cell r="M52" t="str">
            <v>11100000708</v>
          </cell>
          <cell r="N52" t="str">
            <v>V.07.01.03</v>
          </cell>
          <cell r="O52" t="str">
            <v>A1</v>
          </cell>
          <cell r="P52">
            <v>8</v>
          </cell>
          <cell r="Q52">
            <v>4.9800000000000004</v>
          </cell>
          <cell r="R52">
            <v>0.94620000000000004</v>
          </cell>
          <cell r="T52">
            <v>0</v>
          </cell>
          <cell r="U52">
            <v>0</v>
          </cell>
          <cell r="W52">
            <v>0.19</v>
          </cell>
          <cell r="X52">
            <v>0.94620000000000004</v>
          </cell>
        </row>
        <row r="53">
          <cell r="D53" t="str">
            <v>Vũ Quang Khải</v>
          </cell>
          <cell r="E53" t="str">
            <v>Giảng viên khoa Cơ khí</v>
          </cell>
          <cell r="F53" t="str">
            <v>ĐH</v>
          </cell>
          <cell r="H53" t="str">
            <v>GV</v>
          </cell>
          <cell r="I53" t="str">
            <v>TT</v>
          </cell>
          <cell r="J53" t="str">
            <v>TT054</v>
          </cell>
          <cell r="K53" t="str">
            <v>022355188</v>
          </cell>
          <cell r="L53" t="str">
            <v>1603205189699</v>
          </cell>
          <cell r="M53" t="str">
            <v>11100000773</v>
          </cell>
          <cell r="N53" t="str">
            <v>V.07.01.03</v>
          </cell>
          <cell r="O53" t="str">
            <v>A1</v>
          </cell>
          <cell r="P53">
            <v>8</v>
          </cell>
          <cell r="Q53">
            <v>4.9800000000000004</v>
          </cell>
          <cell r="R53">
            <v>0.996</v>
          </cell>
          <cell r="T53">
            <v>0</v>
          </cell>
          <cell r="U53">
            <v>0</v>
          </cell>
          <cell r="W53">
            <v>0.2</v>
          </cell>
          <cell r="X53">
            <v>0.996</v>
          </cell>
        </row>
        <row r="54">
          <cell r="D54" t="str">
            <v>Đỗ Thị Phương Khanh</v>
          </cell>
          <cell r="E54" t="str">
            <v>Giảng viên khoa Cơ khí</v>
          </cell>
          <cell r="F54" t="str">
            <v>Th.S</v>
          </cell>
          <cell r="G54" t="str">
            <v>x</v>
          </cell>
          <cell r="H54" t="str">
            <v>GV</v>
          </cell>
          <cell r="I54" t="str">
            <v>TT</v>
          </cell>
          <cell r="J54" t="str">
            <v>TT052</v>
          </cell>
          <cell r="K54" t="str">
            <v>023044182</v>
          </cell>
          <cell r="L54" t="str">
            <v>1603205182126</v>
          </cell>
          <cell r="M54" t="str">
            <v>11100000750</v>
          </cell>
          <cell r="N54" t="str">
            <v>V.07.01.03</v>
          </cell>
          <cell r="O54" t="str">
            <v>A1</v>
          </cell>
          <cell r="P54">
            <v>8</v>
          </cell>
          <cell r="Q54">
            <v>4.9800000000000004</v>
          </cell>
          <cell r="R54">
            <v>0.996</v>
          </cell>
          <cell r="T54">
            <v>0</v>
          </cell>
          <cell r="U54">
            <v>0</v>
          </cell>
          <cell r="W54">
            <v>0.2</v>
          </cell>
          <cell r="X54">
            <v>0.996</v>
          </cell>
        </row>
        <row r="55">
          <cell r="D55" t="str">
            <v>Trương Thị Phương Hồng</v>
          </cell>
          <cell r="E55" t="str">
            <v>Giảng viên khoa Cơ khí</v>
          </cell>
          <cell r="F55" t="str">
            <v>ĐH</v>
          </cell>
          <cell r="G55" t="str">
            <v>x</v>
          </cell>
          <cell r="H55" t="str">
            <v>GV</v>
          </cell>
          <cell r="I55" t="str">
            <v>TT</v>
          </cell>
          <cell r="J55" t="str">
            <v>TT053</v>
          </cell>
          <cell r="K55" t="str">
            <v>022813516</v>
          </cell>
          <cell r="L55" t="str">
            <v>1603205182211</v>
          </cell>
          <cell r="M55" t="str">
            <v>11100000755</v>
          </cell>
          <cell r="N55" t="str">
            <v>V.07.01.03</v>
          </cell>
          <cell r="O55" t="str">
            <v>A1</v>
          </cell>
          <cell r="P55">
            <v>8</v>
          </cell>
          <cell r="Q55">
            <v>4.9800000000000004</v>
          </cell>
          <cell r="R55">
            <v>0.94620000000000004</v>
          </cell>
          <cell r="T55">
            <v>0</v>
          </cell>
          <cell r="U55">
            <v>0</v>
          </cell>
          <cell r="W55">
            <v>0.19</v>
          </cell>
          <cell r="X55">
            <v>0.94620000000000004</v>
          </cell>
        </row>
        <row r="56">
          <cell r="D56" t="str">
            <v>Nguyễn Tứ Cảnh</v>
          </cell>
          <cell r="E56" t="str">
            <v>Nhân viên Trung tâm Truyền thông - Thư viện</v>
          </cell>
          <cell r="F56" t="str">
            <v>ĐH</v>
          </cell>
          <cell r="I56" t="str">
            <v>GV</v>
          </cell>
          <cell r="J56" t="str">
            <v>GV092</v>
          </cell>
          <cell r="K56" t="str">
            <v>020953956</v>
          </cell>
          <cell r="L56" t="str">
            <v>1603205179013</v>
          </cell>
          <cell r="M56" t="str">
            <v>11100000754</v>
          </cell>
          <cell r="N56" t="str">
            <v>V.07.01.03</v>
          </cell>
          <cell r="O56" t="str">
            <v>A1</v>
          </cell>
          <cell r="P56">
            <v>8</v>
          </cell>
          <cell r="Q56">
            <v>4.6500000000000004</v>
          </cell>
          <cell r="R56">
            <v>0</v>
          </cell>
          <cell r="T56">
            <v>0</v>
          </cell>
          <cell r="U56">
            <v>0</v>
          </cell>
          <cell r="X56">
            <v>0</v>
          </cell>
        </row>
        <row r="57">
          <cell r="D57" t="str">
            <v>Phan Thị Xuân Trang</v>
          </cell>
          <cell r="E57" t="str">
            <v>Giảng viên khoa Cơ khí</v>
          </cell>
          <cell r="F57" t="str">
            <v>ĐH</v>
          </cell>
          <cell r="G57" t="str">
            <v>x</v>
          </cell>
          <cell r="H57" t="str">
            <v>GV</v>
          </cell>
          <cell r="I57" t="str">
            <v>GV</v>
          </cell>
          <cell r="J57" t="str">
            <v>GV115</v>
          </cell>
          <cell r="K57" t="str">
            <v>024283935</v>
          </cell>
          <cell r="L57" t="str">
            <v>1603205185550</v>
          </cell>
          <cell r="M57" t="str">
            <v>11100000770</v>
          </cell>
          <cell r="N57" t="str">
            <v>V.07.01.03</v>
          </cell>
          <cell r="O57" t="str">
            <v>A1</v>
          </cell>
          <cell r="P57">
            <v>8</v>
          </cell>
          <cell r="Q57">
            <v>4.6500000000000004</v>
          </cell>
          <cell r="R57">
            <v>0.88349999999999995</v>
          </cell>
          <cell r="T57">
            <v>0</v>
          </cell>
          <cell r="U57">
            <v>0</v>
          </cell>
          <cell r="W57">
            <v>0.19</v>
          </cell>
          <cell r="X57">
            <v>0.88349999999999995</v>
          </cell>
        </row>
        <row r="58">
          <cell r="D58" t="str">
            <v>Nguyễn Minh Đức</v>
          </cell>
          <cell r="E58" t="str">
            <v>Giảng viên khoa  Điện - Điện tử</v>
          </cell>
          <cell r="F58" t="str">
            <v>ĐH</v>
          </cell>
          <cell r="H58" t="str">
            <v>GV</v>
          </cell>
          <cell r="I58" t="str">
            <v>GV</v>
          </cell>
          <cell r="J58" t="str">
            <v>GV088</v>
          </cell>
          <cell r="K58" t="str">
            <v>022209365</v>
          </cell>
          <cell r="L58" t="str">
            <v>1603205182496</v>
          </cell>
          <cell r="M58" t="str">
            <v>11100000719</v>
          </cell>
          <cell r="N58" t="str">
            <v>V.07.01.03</v>
          </cell>
          <cell r="O58" t="str">
            <v>A1</v>
          </cell>
          <cell r="P58">
            <v>8</v>
          </cell>
          <cell r="Q58">
            <v>4.9800000000000004</v>
          </cell>
          <cell r="R58">
            <v>0.996</v>
          </cell>
          <cell r="T58">
            <v>0</v>
          </cell>
          <cell r="U58">
            <v>0</v>
          </cell>
          <cell r="W58">
            <v>0.2</v>
          </cell>
          <cell r="X58">
            <v>0.996</v>
          </cell>
        </row>
        <row r="59">
          <cell r="D59" t="str">
            <v>Nguyễn Thị Cẩm Thạch</v>
          </cell>
          <cell r="E59" t="str">
            <v>Giảng viên khoa KHCB</v>
          </cell>
          <cell r="F59" t="str">
            <v>Th.S</v>
          </cell>
          <cell r="G59" t="str">
            <v>x</v>
          </cell>
          <cell r="H59" t="str">
            <v>GV</v>
          </cell>
          <cell r="I59" t="str">
            <v>GV</v>
          </cell>
          <cell r="J59" t="str">
            <v>GV093</v>
          </cell>
          <cell r="K59" t="str">
            <v>023837190</v>
          </cell>
          <cell r="L59" t="str">
            <v>1603205189965</v>
          </cell>
          <cell r="M59" t="str">
            <v>20500006963</v>
          </cell>
          <cell r="N59" t="str">
            <v>V.07.01.03</v>
          </cell>
          <cell r="O59" t="str">
            <v>A1</v>
          </cell>
          <cell r="P59">
            <v>8</v>
          </cell>
          <cell r="Q59">
            <v>4.6500000000000004</v>
          </cell>
          <cell r="R59">
            <v>0.83699999999999997</v>
          </cell>
          <cell r="T59">
            <v>0</v>
          </cell>
          <cell r="U59">
            <v>0</v>
          </cell>
          <cell r="W59">
            <v>0.18</v>
          </cell>
          <cell r="X59">
            <v>0.83699999999999997</v>
          </cell>
        </row>
        <row r="60">
          <cell r="D60" t="str">
            <v>Nguyễn Vũ Xuân Thì</v>
          </cell>
          <cell r="E60" t="str">
            <v>Giảng viên khoa Nhiệt - Lạnh</v>
          </cell>
          <cell r="F60" t="str">
            <v>ĐH</v>
          </cell>
          <cell r="H60" t="str">
            <v>GV</v>
          </cell>
          <cell r="I60" t="str">
            <v>GV</v>
          </cell>
          <cell r="K60" t="str">
            <v>079071003963</v>
          </cell>
          <cell r="L60" t="str">
            <v>1603205246186</v>
          </cell>
          <cell r="M60" t="str">
            <v>11100122860</v>
          </cell>
          <cell r="N60" t="str">
            <v>V.07.01.03</v>
          </cell>
          <cell r="O60" t="str">
            <v>A1</v>
          </cell>
          <cell r="P60">
            <v>7</v>
          </cell>
          <cell r="Q60">
            <v>4.6500000000000004</v>
          </cell>
          <cell r="R60">
            <v>0.83699999999999997</v>
          </cell>
          <cell r="T60">
            <v>0</v>
          </cell>
          <cell r="U60">
            <v>0</v>
          </cell>
          <cell r="W60">
            <v>0.18</v>
          </cell>
          <cell r="X60">
            <v>0.83699999999999997</v>
          </cell>
        </row>
        <row r="61">
          <cell r="D61" t="str">
            <v>Võ Thị Hồng Lan</v>
          </cell>
          <cell r="E61" t="str">
            <v>Giảng viên khoa KHCB</v>
          </cell>
          <cell r="F61" t="str">
            <v>ĐH</v>
          </cell>
          <cell r="G61" t="str">
            <v>x</v>
          </cell>
          <cell r="H61" t="str">
            <v>GV</v>
          </cell>
          <cell r="I61" t="str">
            <v>GV</v>
          </cell>
          <cell r="J61" t="str">
            <v>GV212</v>
          </cell>
          <cell r="K61" t="str">
            <v>024917765</v>
          </cell>
          <cell r="L61" t="str">
            <v>1603205218440</v>
          </cell>
          <cell r="M61" t="str">
            <v>11100091472</v>
          </cell>
          <cell r="N61" t="str">
            <v>V.07.01.03</v>
          </cell>
          <cell r="O61" t="str">
            <v>A1</v>
          </cell>
          <cell r="P61">
            <v>7</v>
          </cell>
          <cell r="Q61">
            <v>4.6500000000000004</v>
          </cell>
          <cell r="R61">
            <v>0.93</v>
          </cell>
          <cell r="T61">
            <v>0</v>
          </cell>
          <cell r="U61">
            <v>0</v>
          </cell>
          <cell r="W61">
            <v>0.2</v>
          </cell>
          <cell r="X61">
            <v>0.93</v>
          </cell>
        </row>
        <row r="62">
          <cell r="D62" t="str">
            <v>Nguyễn Anh Tăng</v>
          </cell>
          <cell r="E62" t="str">
            <v>Giảng viên khoa  Điện - Điện tử</v>
          </cell>
          <cell r="F62" t="str">
            <v>Th.S</v>
          </cell>
          <cell r="H62" t="str">
            <v>GV</v>
          </cell>
          <cell r="I62" t="str">
            <v>GV</v>
          </cell>
          <cell r="J62" t="str">
            <v>GV096</v>
          </cell>
          <cell r="K62" t="str">
            <v>023624194</v>
          </cell>
          <cell r="L62" t="str">
            <v>1603205182438</v>
          </cell>
          <cell r="M62" t="str">
            <v>11100000787</v>
          </cell>
          <cell r="N62" t="str">
            <v>V.07.01.03</v>
          </cell>
          <cell r="O62" t="str">
            <v>A1</v>
          </cell>
          <cell r="P62">
            <v>6</v>
          </cell>
          <cell r="Q62">
            <v>4.32</v>
          </cell>
          <cell r="R62">
            <v>0.73440000000000005</v>
          </cell>
          <cell r="T62">
            <v>0</v>
          </cell>
          <cell r="U62">
            <v>0</v>
          </cell>
          <cell r="W62">
            <v>0.17</v>
          </cell>
          <cell r="X62">
            <v>0.73440000000000005</v>
          </cell>
        </row>
        <row r="63">
          <cell r="D63" t="str">
            <v>Ngô Hoàng Anh</v>
          </cell>
          <cell r="E63" t="str">
            <v>Giảng viên khoa  Điện - Điện tử</v>
          </cell>
          <cell r="F63" t="str">
            <v>Th.S</v>
          </cell>
          <cell r="H63" t="str">
            <v>GV</v>
          </cell>
          <cell r="I63" t="str">
            <v>GV</v>
          </cell>
          <cell r="J63" t="str">
            <v>GV099</v>
          </cell>
          <cell r="K63" t="str">
            <v>024951998</v>
          </cell>
          <cell r="L63" t="str">
            <v>1603205185596</v>
          </cell>
          <cell r="M63" t="str">
            <v>11100000797</v>
          </cell>
          <cell r="N63" t="str">
            <v>V.07.01.03</v>
          </cell>
          <cell r="O63" t="str">
            <v>A1</v>
          </cell>
          <cell r="P63">
            <v>6</v>
          </cell>
          <cell r="Q63">
            <v>4.32</v>
          </cell>
          <cell r="R63">
            <v>0.73440000000000005</v>
          </cell>
          <cell r="T63">
            <v>0</v>
          </cell>
          <cell r="U63">
            <v>0</v>
          </cell>
          <cell r="W63">
            <v>0.17</v>
          </cell>
          <cell r="X63">
            <v>0.73440000000000005</v>
          </cell>
        </row>
        <row r="64">
          <cell r="D64" t="str">
            <v>Tăng Cẩm Huê</v>
          </cell>
          <cell r="E64" t="str">
            <v>Giảng viên khoa  Điện - Điện tử</v>
          </cell>
          <cell r="F64" t="str">
            <v>ĐH</v>
          </cell>
          <cell r="G64" t="str">
            <v>x</v>
          </cell>
          <cell r="H64" t="str">
            <v>GV</v>
          </cell>
          <cell r="I64" t="str">
            <v>GV</v>
          </cell>
          <cell r="J64" t="str">
            <v>GV106</v>
          </cell>
          <cell r="K64" t="str">
            <v>023179583</v>
          </cell>
          <cell r="L64" t="str">
            <v>1603205178975</v>
          </cell>
          <cell r="M64" t="str">
            <v>11100000774</v>
          </cell>
          <cell r="N64" t="str">
            <v>V.07.01.03</v>
          </cell>
          <cell r="O64" t="str">
            <v>A1</v>
          </cell>
          <cell r="P64">
            <v>5</v>
          </cell>
          <cell r="Q64">
            <v>3.99</v>
          </cell>
          <cell r="R64">
            <v>0.63839999999999997</v>
          </cell>
          <cell r="T64">
            <v>0</v>
          </cell>
          <cell r="U64">
            <v>0</v>
          </cell>
          <cell r="W64">
            <v>0.16</v>
          </cell>
          <cell r="X64">
            <v>0.63839999999999997</v>
          </cell>
        </row>
        <row r="65">
          <cell r="D65" t="str">
            <v>Nguyễn Anh Kiệt</v>
          </cell>
          <cell r="E65" t="str">
            <v>Giảng viên khoa Lý luận chính trị</v>
          </cell>
          <cell r="F65" t="str">
            <v>ĐH</v>
          </cell>
          <cell r="H65" t="str">
            <v>GV</v>
          </cell>
          <cell r="I65" t="str">
            <v>TT</v>
          </cell>
          <cell r="J65" t="str">
            <v>TT058</v>
          </cell>
          <cell r="K65" t="str">
            <v>021513654</v>
          </cell>
          <cell r="L65" t="str">
            <v>1603205189913</v>
          </cell>
          <cell r="M65" t="str">
            <v>11100067051</v>
          </cell>
          <cell r="N65" t="str">
            <v>V.07.01.03</v>
          </cell>
          <cell r="O65" t="str">
            <v>A1</v>
          </cell>
          <cell r="P65">
            <v>5</v>
          </cell>
          <cell r="Q65">
            <v>3.99</v>
          </cell>
          <cell r="R65">
            <v>0.63839999999999997</v>
          </cell>
          <cell r="T65">
            <v>0</v>
          </cell>
          <cell r="U65">
            <v>0</v>
          </cell>
          <cell r="W65">
            <v>0.16</v>
          </cell>
          <cell r="X65">
            <v>0.63839999999999997</v>
          </cell>
        </row>
        <row r="66">
          <cell r="D66" t="str">
            <v>Nguyễn Tam Cương</v>
          </cell>
          <cell r="E66" t="str">
            <v>Giảng viên khoa Cơ khí</v>
          </cell>
          <cell r="F66" t="str">
            <v>ĐH</v>
          </cell>
          <cell r="H66" t="str">
            <v>GV</v>
          </cell>
          <cell r="I66" t="str">
            <v>PPK</v>
          </cell>
          <cell r="J66" t="str">
            <v>PPK032</v>
          </cell>
          <cell r="K66" t="str">
            <v>052063000099</v>
          </cell>
          <cell r="L66" t="str">
            <v>1603205182257</v>
          </cell>
          <cell r="M66" t="str">
            <v>11100000721</v>
          </cell>
          <cell r="N66" t="str">
            <v>V.07.01.03</v>
          </cell>
          <cell r="O66" t="str">
            <v>A1</v>
          </cell>
          <cell r="P66">
            <v>6</v>
          </cell>
          <cell r="Q66">
            <v>4.32</v>
          </cell>
          <cell r="R66">
            <v>0.73440000000000005</v>
          </cell>
          <cell r="T66">
            <v>0</v>
          </cell>
          <cell r="U66">
            <v>0</v>
          </cell>
          <cell r="W66">
            <v>0.17</v>
          </cell>
          <cell r="X66">
            <v>0.73440000000000005</v>
          </cell>
        </row>
        <row r="67">
          <cell r="D67" t="str">
            <v>Vương Thanh Thủy</v>
          </cell>
          <cell r="E67" t="str">
            <v>Giảng viên khoa KHCB</v>
          </cell>
          <cell r="F67" t="str">
            <v>Th.S</v>
          </cell>
          <cell r="G67" t="str">
            <v>x</v>
          </cell>
          <cell r="H67" t="str">
            <v>GV</v>
          </cell>
          <cell r="I67" t="str">
            <v>TT</v>
          </cell>
          <cell r="J67" t="str">
            <v>TT059</v>
          </cell>
          <cell r="K67" t="str">
            <v>001172012821</v>
          </cell>
          <cell r="L67" t="str">
            <v>1603205190147</v>
          </cell>
          <cell r="M67" t="str">
            <v>11100000801</v>
          </cell>
          <cell r="N67" t="str">
            <v>V.07.01.03</v>
          </cell>
          <cell r="O67" t="str">
            <v>A1</v>
          </cell>
          <cell r="P67">
            <v>6</v>
          </cell>
          <cell r="Q67">
            <v>3.99</v>
          </cell>
          <cell r="R67">
            <v>0.67830000000000001</v>
          </cell>
          <cell r="T67">
            <v>0</v>
          </cell>
          <cell r="U67">
            <v>0</v>
          </cell>
          <cell r="W67">
            <v>0.17</v>
          </cell>
          <cell r="X67">
            <v>0.67830000000000001</v>
          </cell>
        </row>
        <row r="68">
          <cell r="D68" t="str">
            <v>Nguyễn Thị Dinh</v>
          </cell>
          <cell r="E68" t="str">
            <v>Giảng viên khoa Lý luận chính trị</v>
          </cell>
          <cell r="F68" t="str">
            <v>ĐH</v>
          </cell>
          <cell r="G68" t="str">
            <v>x</v>
          </cell>
          <cell r="H68" t="str">
            <v>GV</v>
          </cell>
          <cell r="I68" t="str">
            <v>GV</v>
          </cell>
          <cell r="J68" t="str">
            <v>GV097</v>
          </cell>
          <cell r="K68" t="str">
            <v>024106611</v>
          </cell>
          <cell r="L68" t="str">
            <v>1603205186468</v>
          </cell>
          <cell r="M68" t="str">
            <v>11100000795</v>
          </cell>
          <cell r="N68" t="str">
            <v>V.07.01.03</v>
          </cell>
          <cell r="O68" t="str">
            <v>A1</v>
          </cell>
          <cell r="P68">
            <v>6</v>
          </cell>
          <cell r="Q68">
            <v>3.99</v>
          </cell>
          <cell r="R68">
            <v>0.67830000000000001</v>
          </cell>
          <cell r="T68">
            <v>0</v>
          </cell>
          <cell r="U68">
            <v>0</v>
          </cell>
          <cell r="W68">
            <v>0.17</v>
          </cell>
          <cell r="X68">
            <v>0.67830000000000001</v>
          </cell>
        </row>
        <row r="69">
          <cell r="D69" t="str">
            <v>Nguyễn Văn Đông</v>
          </cell>
          <cell r="E69" t="str">
            <v>Giảng viên khoa KHCB</v>
          </cell>
          <cell r="F69" t="str">
            <v>ĐH</v>
          </cell>
          <cell r="H69" t="str">
            <v>GV</v>
          </cell>
          <cell r="I69" t="str">
            <v>GV</v>
          </cell>
          <cell r="J69" t="str">
            <v>GV098</v>
          </cell>
          <cell r="K69" t="str">
            <v>023622113</v>
          </cell>
          <cell r="L69" t="str">
            <v>1603205189886</v>
          </cell>
          <cell r="M69" t="str">
            <v>11100000796</v>
          </cell>
          <cell r="N69" t="str">
            <v>V.07.01.03</v>
          </cell>
          <cell r="O69" t="str">
            <v>A1</v>
          </cell>
          <cell r="P69">
            <v>6</v>
          </cell>
          <cell r="Q69">
            <v>4.32</v>
          </cell>
          <cell r="R69">
            <v>0.73440000000000005</v>
          </cell>
          <cell r="T69">
            <v>0</v>
          </cell>
          <cell r="U69">
            <v>0</v>
          </cell>
          <cell r="W69">
            <v>0.17</v>
          </cell>
          <cell r="X69">
            <v>0.73440000000000005</v>
          </cell>
        </row>
        <row r="70">
          <cell r="D70" t="str">
            <v>Đặng Thế Huân</v>
          </cell>
          <cell r="E70" t="str">
            <v>Giảng viên khoa Nhiệt - Lạnh</v>
          </cell>
          <cell r="F70" t="str">
            <v>ĐH</v>
          </cell>
          <cell r="H70" t="str">
            <v>GV</v>
          </cell>
          <cell r="I70" t="str">
            <v>PPK</v>
          </cell>
          <cell r="J70" t="str">
            <v>PPK033</v>
          </cell>
          <cell r="K70" t="str">
            <v>022293675</v>
          </cell>
          <cell r="L70" t="str">
            <v>1603205182690</v>
          </cell>
          <cell r="M70" t="str">
            <v>11100000705</v>
          </cell>
          <cell r="N70" t="str">
            <v>V.07.01.03</v>
          </cell>
          <cell r="O70" t="str">
            <v>A1</v>
          </cell>
          <cell r="P70">
            <v>6</v>
          </cell>
          <cell r="Q70">
            <v>3.99</v>
          </cell>
          <cell r="R70">
            <v>0.67830000000000001</v>
          </cell>
          <cell r="T70">
            <v>0</v>
          </cell>
          <cell r="U70">
            <v>0</v>
          </cell>
          <cell r="W70">
            <v>0.17</v>
          </cell>
          <cell r="X70">
            <v>0.67830000000000001</v>
          </cell>
        </row>
        <row r="71">
          <cell r="D71" t="str">
            <v>Nguyễn Thị Thu Tâm</v>
          </cell>
          <cell r="E71" t="str">
            <v>Giảng viên khoa KHCB</v>
          </cell>
          <cell r="F71" t="str">
            <v>ĐH</v>
          </cell>
          <cell r="G71" t="str">
            <v>x</v>
          </cell>
          <cell r="H71" t="str">
            <v>GV</v>
          </cell>
          <cell r="I71" t="str">
            <v>GV</v>
          </cell>
          <cell r="J71" t="str">
            <v>GV101</v>
          </cell>
          <cell r="K71" t="str">
            <v>022848142</v>
          </cell>
          <cell r="L71" t="str">
            <v>1603205189920</v>
          </cell>
          <cell r="M71" t="str">
            <v>11100066702</v>
          </cell>
          <cell r="N71" t="str">
            <v>V.07.01.03</v>
          </cell>
          <cell r="O71" t="str">
            <v>A1</v>
          </cell>
          <cell r="P71">
            <v>6</v>
          </cell>
          <cell r="Q71">
            <v>3.99</v>
          </cell>
          <cell r="R71">
            <v>0.67830000000000001</v>
          </cell>
          <cell r="T71">
            <v>0</v>
          </cell>
          <cell r="U71">
            <v>0</v>
          </cell>
          <cell r="W71">
            <v>0.17</v>
          </cell>
          <cell r="X71">
            <v>0.67830000000000001</v>
          </cell>
        </row>
        <row r="72">
          <cell r="D72" t="str">
            <v>Nguyễn Thị Bảo Trân</v>
          </cell>
          <cell r="E72" t="str">
            <v>Giảng viên khoa KHCB</v>
          </cell>
          <cell r="F72" t="str">
            <v>Th.S</v>
          </cell>
          <cell r="G72" t="str">
            <v>x</v>
          </cell>
          <cell r="H72" t="str">
            <v>GV</v>
          </cell>
          <cell r="I72" t="str">
            <v>GV</v>
          </cell>
          <cell r="J72" t="str">
            <v>GV104</v>
          </cell>
          <cell r="K72" t="str">
            <v>023334538</v>
          </cell>
          <cell r="L72" t="str">
            <v>1603205189936</v>
          </cell>
          <cell r="M72" t="str">
            <v>11100000737</v>
          </cell>
          <cell r="N72" t="str">
            <v>V.07.01.03</v>
          </cell>
          <cell r="O72" t="str">
            <v>A1</v>
          </cell>
          <cell r="P72">
            <v>6</v>
          </cell>
          <cell r="Q72">
            <v>4.32</v>
          </cell>
          <cell r="R72">
            <v>0.73440000000000005</v>
          </cell>
          <cell r="T72">
            <v>0</v>
          </cell>
          <cell r="U72">
            <v>0</v>
          </cell>
          <cell r="W72">
            <v>0.17</v>
          </cell>
          <cell r="X72">
            <v>0.73440000000000005</v>
          </cell>
        </row>
        <row r="73">
          <cell r="D73" t="str">
            <v>Võ Anh Hào</v>
          </cell>
          <cell r="E73" t="str">
            <v>Giảng viên khoa  Nhiệt - Lạnh</v>
          </cell>
          <cell r="F73" t="str">
            <v>ĐH</v>
          </cell>
          <cell r="H73" t="str">
            <v>GV</v>
          </cell>
          <cell r="I73" t="str">
            <v>GV</v>
          </cell>
          <cell r="J73" t="str">
            <v>GV100</v>
          </cell>
          <cell r="K73" t="str">
            <v>022843958</v>
          </cell>
          <cell r="L73" t="str">
            <v>1603205182660</v>
          </cell>
          <cell r="M73" t="str">
            <v>11100066939</v>
          </cell>
          <cell r="N73" t="str">
            <v>V.07.01.03</v>
          </cell>
          <cell r="O73" t="str">
            <v>A1</v>
          </cell>
          <cell r="P73">
            <v>6</v>
          </cell>
          <cell r="Q73">
            <v>3.99</v>
          </cell>
          <cell r="R73">
            <v>0.63839999999999997</v>
          </cell>
          <cell r="T73">
            <v>0</v>
          </cell>
          <cell r="U73">
            <v>0</v>
          </cell>
          <cell r="W73">
            <v>0.16</v>
          </cell>
          <cell r="X73">
            <v>0.63839999999999997</v>
          </cell>
        </row>
        <row r="74">
          <cell r="D74" t="str">
            <v>Nguyễn Trần Thanh Nhàn</v>
          </cell>
          <cell r="E74" t="str">
            <v>Giảng viên khoa Điện - Điện tử</v>
          </cell>
          <cell r="F74" t="str">
            <v>ĐH</v>
          </cell>
          <cell r="G74" t="str">
            <v>x</v>
          </cell>
          <cell r="H74" t="str">
            <v>GV</v>
          </cell>
          <cell r="I74" t="str">
            <v>GV</v>
          </cell>
          <cell r="J74" t="str">
            <v>GV105</v>
          </cell>
          <cell r="K74" t="str">
            <v>023273100</v>
          </cell>
          <cell r="L74" t="str">
            <v>1603205178923</v>
          </cell>
          <cell r="M74" t="str">
            <v>11100000793</v>
          </cell>
          <cell r="N74" t="str">
            <v>V.07.01.03</v>
          </cell>
          <cell r="O74" t="str">
            <v>A1</v>
          </cell>
          <cell r="P74">
            <v>5</v>
          </cell>
          <cell r="Q74">
            <v>3.99</v>
          </cell>
          <cell r="R74">
            <v>0.63839999999999997</v>
          </cell>
          <cell r="T74">
            <v>0</v>
          </cell>
          <cell r="U74">
            <v>0</v>
          </cell>
          <cell r="W74">
            <v>0.16</v>
          </cell>
          <cell r="X74">
            <v>0.63839999999999997</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V.07.01.03</v>
          </cell>
          <cell r="O75" t="str">
            <v>A1</v>
          </cell>
          <cell r="P75">
            <v>6</v>
          </cell>
          <cell r="Q75">
            <v>3.99</v>
          </cell>
          <cell r="R75">
            <v>0.59850000000000003</v>
          </cell>
          <cell r="T75">
            <v>0</v>
          </cell>
          <cell r="U75">
            <v>0</v>
          </cell>
          <cell r="W75">
            <v>0.15</v>
          </cell>
          <cell r="X75">
            <v>0.59850000000000003</v>
          </cell>
        </row>
        <row r="76">
          <cell r="D76" t="str">
            <v>Trần Trung Hiếu</v>
          </cell>
          <cell r="E76" t="str">
            <v>Giảng viên khoa  Điện - Điện tử</v>
          </cell>
          <cell r="F76" t="str">
            <v>ĐH</v>
          </cell>
          <cell r="H76" t="str">
            <v>GV</v>
          </cell>
          <cell r="I76" t="str">
            <v>GV</v>
          </cell>
          <cell r="J76" t="str">
            <v>GV108</v>
          </cell>
          <cell r="K76" t="str">
            <v>023172993</v>
          </cell>
          <cell r="L76" t="str">
            <v>1603205182480</v>
          </cell>
          <cell r="M76" t="str">
            <v>20500004676</v>
          </cell>
          <cell r="N76" t="str">
            <v>V.07.01.03</v>
          </cell>
          <cell r="O76" t="str">
            <v>A1</v>
          </cell>
          <cell r="P76">
            <v>5</v>
          </cell>
          <cell r="Q76">
            <v>3.99</v>
          </cell>
          <cell r="R76">
            <v>0.63839999999999997</v>
          </cell>
          <cell r="T76">
            <v>0</v>
          </cell>
          <cell r="U76">
            <v>0</v>
          </cell>
          <cell r="W76">
            <v>0.16</v>
          </cell>
          <cell r="X76">
            <v>0.63839999999999997</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V.07.01.03</v>
          </cell>
          <cell r="O77" t="str">
            <v>A1</v>
          </cell>
          <cell r="P77">
            <v>6</v>
          </cell>
          <cell r="Q77">
            <v>3.99</v>
          </cell>
          <cell r="R77">
            <v>0.59850000000000003</v>
          </cell>
          <cell r="T77">
            <v>0</v>
          </cell>
          <cell r="U77">
            <v>0</v>
          </cell>
          <cell r="W77">
            <v>0.15</v>
          </cell>
          <cell r="X77">
            <v>0.59850000000000003</v>
          </cell>
        </row>
        <row r="78">
          <cell r="D78" t="str">
            <v>Võ Thị Xuân Thơ</v>
          </cell>
          <cell r="E78" t="str">
            <v>Nhân viên phòng Tuyển sinh - Đào tạo</v>
          </cell>
          <cell r="F78" t="str">
            <v>ĐH</v>
          </cell>
          <cell r="G78" t="str">
            <v>x</v>
          </cell>
          <cell r="I78" t="str">
            <v>NV</v>
          </cell>
          <cell r="J78" t="str">
            <v>NV110</v>
          </cell>
          <cell r="K78" t="str">
            <v>024734659</v>
          </cell>
          <cell r="L78" t="str">
            <v>1603205185760</v>
          </cell>
          <cell r="M78" t="str">
            <v>11100000782</v>
          </cell>
          <cell r="N78" t="str">
            <v>V.07.01.03</v>
          </cell>
          <cell r="O78" t="str">
            <v>A1</v>
          </cell>
          <cell r="P78">
            <v>6</v>
          </cell>
          <cell r="Q78">
            <v>3.99</v>
          </cell>
          <cell r="R78">
            <v>0</v>
          </cell>
          <cell r="T78">
            <v>0</v>
          </cell>
          <cell r="U78">
            <v>0</v>
          </cell>
          <cell r="X78">
            <v>0</v>
          </cell>
        </row>
        <row r="79">
          <cell r="D79" t="str">
            <v>Nguyễn Tất Thắng</v>
          </cell>
          <cell r="E79" t="str">
            <v>Nhân viên phòng Thanh tra giáo dục - CT Sinh viên</v>
          </cell>
          <cell r="F79" t="str">
            <v>ĐH</v>
          </cell>
          <cell r="I79" t="str">
            <v>NV</v>
          </cell>
          <cell r="J79" t="str">
            <v>NV109</v>
          </cell>
          <cell r="K79" t="str">
            <v>023181301</v>
          </cell>
          <cell r="L79" t="str">
            <v>1603205179109</v>
          </cell>
          <cell r="M79" t="str">
            <v>11100000772</v>
          </cell>
          <cell r="N79" t="str">
            <v>01.003</v>
          </cell>
          <cell r="O79" t="str">
            <v>A1</v>
          </cell>
          <cell r="P79">
            <v>5</v>
          </cell>
          <cell r="Q79">
            <v>3.99</v>
          </cell>
          <cell r="R79">
            <v>0</v>
          </cell>
          <cell r="T79">
            <v>0</v>
          </cell>
          <cell r="U79">
            <v>0</v>
          </cell>
          <cell r="X79">
            <v>0</v>
          </cell>
        </row>
        <row r="80">
          <cell r="D80" t="str">
            <v>Đặng Đức Minh</v>
          </cell>
          <cell r="E80" t="str">
            <v>Giảng viên khoa  Điện - Điện tử</v>
          </cell>
          <cell r="F80" t="str">
            <v>ĐH</v>
          </cell>
          <cell r="H80" t="str">
            <v>GV</v>
          </cell>
          <cell r="I80" t="str">
            <v>TT</v>
          </cell>
          <cell r="J80" t="str">
            <v>TT060</v>
          </cell>
          <cell r="K80" t="str">
            <v>022765460</v>
          </cell>
          <cell r="L80" t="str">
            <v>1603205179020</v>
          </cell>
          <cell r="M80" t="str">
            <v>11100000783</v>
          </cell>
          <cell r="N80" t="str">
            <v>V.07.01.03</v>
          </cell>
          <cell r="O80" t="str">
            <v>A1</v>
          </cell>
          <cell r="P80">
            <v>5</v>
          </cell>
          <cell r="Q80">
            <v>3.99</v>
          </cell>
          <cell r="R80">
            <v>0.59850000000000003</v>
          </cell>
          <cell r="T80">
            <v>0</v>
          </cell>
          <cell r="U80">
            <v>0</v>
          </cell>
          <cell r="W80">
            <v>0.15</v>
          </cell>
          <cell r="X80">
            <v>0.59850000000000003</v>
          </cell>
        </row>
        <row r="81">
          <cell r="D81" t="str">
            <v>Nguyễn Thị Tố Nga</v>
          </cell>
          <cell r="E81" t="str">
            <v>Giảng viên khoa  Điện - Điện tử</v>
          </cell>
          <cell r="F81" t="str">
            <v>ĐH</v>
          </cell>
          <cell r="G81" t="str">
            <v>x</v>
          </cell>
          <cell r="H81" t="str">
            <v>GV</v>
          </cell>
          <cell r="I81" t="str">
            <v>GV</v>
          </cell>
          <cell r="J81" t="str">
            <v>GV111</v>
          </cell>
          <cell r="K81" t="str">
            <v>025602565</v>
          </cell>
          <cell r="L81" t="str">
            <v>1603205178969</v>
          </cell>
          <cell r="M81" t="str">
            <v>11100000779</v>
          </cell>
          <cell r="N81" t="str">
            <v>V.07.01.03</v>
          </cell>
          <cell r="O81" t="str">
            <v>A1</v>
          </cell>
          <cell r="P81">
            <v>5</v>
          </cell>
          <cell r="Q81">
            <v>3.99</v>
          </cell>
          <cell r="R81">
            <v>0.59850000000000003</v>
          </cell>
          <cell r="T81">
            <v>0</v>
          </cell>
          <cell r="U81">
            <v>0</v>
          </cell>
          <cell r="W81">
            <v>0.15</v>
          </cell>
          <cell r="X81">
            <v>0.59850000000000003</v>
          </cell>
        </row>
        <row r="82">
          <cell r="D82" t="str">
            <v>Nguyễn Thị Ngọc Hiền</v>
          </cell>
          <cell r="E82" t="str">
            <v>Giảng viên khoa  Điện - Điện tử</v>
          </cell>
          <cell r="F82" t="str">
            <v>ĐH</v>
          </cell>
          <cell r="G82" t="str">
            <v>x</v>
          </cell>
          <cell r="H82" t="str">
            <v>GV</v>
          </cell>
          <cell r="I82" t="str">
            <v>GV</v>
          </cell>
          <cell r="J82" t="str">
            <v>GV113</v>
          </cell>
          <cell r="K82" t="str">
            <v>024346476</v>
          </cell>
          <cell r="L82" t="str">
            <v>1603205178900</v>
          </cell>
          <cell r="M82" t="str">
            <v>11100000786</v>
          </cell>
          <cell r="N82" t="str">
            <v>V.07.01.03</v>
          </cell>
          <cell r="O82" t="str">
            <v>A1</v>
          </cell>
          <cell r="P82">
            <v>5</v>
          </cell>
          <cell r="Q82">
            <v>3.99</v>
          </cell>
          <cell r="R82">
            <v>0.59850000000000003</v>
          </cell>
          <cell r="T82">
            <v>0</v>
          </cell>
          <cell r="U82">
            <v>0</v>
          </cell>
          <cell r="W82">
            <v>0.15</v>
          </cell>
          <cell r="X82">
            <v>0.59850000000000003</v>
          </cell>
        </row>
        <row r="83">
          <cell r="D83" t="str">
            <v>Lê Thế Huân</v>
          </cell>
          <cell r="E83" t="str">
            <v>Giảng viên khoa  Điện - Điện tử</v>
          </cell>
          <cell r="F83" t="str">
            <v>ĐH</v>
          </cell>
          <cell r="H83" t="str">
            <v>GV</v>
          </cell>
          <cell r="I83" t="str">
            <v>GV</v>
          </cell>
          <cell r="J83" t="str">
            <v>GV114</v>
          </cell>
          <cell r="K83" t="str">
            <v>021710558</v>
          </cell>
          <cell r="L83" t="str">
            <v>1603205182450</v>
          </cell>
          <cell r="M83" t="str">
            <v>11100000777</v>
          </cell>
          <cell r="N83" t="str">
            <v>V.07.01.03</v>
          </cell>
          <cell r="O83" t="str">
            <v>A1</v>
          </cell>
          <cell r="P83">
            <v>5</v>
          </cell>
          <cell r="Q83">
            <v>3.99</v>
          </cell>
          <cell r="R83">
            <v>0.59850000000000003</v>
          </cell>
          <cell r="T83">
            <v>0</v>
          </cell>
          <cell r="U83">
            <v>0</v>
          </cell>
          <cell r="W83">
            <v>0.15</v>
          </cell>
          <cell r="X83">
            <v>0.59850000000000003</v>
          </cell>
        </row>
        <row r="84">
          <cell r="D84" t="str">
            <v>Mạnh Lê Hoàn</v>
          </cell>
          <cell r="E84" t="str">
            <v>Giảng viên khoa  Điện - Điện tử</v>
          </cell>
          <cell r="F84" t="str">
            <v>ĐH</v>
          </cell>
          <cell r="H84" t="str">
            <v>GV</v>
          </cell>
          <cell r="I84" t="str">
            <v>GV</v>
          </cell>
          <cell r="J84" t="str">
            <v>GV119</v>
          </cell>
          <cell r="K84" t="str">
            <v>023205612</v>
          </cell>
          <cell r="L84" t="str">
            <v>1603205182473</v>
          </cell>
          <cell r="M84" t="str">
            <v>11100075983</v>
          </cell>
          <cell r="N84" t="str">
            <v>V.07.01.03</v>
          </cell>
          <cell r="O84" t="str">
            <v>A1</v>
          </cell>
          <cell r="P84">
            <v>5</v>
          </cell>
          <cell r="Q84">
            <v>3.99</v>
          </cell>
          <cell r="R84">
            <v>0.59850000000000003</v>
          </cell>
          <cell r="T84">
            <v>0</v>
          </cell>
          <cell r="U84">
            <v>0</v>
          </cell>
          <cell r="W84">
            <v>0.15</v>
          </cell>
          <cell r="X84">
            <v>0.59850000000000003</v>
          </cell>
        </row>
        <row r="85">
          <cell r="D85" t="str">
            <v>Nguyễn Văn Sơn</v>
          </cell>
          <cell r="E85" t="str">
            <v>Giảng viên khoa  Cơ khí</v>
          </cell>
          <cell r="F85" t="str">
            <v>ĐH</v>
          </cell>
          <cell r="I85" t="str">
            <v>GV</v>
          </cell>
          <cell r="J85" t="str">
            <v>GV135</v>
          </cell>
          <cell r="K85" t="str">
            <v>038065000896</v>
          </cell>
          <cell r="L85" t="str">
            <v>1603205185698</v>
          </cell>
          <cell r="M85" t="str">
            <v>11100000739</v>
          </cell>
          <cell r="N85" t="str">
            <v>V.07.01.03</v>
          </cell>
          <cell r="O85" t="str">
            <v>A1</v>
          </cell>
          <cell r="P85">
            <v>9</v>
          </cell>
          <cell r="Q85">
            <v>4.9800000000000004</v>
          </cell>
          <cell r="R85">
            <v>1.9581</v>
          </cell>
          <cell r="S85">
            <v>8</v>
          </cell>
          <cell r="T85">
            <v>0.39839999999999998</v>
          </cell>
          <cell r="U85">
            <v>593616.00000000012</v>
          </cell>
          <cell r="W85">
            <v>0.28999999999999998</v>
          </cell>
          <cell r="X85">
            <v>1.5597000000000001</v>
          </cell>
        </row>
        <row r="86">
          <cell r="D86" t="str">
            <v>Nguyễn Thị Nhuận</v>
          </cell>
          <cell r="E86" t="str">
            <v>Phó Trưởng phòng TS - ĐT</v>
          </cell>
          <cell r="F86" t="str">
            <v>ĐH</v>
          </cell>
          <cell r="G86" t="str">
            <v>x</v>
          </cell>
          <cell r="I86" t="str">
            <v>GV</v>
          </cell>
          <cell r="J86" t="str">
            <v>GV126</v>
          </cell>
          <cell r="K86" t="str">
            <v>023331855</v>
          </cell>
          <cell r="L86" t="str">
            <v>1603205186786</v>
          </cell>
          <cell r="M86" t="str">
            <v>11100000798</v>
          </cell>
          <cell r="N86" t="str">
            <v>V.07.01.03</v>
          </cell>
          <cell r="O86" t="str">
            <v>A1</v>
          </cell>
          <cell r="P86">
            <v>6</v>
          </cell>
          <cell r="Q86">
            <v>4.32</v>
          </cell>
          <cell r="R86">
            <v>1.0505</v>
          </cell>
          <cell r="T86">
            <v>0</v>
          </cell>
          <cell r="U86">
            <v>0</v>
          </cell>
          <cell r="V86">
            <v>0.35</v>
          </cell>
          <cell r="W86">
            <v>0.15</v>
          </cell>
          <cell r="X86">
            <v>0.70050000000000001</v>
          </cell>
        </row>
        <row r="87">
          <cell r="D87" t="str">
            <v>Phạm Thị Thanh Thúy</v>
          </cell>
          <cell r="E87" t="str">
            <v>Giảng viên khoa CN May - Thời trang</v>
          </cell>
          <cell r="G87" t="str">
            <v>x</v>
          </cell>
          <cell r="K87" t="str">
            <v>022931960</v>
          </cell>
          <cell r="L87" t="str">
            <v>1603205426614</v>
          </cell>
          <cell r="M87" t="str">
            <v>40900000624</v>
          </cell>
          <cell r="N87" t="str">
            <v>V.07.01.03</v>
          </cell>
          <cell r="O87" t="str">
            <v>A1</v>
          </cell>
          <cell r="P87">
            <v>7</v>
          </cell>
          <cell r="Q87">
            <v>4.6500000000000004</v>
          </cell>
          <cell r="R87">
            <v>0.83699999999999997</v>
          </cell>
          <cell r="T87">
            <v>0</v>
          </cell>
          <cell r="U87">
            <v>0</v>
          </cell>
          <cell r="W87">
            <v>0.18</v>
          </cell>
          <cell r="X87">
            <v>0.83699999999999997</v>
          </cell>
        </row>
        <row r="88">
          <cell r="D88" t="str">
            <v>Nguyễn Thanh Sơn</v>
          </cell>
          <cell r="E88" t="str">
            <v>Nhân viên phòng Khảo thí và KĐCL</v>
          </cell>
          <cell r="F88" t="str">
            <v>ĐH</v>
          </cell>
          <cell r="K88" t="str">
            <v>020933341</v>
          </cell>
          <cell r="L88" t="str">
            <v>1603205303449</v>
          </cell>
          <cell r="M88" t="str">
            <v>11100122989</v>
          </cell>
          <cell r="N88" t="str">
            <v>01.003</v>
          </cell>
          <cell r="O88" t="str">
            <v>A1</v>
          </cell>
          <cell r="P88">
            <v>9</v>
          </cell>
          <cell r="Q88">
            <v>4.9800000000000004</v>
          </cell>
          <cell r="R88">
            <v>0.79679999999999995</v>
          </cell>
          <cell r="S88">
            <v>16</v>
          </cell>
          <cell r="T88">
            <v>0.79679999999999995</v>
          </cell>
          <cell r="U88">
            <v>1187232.0000000002</v>
          </cell>
          <cell r="X88">
            <v>0</v>
          </cell>
        </row>
        <row r="89">
          <cell r="D89" t="str">
            <v>Võ Minh Quang</v>
          </cell>
          <cell r="E89" t="str">
            <v>Giảng viên khoa Công nghệ Cơ khí</v>
          </cell>
          <cell r="F89" t="str">
            <v>CĐ</v>
          </cell>
          <cell r="I89" t="str">
            <v>GV</v>
          </cell>
          <cell r="J89" t="str">
            <v>GV136</v>
          </cell>
          <cell r="K89" t="str">
            <v>021722359</v>
          </cell>
          <cell r="L89" t="str">
            <v>1603205182228</v>
          </cell>
          <cell r="M89" t="str">
            <v>11100000738</v>
          </cell>
          <cell r="N89" t="str">
            <v>V.07.01.03</v>
          </cell>
          <cell r="O89" t="str">
            <v>A0</v>
          </cell>
          <cell r="P89">
            <v>10</v>
          </cell>
          <cell r="Q89">
            <v>4.9800000000000004</v>
          </cell>
          <cell r="R89">
            <v>1.734</v>
          </cell>
          <cell r="S89">
            <v>7</v>
          </cell>
          <cell r="T89">
            <v>0.34860000000000002</v>
          </cell>
          <cell r="U89">
            <v>519414</v>
          </cell>
          <cell r="W89">
            <v>0.26</v>
          </cell>
          <cell r="X89">
            <v>1.3854</v>
          </cell>
        </row>
        <row r="90">
          <cell r="D90" t="str">
            <v>Hà Nhật Thanh</v>
          </cell>
          <cell r="E90" t="str">
            <v>Nhân viên phòng Quản trị - Dịch vụ</v>
          </cell>
          <cell r="F90" t="str">
            <v>ĐH</v>
          </cell>
          <cell r="I90" t="str">
            <v>GV</v>
          </cell>
          <cell r="J90" t="str">
            <v>GV134</v>
          </cell>
          <cell r="K90" t="str">
            <v>139062000011</v>
          </cell>
          <cell r="L90" t="str">
            <v>1603205179150</v>
          </cell>
          <cell r="M90" t="str">
            <v>11100000741</v>
          </cell>
          <cell r="N90" t="str">
            <v>01.004</v>
          </cell>
          <cell r="O90" t="str">
            <v>A0</v>
          </cell>
          <cell r="P90">
            <v>10</v>
          </cell>
          <cell r="Q90">
            <v>4.8899999999999997</v>
          </cell>
          <cell r="R90">
            <v>0.29339999999999999</v>
          </cell>
          <cell r="S90">
            <v>6</v>
          </cell>
          <cell r="T90">
            <v>0.29339999999999999</v>
          </cell>
          <cell r="U90">
            <v>437165.99999999994</v>
          </cell>
          <cell r="X90">
            <v>0</v>
          </cell>
        </row>
        <row r="91">
          <cell r="D91" t="str">
            <v>CỘNG BIÊN CHẾ</v>
          </cell>
          <cell r="G91">
            <v>27</v>
          </cell>
          <cell r="H91">
            <v>47</v>
          </cell>
          <cell r="Q91">
            <v>354.52000000000004</v>
          </cell>
          <cell r="R91">
            <v>84.058299999999974</v>
          </cell>
          <cell r="S91">
            <v>9.2075999999999976</v>
          </cell>
          <cell r="T91">
            <v>9.2075999999999976</v>
          </cell>
          <cell r="U91">
            <v>13719324</v>
          </cell>
          <cell r="V91">
            <v>12.699999999999996</v>
          </cell>
          <cell r="X91">
            <v>62.150700000000008</v>
          </cell>
        </row>
        <row r="92">
          <cell r="D92" t="str">
            <v>B. HỢP ĐỒNG LÀM VIỆC LẦN ĐẦU</v>
          </cell>
        </row>
        <row r="93">
          <cell r="D93" t="str">
            <v>Trương Thị Hồng</v>
          </cell>
          <cell r="E93" t="str">
            <v>GV Khoa KHCB</v>
          </cell>
          <cell r="N93" t="str">
            <v>V.07.01.03</v>
          </cell>
          <cell r="Q93">
            <v>2.2690000000000001</v>
          </cell>
          <cell r="T93">
            <v>0</v>
          </cell>
          <cell r="X93">
            <v>0</v>
          </cell>
        </row>
        <row r="94">
          <cell r="D94" t="str">
            <v>Huỳnh Thị Minh Ly</v>
          </cell>
          <cell r="E94" t="str">
            <v>GV Khoa CNTT</v>
          </cell>
          <cell r="N94" t="str">
            <v>V.07.01.03</v>
          </cell>
          <cell r="Q94">
            <v>2.2690000000000001</v>
          </cell>
          <cell r="T94">
            <v>0</v>
          </cell>
          <cell r="X94">
            <v>0</v>
          </cell>
        </row>
        <row r="95">
          <cell r="D95" t="str">
            <v>Nguyễn Thị Minh Thùy</v>
          </cell>
          <cell r="E95" t="str">
            <v>GV Khoa Kinh tế</v>
          </cell>
          <cell r="N95" t="str">
            <v>V.07.01.03</v>
          </cell>
          <cell r="Q95">
            <v>2.2690000000000001</v>
          </cell>
          <cell r="T95">
            <v>0</v>
          </cell>
          <cell r="X95">
            <v>0</v>
          </cell>
        </row>
        <row r="96">
          <cell r="D96" t="str">
            <v>Võ Tấn Kiệt</v>
          </cell>
          <cell r="E96" t="str">
            <v>Nhân viên phòng Quản trị - Dịch vụ</v>
          </cell>
          <cell r="N96" t="str">
            <v>V.05.02.07</v>
          </cell>
          <cell r="Q96">
            <v>1.9890000000000001</v>
          </cell>
          <cell r="T96">
            <v>0</v>
          </cell>
          <cell r="X96">
            <v>0</v>
          </cell>
        </row>
        <row r="97">
          <cell r="D97" t="str">
            <v>Huỳnh Chí Giỏi</v>
          </cell>
          <cell r="E97" t="str">
            <v>Giảng viên khoa Kinh tế</v>
          </cell>
          <cell r="L97" t="str">
            <v>1603205637010</v>
          </cell>
          <cell r="N97" t="str">
            <v>V.09.02.03</v>
          </cell>
          <cell r="Q97">
            <v>2.2690000000000001</v>
          </cell>
          <cell r="T97">
            <v>0</v>
          </cell>
          <cell r="X97">
            <v>0</v>
          </cell>
        </row>
        <row r="98">
          <cell r="D98" t="str">
            <v>Lâm Thị Phương Thảo</v>
          </cell>
          <cell r="E98" t="str">
            <v>Giảng viên khoa KHCB</v>
          </cell>
          <cell r="L98" t="str">
            <v>1603205637004</v>
          </cell>
          <cell r="N98" t="str">
            <v>V.09.02.03</v>
          </cell>
          <cell r="Q98">
            <v>1.9890000000000001</v>
          </cell>
          <cell r="T98">
            <v>0</v>
          </cell>
          <cell r="X98">
            <v>0</v>
          </cell>
        </row>
        <row r="99">
          <cell r="D99" t="str">
            <v>Trình Minh Phong</v>
          </cell>
          <cell r="E99" t="str">
            <v>Giảng viên khoa xây dựng</v>
          </cell>
          <cell r="L99" t="str">
            <v>1603205634954</v>
          </cell>
          <cell r="N99" t="str">
            <v>V.09.02.03</v>
          </cell>
          <cell r="Q99">
            <v>2.2690000000000001</v>
          </cell>
          <cell r="T99">
            <v>0</v>
          </cell>
          <cell r="X99">
            <v>0</v>
          </cell>
        </row>
        <row r="100">
          <cell r="D100" t="str">
            <v>Nguyễn Hoàng Vinh</v>
          </cell>
          <cell r="E100" t="str">
            <v>Giảng viên khoa Động lực</v>
          </cell>
          <cell r="L100" t="str">
            <v>1603205634948</v>
          </cell>
          <cell r="N100" t="str">
            <v>V.09.02.03</v>
          </cell>
          <cell r="Q100">
            <v>1.9890000000000001</v>
          </cell>
          <cell r="T100">
            <v>0</v>
          </cell>
          <cell r="X100">
            <v>0</v>
          </cell>
        </row>
        <row r="101">
          <cell r="D101" t="str">
            <v>Đỗ Hoàng Duy</v>
          </cell>
          <cell r="E101" t="str">
            <v>Giảng viên khoa Động lực</v>
          </cell>
          <cell r="L101" t="str">
            <v>1603205634960</v>
          </cell>
          <cell r="N101" t="str">
            <v>V.09.02.03</v>
          </cell>
          <cell r="Q101">
            <v>1.9890000000000001</v>
          </cell>
          <cell r="T101">
            <v>0</v>
          </cell>
          <cell r="X101">
            <v>0</v>
          </cell>
        </row>
        <row r="102">
          <cell r="D102" t="str">
            <v xml:space="preserve"> CỘNG HỢP ĐỒNG LV LẦN ĐẦU</v>
          </cell>
          <cell r="Q102">
            <v>19.301000000000002</v>
          </cell>
          <cell r="S102">
            <v>0</v>
          </cell>
          <cell r="T102">
            <v>0</v>
          </cell>
          <cell r="V102">
            <v>0</v>
          </cell>
          <cell r="W102">
            <v>0</v>
          </cell>
          <cell r="X102">
            <v>0</v>
          </cell>
        </row>
        <row r="103">
          <cell r="D103" t="str">
            <v>C. HỢP ĐỒNG LÀM VIỆC CÓ THỜI HẠN</v>
          </cell>
        </row>
        <row r="104">
          <cell r="D104" t="str">
            <v>D. HỢP ĐỒNG LÀM VIỆC KHÔNG THỜI HẠN</v>
          </cell>
        </row>
        <row r="105">
          <cell r="D105" t="str">
            <v>Nguyễn Anh Tuấn</v>
          </cell>
          <cell r="E105" t="str">
            <v>Trưởng khoa Động lực</v>
          </cell>
          <cell r="F105" t="str">
            <v>Th.S</v>
          </cell>
          <cell r="H105" t="str">
            <v>GV</v>
          </cell>
          <cell r="I105" t="str">
            <v>GV</v>
          </cell>
          <cell r="J105" t="str">
            <v>GV168</v>
          </cell>
          <cell r="K105" t="str">
            <v>023376448</v>
          </cell>
          <cell r="L105" t="str">
            <v>1603205178736</v>
          </cell>
          <cell r="M105" t="str">
            <v>11100067231</v>
          </cell>
          <cell r="N105" t="str">
            <v>V.07.01.03</v>
          </cell>
          <cell r="O105" t="str">
            <v>A1</v>
          </cell>
          <cell r="P105">
            <v>5</v>
          </cell>
          <cell r="Q105">
            <v>3.99</v>
          </cell>
          <cell r="R105">
            <v>1.0272000000000001</v>
          </cell>
          <cell r="T105">
            <v>0</v>
          </cell>
          <cell r="U105">
            <v>0</v>
          </cell>
          <cell r="V105">
            <v>0.45</v>
          </cell>
          <cell r="W105">
            <v>0.13</v>
          </cell>
          <cell r="X105">
            <v>0.57720000000000005</v>
          </cell>
        </row>
        <row r="106">
          <cell r="D106" t="str">
            <v>Chung Trần Thế Vinh</v>
          </cell>
          <cell r="E106" t="str">
            <v>Trưởng khoa Cơ khí</v>
          </cell>
          <cell r="F106" t="str">
            <v>ĐH</v>
          </cell>
          <cell r="H106" t="str">
            <v>GV</v>
          </cell>
          <cell r="I106" t="str">
            <v>GV</v>
          </cell>
          <cell r="J106" t="str">
            <v>GV155</v>
          </cell>
          <cell r="K106" t="str">
            <v>023353491</v>
          </cell>
          <cell r="L106" t="str">
            <v>1603205182132</v>
          </cell>
          <cell r="M106" t="str">
            <v>11100000814</v>
          </cell>
          <cell r="N106" t="str">
            <v>V.07.01.03</v>
          </cell>
          <cell r="O106" t="str">
            <v>A1</v>
          </cell>
          <cell r="P106">
            <v>5</v>
          </cell>
          <cell r="Q106">
            <v>3.99</v>
          </cell>
          <cell r="R106">
            <v>1.0716000000000001</v>
          </cell>
          <cell r="T106">
            <v>0</v>
          </cell>
          <cell r="U106">
            <v>0</v>
          </cell>
          <cell r="V106">
            <v>0.45</v>
          </cell>
          <cell r="W106">
            <v>0.14000000000000001</v>
          </cell>
          <cell r="X106">
            <v>0.62160000000000004</v>
          </cell>
        </row>
        <row r="107">
          <cell r="D107" t="str">
            <v>Nguyễn Thành Nam</v>
          </cell>
          <cell r="E107" t="str">
            <v>Trưởng khoa Khoa học cơ bản</v>
          </cell>
          <cell r="K107" t="str">
            <v>024858065</v>
          </cell>
          <cell r="M107" t="str">
            <v>60400000280</v>
          </cell>
          <cell r="N107" t="str">
            <v>V.07.01.03</v>
          </cell>
          <cell r="O107" t="str">
            <v>A1</v>
          </cell>
          <cell r="P107">
            <v>5</v>
          </cell>
          <cell r="Q107">
            <v>3.99</v>
          </cell>
          <cell r="R107">
            <v>1.1160000000000001</v>
          </cell>
          <cell r="T107">
            <v>0</v>
          </cell>
          <cell r="U107">
            <v>0</v>
          </cell>
          <cell r="V107">
            <v>0.45</v>
          </cell>
          <cell r="W107">
            <v>0.15</v>
          </cell>
          <cell r="X107">
            <v>0.66600000000000004</v>
          </cell>
        </row>
        <row r="108">
          <cell r="D108" t="str">
            <v>Đỗ Tuấn Việt</v>
          </cell>
          <cell r="E108" t="str">
            <v>Trưởng Trung tâm Thư viện</v>
          </cell>
          <cell r="F108" t="str">
            <v>ĐH</v>
          </cell>
          <cell r="I108" t="str">
            <v>GV</v>
          </cell>
          <cell r="J108" t="str">
            <v>GV140</v>
          </cell>
          <cell r="K108" t="str">
            <v>025408856</v>
          </cell>
          <cell r="L108" t="str">
            <v>1603205185305</v>
          </cell>
          <cell r="M108" t="str">
            <v>11100082715</v>
          </cell>
          <cell r="N108" t="str">
            <v>V.07.01.03</v>
          </cell>
          <cell r="O108" t="str">
            <v>A1</v>
          </cell>
          <cell r="P108">
            <v>4</v>
          </cell>
          <cell r="Q108">
            <v>3.66</v>
          </cell>
          <cell r="R108">
            <v>0.90210000000000001</v>
          </cell>
          <cell r="T108">
            <v>0</v>
          </cell>
          <cell r="U108">
            <v>0</v>
          </cell>
          <cell r="V108">
            <v>0.45</v>
          </cell>
          <cell r="W108">
            <v>0.11</v>
          </cell>
          <cell r="X108">
            <v>0.4521</v>
          </cell>
        </row>
        <row r="109">
          <cell r="D109" t="str">
            <v>Nguyễn Hữu Thiện</v>
          </cell>
          <cell r="E109" t="str">
            <v>Trưởng TT Điều hành và quản lý dữ liệu</v>
          </cell>
          <cell r="F109" t="str">
            <v>ĐH</v>
          </cell>
          <cell r="I109" t="str">
            <v>NV</v>
          </cell>
          <cell r="J109" t="str">
            <v>NV208</v>
          </cell>
          <cell r="K109" t="str">
            <v>023809591</v>
          </cell>
          <cell r="L109" t="str">
            <v>1603205185147</v>
          </cell>
          <cell r="M109" t="str">
            <v>11100083326</v>
          </cell>
          <cell r="N109" t="str">
            <v>V.07.01.03</v>
          </cell>
          <cell r="O109" t="str">
            <v>A1</v>
          </cell>
          <cell r="P109">
            <v>3</v>
          </cell>
          <cell r="Q109">
            <v>3.33</v>
          </cell>
          <cell r="R109">
            <v>0.71460000000000001</v>
          </cell>
          <cell r="T109">
            <v>0</v>
          </cell>
          <cell r="U109">
            <v>0</v>
          </cell>
          <cell r="V109">
            <v>0.45</v>
          </cell>
          <cell r="W109">
            <v>7.0000000000000007E-2</v>
          </cell>
          <cell r="X109">
            <v>0.2646</v>
          </cell>
        </row>
        <row r="110">
          <cell r="D110" t="str">
            <v>Nguyễn Văn Chiến</v>
          </cell>
          <cell r="E110" t="str">
            <v>Trưởng TT Quan hệ doanh nghiệp</v>
          </cell>
          <cell r="I110" t="str">
            <v>NV</v>
          </cell>
          <cell r="K110" t="str">
            <v>250411489</v>
          </cell>
          <cell r="L110" t="str">
            <v>1603205341369</v>
          </cell>
          <cell r="M110" t="str">
            <v>40800000177</v>
          </cell>
          <cell r="N110" t="str">
            <v>V.05.02.07</v>
          </cell>
          <cell r="O110" t="str">
            <v>A1</v>
          </cell>
          <cell r="P110">
            <v>5</v>
          </cell>
          <cell r="Q110">
            <v>3.99</v>
          </cell>
          <cell r="R110">
            <v>0.45</v>
          </cell>
          <cell r="T110">
            <v>0</v>
          </cell>
          <cell r="U110">
            <v>0</v>
          </cell>
          <cell r="V110">
            <v>0.45</v>
          </cell>
          <cell r="X110">
            <v>0</v>
          </cell>
        </row>
        <row r="111">
          <cell r="D111" t="str">
            <v>Lương Xuân Thịnh</v>
          </cell>
          <cell r="E111" t="str">
            <v>Phó Trưởng TT Quan hệ doanh nghiệp</v>
          </cell>
          <cell r="K111" t="str">
            <v>051091000077</v>
          </cell>
          <cell r="N111" t="str">
            <v>V.05.02.07</v>
          </cell>
          <cell r="Q111">
            <v>2.34</v>
          </cell>
          <cell r="R111">
            <v>0.35</v>
          </cell>
          <cell r="T111">
            <v>0</v>
          </cell>
          <cell r="V111">
            <v>0.35</v>
          </cell>
          <cell r="X111">
            <v>0</v>
          </cell>
        </row>
        <row r="112">
          <cell r="D112" t="str">
            <v>Nguyễn Thị Kim Dung</v>
          </cell>
          <cell r="E112" t="str">
            <v>Phó Trưởng phòng Kế hoạch - Tài chính</v>
          </cell>
          <cell r="F112" t="str">
            <v>ĐH</v>
          </cell>
          <cell r="G112" t="str">
            <v>x</v>
          </cell>
          <cell r="I112" t="str">
            <v>NV</v>
          </cell>
          <cell r="J112" t="str">
            <v>NV203</v>
          </cell>
          <cell r="K112" t="str">
            <v>035179002848</v>
          </cell>
          <cell r="L112" t="str">
            <v>1603205182336</v>
          </cell>
          <cell r="M112" t="str">
            <v>11100071598</v>
          </cell>
          <cell r="N112" t="str">
            <v>06.031</v>
          </cell>
          <cell r="O112" t="str">
            <v>A1</v>
          </cell>
          <cell r="P112">
            <v>5</v>
          </cell>
          <cell r="Q112">
            <v>3.99</v>
          </cell>
          <cell r="R112">
            <v>0.35</v>
          </cell>
          <cell r="T112">
            <v>0</v>
          </cell>
          <cell r="U112">
            <v>0</v>
          </cell>
          <cell r="V112">
            <v>0.35</v>
          </cell>
          <cell r="X112">
            <v>0</v>
          </cell>
        </row>
        <row r="113">
          <cell r="D113" t="str">
            <v>Nguyễn Ngọc Quỳnh</v>
          </cell>
          <cell r="E113" t="str">
            <v>Phó Trưởng khoa Lý luận chính trị</v>
          </cell>
          <cell r="F113" t="str">
            <v>ĐH</v>
          </cell>
          <cell r="H113" t="str">
            <v>GV</v>
          </cell>
          <cell r="I113" t="str">
            <v>GV</v>
          </cell>
          <cell r="J113" t="str">
            <v>GV256</v>
          </cell>
          <cell r="K113" t="str">
            <v>025531048</v>
          </cell>
          <cell r="L113" t="str">
            <v>1603205186264</v>
          </cell>
          <cell r="M113" t="str">
            <v>11100110132</v>
          </cell>
          <cell r="N113" t="str">
            <v>V.07.01.03</v>
          </cell>
          <cell r="O113" t="str">
            <v>A1</v>
          </cell>
          <cell r="P113">
            <v>3</v>
          </cell>
          <cell r="Q113">
            <v>3.33</v>
          </cell>
          <cell r="R113">
            <v>0.68120000000000003</v>
          </cell>
          <cell r="T113">
            <v>0</v>
          </cell>
          <cell r="U113">
            <v>0</v>
          </cell>
          <cell r="V113">
            <v>0.35</v>
          </cell>
          <cell r="W113">
            <v>0.09</v>
          </cell>
          <cell r="X113">
            <v>0.33119999999999999</v>
          </cell>
        </row>
        <row r="114">
          <cell r="D114" t="str">
            <v>Lê Thị Hồng Vân</v>
          </cell>
          <cell r="E114" t="str">
            <v>Phó Trưởng khoa Lý luận chính trị</v>
          </cell>
          <cell r="F114" t="str">
            <v>Th.S</v>
          </cell>
          <cell r="G114" t="str">
            <v>x</v>
          </cell>
          <cell r="H114" t="str">
            <v>GV</v>
          </cell>
          <cell r="I114" t="str">
            <v>GV</v>
          </cell>
          <cell r="J114" t="str">
            <v>GV143</v>
          </cell>
          <cell r="K114" t="str">
            <v>024774604</v>
          </cell>
          <cell r="L114" t="str">
            <v>1603205189761</v>
          </cell>
          <cell r="M114" t="str">
            <v>11100082586</v>
          </cell>
          <cell r="N114" t="str">
            <v>V.07.01.03</v>
          </cell>
          <cell r="O114" t="str">
            <v>A1</v>
          </cell>
          <cell r="P114">
            <v>4</v>
          </cell>
          <cell r="Q114">
            <v>3.66</v>
          </cell>
          <cell r="R114">
            <v>0.79109999999999991</v>
          </cell>
          <cell r="T114">
            <v>0</v>
          </cell>
          <cell r="U114">
            <v>0</v>
          </cell>
          <cell r="V114">
            <v>0.35</v>
          </cell>
          <cell r="W114">
            <v>0.11</v>
          </cell>
          <cell r="X114">
            <v>0.44109999999999999</v>
          </cell>
        </row>
        <row r="115">
          <cell r="D115" t="str">
            <v>Trần Đình Khải</v>
          </cell>
          <cell r="E115" t="str">
            <v>Phó Trưởng khoa Cơ khí</v>
          </cell>
          <cell r="F115" t="str">
            <v>ĐH</v>
          </cell>
          <cell r="H115" t="str">
            <v>GV</v>
          </cell>
          <cell r="I115" t="str">
            <v>GV</v>
          </cell>
          <cell r="J115" t="str">
            <v>GV226</v>
          </cell>
          <cell r="K115" t="str">
            <v>051068000336</v>
          </cell>
          <cell r="L115" t="str">
            <v>1603205309314</v>
          </cell>
          <cell r="M115" t="str">
            <v>11100096323</v>
          </cell>
          <cell r="N115" t="str">
            <v>V.07.01.03</v>
          </cell>
          <cell r="O115" t="str">
            <v>A1</v>
          </cell>
          <cell r="P115">
            <v>3</v>
          </cell>
          <cell r="Q115">
            <v>3.33</v>
          </cell>
          <cell r="R115">
            <v>0.71799999999999997</v>
          </cell>
          <cell r="T115">
            <v>0</v>
          </cell>
          <cell r="U115">
            <v>0</v>
          </cell>
          <cell r="V115">
            <v>0.35</v>
          </cell>
          <cell r="W115">
            <v>0.1</v>
          </cell>
          <cell r="X115">
            <v>0.36799999999999999</v>
          </cell>
        </row>
        <row r="116">
          <cell r="D116" t="str">
            <v>Đinh Đồng Hiệp</v>
          </cell>
          <cell r="E116" t="str">
            <v>Phó Trưởng khoa Nhiệt - Lạnh</v>
          </cell>
          <cell r="K116" t="str">
            <v>020750459</v>
          </cell>
          <cell r="L116" t="str">
            <v>1603205398734</v>
          </cell>
          <cell r="M116" t="str">
            <v>31100001367</v>
          </cell>
          <cell r="N116" t="str">
            <v>V.07.01.03</v>
          </cell>
          <cell r="O116" t="str">
            <v>A1</v>
          </cell>
          <cell r="P116">
            <v>3</v>
          </cell>
          <cell r="Q116">
            <v>3</v>
          </cell>
          <cell r="R116">
            <v>0.51749999999999996</v>
          </cell>
          <cell r="T116">
            <v>0</v>
          </cell>
          <cell r="V116">
            <v>0.35</v>
          </cell>
          <cell r="W116">
            <v>0.05</v>
          </cell>
          <cell r="X116">
            <v>0.16750000000000001</v>
          </cell>
        </row>
        <row r="117">
          <cell r="D117" t="str">
            <v>Trần Vĩnh Xuyên</v>
          </cell>
          <cell r="E117" t="str">
            <v>Phó Trưởng khoa CNTT</v>
          </cell>
          <cell r="H117" t="str">
            <v>GV</v>
          </cell>
          <cell r="I117" t="str">
            <v>GV</v>
          </cell>
          <cell r="K117" t="str">
            <v>025624118</v>
          </cell>
          <cell r="M117" t="str">
            <v>21000001100</v>
          </cell>
          <cell r="N117" t="str">
            <v>V.07.01.03</v>
          </cell>
          <cell r="O117" t="str">
            <v>A1</v>
          </cell>
          <cell r="P117">
            <v>3</v>
          </cell>
          <cell r="Q117">
            <v>3.33</v>
          </cell>
          <cell r="R117">
            <v>0.60759999999999992</v>
          </cell>
          <cell r="T117">
            <v>0</v>
          </cell>
          <cell r="U117">
            <v>0</v>
          </cell>
          <cell r="V117">
            <v>0.35</v>
          </cell>
          <cell r="W117">
            <v>7.0000000000000007E-2</v>
          </cell>
          <cell r="X117">
            <v>0.2576</v>
          </cell>
        </row>
        <row r="118">
          <cell r="D118" t="str">
            <v>Phạm Quang Vũ</v>
          </cell>
          <cell r="E118" t="str">
            <v>Phó Trưởng khoa Xây dựng</v>
          </cell>
          <cell r="K118" t="str">
            <v>240895328</v>
          </cell>
          <cell r="N118" t="str">
            <v>V.07.01.03</v>
          </cell>
          <cell r="Q118">
            <v>3.33</v>
          </cell>
          <cell r="R118">
            <v>0.68120000000000003</v>
          </cell>
          <cell r="T118">
            <v>0</v>
          </cell>
          <cell r="V118">
            <v>0.35</v>
          </cell>
          <cell r="W118">
            <v>0.09</v>
          </cell>
          <cell r="X118">
            <v>0.33119999999999999</v>
          </cell>
        </row>
        <row r="119">
          <cell r="D119" t="str">
            <v>Nguyễn Ngọc Thọ</v>
          </cell>
          <cell r="E119" t="str">
            <v>Phó Trưởng khoa  May - Thời trang</v>
          </cell>
          <cell r="K119" t="str">
            <v>025076575</v>
          </cell>
          <cell r="L119" t="str">
            <v>1603205246373</v>
          </cell>
          <cell r="M119" t="str">
            <v>21000001080</v>
          </cell>
          <cell r="N119" t="str">
            <v>V.07.01.03</v>
          </cell>
          <cell r="O119" t="str">
            <v>A1</v>
          </cell>
          <cell r="P119">
            <v>2</v>
          </cell>
          <cell r="Q119">
            <v>3</v>
          </cell>
          <cell r="R119">
            <v>0.55099999999999993</v>
          </cell>
          <cell r="T119">
            <v>0</v>
          </cell>
          <cell r="U119">
            <v>0</v>
          </cell>
          <cell r="V119">
            <v>0.35</v>
          </cell>
          <cell r="W119">
            <v>0.06</v>
          </cell>
          <cell r="X119">
            <v>0.20100000000000001</v>
          </cell>
        </row>
        <row r="120">
          <cell r="D120" t="str">
            <v>Hoàng Văn Viết</v>
          </cell>
          <cell r="E120" t="str">
            <v>Phó Trưởng khoa Nhiệt lạnh</v>
          </cell>
          <cell r="K120" t="str">
            <v>142482490</v>
          </cell>
          <cell r="N120" t="str">
            <v>V.07.01.03</v>
          </cell>
          <cell r="P120">
            <v>2</v>
          </cell>
          <cell r="Q120">
            <v>3</v>
          </cell>
          <cell r="R120">
            <v>0.35</v>
          </cell>
          <cell r="T120">
            <v>0</v>
          </cell>
          <cell r="U120">
            <v>0</v>
          </cell>
          <cell r="V120">
            <v>0.35</v>
          </cell>
          <cell r="X120">
            <v>0</v>
          </cell>
        </row>
        <row r="121">
          <cell r="D121" t="str">
            <v>Quách Minh Thử</v>
          </cell>
          <cell r="E121" t="str">
            <v>Trưởng BM khoa  Điện - Điện tử</v>
          </cell>
          <cell r="F121" t="str">
            <v>ĐH</v>
          </cell>
          <cell r="H121" t="str">
            <v>GV</v>
          </cell>
          <cell r="I121" t="str">
            <v>GV</v>
          </cell>
          <cell r="J121" t="str">
            <v>GV174</v>
          </cell>
          <cell r="K121" t="str">
            <v>024610718</v>
          </cell>
          <cell r="L121" t="str">
            <v>1603205182415</v>
          </cell>
          <cell r="M121" t="str">
            <v>11100071848</v>
          </cell>
          <cell r="N121" t="str">
            <v>V.07.01.03</v>
          </cell>
          <cell r="O121" t="str">
            <v>A1</v>
          </cell>
          <cell r="P121">
            <v>4</v>
          </cell>
          <cell r="Q121">
            <v>3.66</v>
          </cell>
          <cell r="R121">
            <v>0.71920000000000006</v>
          </cell>
          <cell r="T121">
            <v>0</v>
          </cell>
          <cell r="U121">
            <v>0</v>
          </cell>
          <cell r="V121">
            <v>0.25</v>
          </cell>
          <cell r="W121">
            <v>0.12</v>
          </cell>
          <cell r="X121">
            <v>0.46920000000000001</v>
          </cell>
        </row>
        <row r="122">
          <cell r="D122" t="str">
            <v>Vũ Đức Pháp</v>
          </cell>
          <cell r="E122" t="str">
            <v>Trưởng bộ môn khoa Cơ khí</v>
          </cell>
          <cell r="F122" t="str">
            <v>ĐH</v>
          </cell>
          <cell r="I122" t="str">
            <v>GV</v>
          </cell>
          <cell r="J122" t="str">
            <v>GV157</v>
          </cell>
          <cell r="K122" t="str">
            <v>023172992</v>
          </cell>
          <cell r="L122" t="str">
            <v>1603205182234</v>
          </cell>
          <cell r="M122" t="str">
            <v>11100000813</v>
          </cell>
          <cell r="N122" t="str">
            <v>V.07.01.03</v>
          </cell>
          <cell r="O122" t="str">
            <v>A1</v>
          </cell>
          <cell r="P122">
            <v>5</v>
          </cell>
          <cell r="Q122">
            <v>3.99</v>
          </cell>
          <cell r="R122">
            <v>0.84360000000000002</v>
          </cell>
          <cell r="T122">
            <v>0</v>
          </cell>
          <cell r="U122">
            <v>0</v>
          </cell>
          <cell r="V122">
            <v>0.25</v>
          </cell>
          <cell r="W122">
            <v>0.14000000000000001</v>
          </cell>
          <cell r="X122">
            <v>0.59360000000000002</v>
          </cell>
        </row>
        <row r="123">
          <cell r="D123" t="str">
            <v>Nguyễn Hữu Mạnh</v>
          </cell>
          <cell r="E123" t="str">
            <v>Trưởng BM khoa Động lực</v>
          </cell>
          <cell r="F123" t="str">
            <v>ĐH</v>
          </cell>
          <cell r="H123" t="str">
            <v>GV</v>
          </cell>
          <cell r="I123" t="str">
            <v>GV</v>
          </cell>
          <cell r="J123" t="str">
            <v>GV176</v>
          </cell>
          <cell r="K123" t="str">
            <v>023655683</v>
          </cell>
          <cell r="L123" t="str">
            <v>1603205178720</v>
          </cell>
          <cell r="M123" t="str">
            <v>11100071850</v>
          </cell>
          <cell r="N123" t="str">
            <v>V.07.01.03</v>
          </cell>
          <cell r="O123" t="str">
            <v>A1</v>
          </cell>
          <cell r="P123">
            <v>4</v>
          </cell>
          <cell r="Q123">
            <v>3.66</v>
          </cell>
          <cell r="R123">
            <v>0.71920000000000006</v>
          </cell>
          <cell r="T123">
            <v>0</v>
          </cell>
          <cell r="U123">
            <v>0</v>
          </cell>
          <cell r="V123">
            <v>0.25</v>
          </cell>
          <cell r="W123">
            <v>0.12</v>
          </cell>
          <cell r="X123">
            <v>0.46920000000000001</v>
          </cell>
        </row>
        <row r="124">
          <cell r="D124" t="str">
            <v>Trần Việt Khánh</v>
          </cell>
          <cell r="E124" t="str">
            <v>Trưởng BM khoa CNTT</v>
          </cell>
          <cell r="F124" t="str">
            <v>ĐH</v>
          </cell>
          <cell r="H124" t="str">
            <v>GV</v>
          </cell>
          <cell r="I124" t="str">
            <v>GV</v>
          </cell>
          <cell r="J124" t="str">
            <v>GV225</v>
          </cell>
          <cell r="K124" t="str">
            <v>023204127</v>
          </cell>
          <cell r="L124" t="str">
            <v>1603205234010</v>
          </cell>
          <cell r="M124" t="str">
            <v>11100096289</v>
          </cell>
          <cell r="N124" t="str">
            <v>V.07.01.03</v>
          </cell>
          <cell r="O124" t="str">
            <v>A1</v>
          </cell>
          <cell r="P124">
            <v>3</v>
          </cell>
          <cell r="Q124">
            <v>3.33</v>
          </cell>
          <cell r="R124">
            <v>0.60799999999999998</v>
          </cell>
          <cell r="T124">
            <v>0</v>
          </cell>
          <cell r="U124">
            <v>0</v>
          </cell>
          <cell r="V124">
            <v>0.25</v>
          </cell>
          <cell r="W124">
            <v>0.1</v>
          </cell>
          <cell r="X124">
            <v>0.35799999999999998</v>
          </cell>
        </row>
        <row r="125">
          <cell r="D125" t="str">
            <v>Vũ Thị Thái Linh</v>
          </cell>
          <cell r="E125" t="str">
            <v>Trưởng BM khoa CNTT</v>
          </cell>
          <cell r="F125" t="str">
            <v>ĐH</v>
          </cell>
          <cell r="G125" t="str">
            <v>x</v>
          </cell>
          <cell r="H125" t="str">
            <v>GV</v>
          </cell>
          <cell r="I125" t="str">
            <v>GV</v>
          </cell>
          <cell r="J125" t="str">
            <v>GV173</v>
          </cell>
          <cell r="K125" t="str">
            <v>023646525</v>
          </cell>
          <cell r="L125" t="str">
            <v>1603205185284</v>
          </cell>
          <cell r="M125" t="str">
            <v>11100071847</v>
          </cell>
          <cell r="N125" t="str">
            <v>V.07.01.03</v>
          </cell>
          <cell r="O125" t="str">
            <v>A1</v>
          </cell>
          <cell r="P125">
            <v>4</v>
          </cell>
          <cell r="Q125">
            <v>3.66</v>
          </cell>
          <cell r="R125">
            <v>0.71920000000000006</v>
          </cell>
          <cell r="T125">
            <v>0</v>
          </cell>
          <cell r="U125">
            <v>0</v>
          </cell>
          <cell r="V125">
            <v>0.25</v>
          </cell>
          <cell r="W125">
            <v>0.12</v>
          </cell>
          <cell r="X125">
            <v>0.46920000000000001</v>
          </cell>
        </row>
        <row r="126">
          <cell r="D126" t="str">
            <v>Lê Thái Hùng</v>
          </cell>
          <cell r="E126" t="str">
            <v>Trưởng BM GDTC khoa KHCB</v>
          </cell>
          <cell r="F126" t="str">
            <v>ĐH</v>
          </cell>
          <cell r="H126" t="str">
            <v>GV</v>
          </cell>
          <cell r="I126" t="str">
            <v>GV</v>
          </cell>
          <cell r="J126" t="str">
            <v>GV160</v>
          </cell>
          <cell r="K126" t="str">
            <v>060074000079</v>
          </cell>
          <cell r="L126" t="str">
            <v>1603205190068</v>
          </cell>
          <cell r="M126" t="str">
            <v>11100067268</v>
          </cell>
          <cell r="N126" t="str">
            <v>V.07.01.03</v>
          </cell>
          <cell r="O126" t="str">
            <v>A1</v>
          </cell>
          <cell r="P126">
            <v>4</v>
          </cell>
          <cell r="Q126">
            <v>3.66</v>
          </cell>
          <cell r="R126">
            <v>1.1101999999999999</v>
          </cell>
          <cell r="T126">
            <v>0</v>
          </cell>
          <cell r="U126">
            <v>0</v>
          </cell>
          <cell r="V126">
            <v>0.25</v>
          </cell>
          <cell r="W126">
            <v>0.22</v>
          </cell>
          <cell r="X126">
            <v>0.86019999999999996</v>
          </cell>
        </row>
        <row r="127">
          <cell r="D127" t="str">
            <v>Đinh Thị Huyên</v>
          </cell>
          <cell r="E127" t="str">
            <v>Trưởng BM khoa Lý luận chính trị</v>
          </cell>
          <cell r="F127" t="str">
            <v>ĐH</v>
          </cell>
          <cell r="G127" t="str">
            <v>x</v>
          </cell>
          <cell r="H127" t="str">
            <v>GV</v>
          </cell>
          <cell r="I127" t="str">
            <v>GV</v>
          </cell>
          <cell r="J127" t="str">
            <v>GV214</v>
          </cell>
          <cell r="K127" t="str">
            <v>024935952</v>
          </cell>
          <cell r="L127" t="str">
            <v>1603205228841</v>
          </cell>
          <cell r="M127" t="str">
            <v>11100096279</v>
          </cell>
          <cell r="N127" t="str">
            <v>V.07.01.03</v>
          </cell>
          <cell r="O127" t="str">
            <v>A1</v>
          </cell>
          <cell r="P127">
            <v>3</v>
          </cell>
          <cell r="Q127">
            <v>3.33</v>
          </cell>
          <cell r="R127">
            <v>0.60799999999999998</v>
          </cell>
          <cell r="T127">
            <v>0</v>
          </cell>
          <cell r="U127">
            <v>0</v>
          </cell>
          <cell r="V127">
            <v>0.25</v>
          </cell>
          <cell r="W127">
            <v>0.1</v>
          </cell>
          <cell r="X127">
            <v>0.35799999999999998</v>
          </cell>
        </row>
        <row r="128">
          <cell r="D128" t="str">
            <v>Phan Thị Thùy Trang</v>
          </cell>
          <cell r="E128" t="str">
            <v>Trưởng BM khoa Lý luận chính trị</v>
          </cell>
          <cell r="F128" t="str">
            <v>ĐH</v>
          </cell>
          <cell r="G128" t="str">
            <v>x</v>
          </cell>
          <cell r="H128" t="str">
            <v>GV</v>
          </cell>
          <cell r="I128" t="str">
            <v>GV</v>
          </cell>
          <cell r="J128" t="str">
            <v>GV216</v>
          </cell>
          <cell r="K128" t="str">
            <v>024827262</v>
          </cell>
          <cell r="L128" t="str">
            <v>1603205189942</v>
          </cell>
          <cell r="M128" t="str">
            <v>11100096307</v>
          </cell>
          <cell r="N128" t="str">
            <v>V.07.01.03</v>
          </cell>
          <cell r="O128" t="str">
            <v>A1</v>
          </cell>
          <cell r="P128">
            <v>4</v>
          </cell>
          <cell r="Q128">
            <v>3.66</v>
          </cell>
          <cell r="R128">
            <v>0.64100000000000001</v>
          </cell>
          <cell r="T128">
            <v>0</v>
          </cell>
          <cell r="U128">
            <v>0</v>
          </cell>
          <cell r="V128">
            <v>0.25</v>
          </cell>
          <cell r="W128">
            <v>0.1</v>
          </cell>
          <cell r="X128">
            <v>0.39100000000000001</v>
          </cell>
        </row>
        <row r="129">
          <cell r="D129" t="str">
            <v>Nguyễn Văn Đôn</v>
          </cell>
          <cell r="E129" t="str">
            <v>Trưởng BM khoa CNTT</v>
          </cell>
          <cell r="F129" t="str">
            <v>ĐH</v>
          </cell>
          <cell r="H129" t="str">
            <v>GV</v>
          </cell>
          <cell r="I129" t="str">
            <v>GV</v>
          </cell>
          <cell r="J129" t="str">
            <v>GV258</v>
          </cell>
          <cell r="K129" t="str">
            <v>025187897</v>
          </cell>
          <cell r="L129" t="str">
            <v>1603205246344</v>
          </cell>
          <cell r="M129" t="str">
            <v>11100109469</v>
          </cell>
          <cell r="N129" t="str">
            <v>V.07.01.03</v>
          </cell>
          <cell r="O129" t="str">
            <v>A1</v>
          </cell>
          <cell r="P129">
            <v>3</v>
          </cell>
          <cell r="Q129">
            <v>3.33</v>
          </cell>
          <cell r="R129">
            <v>0.57220000000000004</v>
          </cell>
          <cell r="T129">
            <v>0</v>
          </cell>
          <cell r="U129">
            <v>0</v>
          </cell>
          <cell r="V129">
            <v>0.25</v>
          </cell>
          <cell r="W129">
            <v>0.09</v>
          </cell>
          <cell r="X129">
            <v>0.32219999999999999</v>
          </cell>
        </row>
        <row r="130">
          <cell r="D130" t="str">
            <v>Trịnh Hoàng Hiệp</v>
          </cell>
          <cell r="E130" t="str">
            <v>Giảng viên khoa Kinh tế</v>
          </cell>
          <cell r="K130" t="str">
            <v>022962107</v>
          </cell>
          <cell r="M130" t="str">
            <v>60300000100</v>
          </cell>
          <cell r="N130" t="str">
            <v>V.07.01.03</v>
          </cell>
          <cell r="O130" t="str">
            <v>A1</v>
          </cell>
          <cell r="P130">
            <v>4</v>
          </cell>
          <cell r="Q130">
            <v>3.66</v>
          </cell>
          <cell r="R130">
            <v>0.75829999999999997</v>
          </cell>
          <cell r="T130">
            <v>0</v>
          </cell>
          <cell r="U130">
            <v>0</v>
          </cell>
          <cell r="V130">
            <v>0.25</v>
          </cell>
          <cell r="W130">
            <v>0.13</v>
          </cell>
          <cell r="X130">
            <v>0.50829999999999997</v>
          </cell>
        </row>
        <row r="131">
          <cell r="D131" t="str">
            <v>Phạm Quỳnh Như</v>
          </cell>
          <cell r="E131" t="str">
            <v>Giảng viên khoa Kinh tế</v>
          </cell>
          <cell r="G131" t="str">
            <v>x</v>
          </cell>
          <cell r="K131" t="str">
            <v>054182000015</v>
          </cell>
          <cell r="M131" t="str">
            <v>60200000731</v>
          </cell>
          <cell r="N131" t="str">
            <v>V.07.01.03</v>
          </cell>
          <cell r="O131" t="str">
            <v>A1</v>
          </cell>
          <cell r="P131">
            <v>3</v>
          </cell>
          <cell r="Q131">
            <v>3.33</v>
          </cell>
          <cell r="R131">
            <v>0.57220000000000004</v>
          </cell>
          <cell r="T131">
            <v>0</v>
          </cell>
          <cell r="U131">
            <v>0</v>
          </cell>
          <cell r="V131">
            <v>0.25</v>
          </cell>
          <cell r="W131">
            <v>0.09</v>
          </cell>
          <cell r="X131">
            <v>0.32219999999999999</v>
          </cell>
        </row>
        <row r="132">
          <cell r="D132" t="str">
            <v>Lữ Xuân Trang</v>
          </cell>
          <cell r="E132" t="str">
            <v>Giảng viên khoa Kinh tế</v>
          </cell>
          <cell r="G132" t="str">
            <v>x</v>
          </cell>
          <cell r="K132" t="str">
            <v>025791269</v>
          </cell>
          <cell r="M132" t="str">
            <v>60200000588</v>
          </cell>
          <cell r="N132" t="str">
            <v>V.07.01.03</v>
          </cell>
          <cell r="O132" t="str">
            <v>A1</v>
          </cell>
          <cell r="P132">
            <v>3</v>
          </cell>
          <cell r="Q132">
            <v>3</v>
          </cell>
          <cell r="R132">
            <v>0.54249999999999998</v>
          </cell>
          <cell r="T132">
            <v>0</v>
          </cell>
          <cell r="U132">
            <v>0</v>
          </cell>
          <cell r="V132">
            <v>0.25</v>
          </cell>
          <cell r="W132">
            <v>0.09</v>
          </cell>
          <cell r="X132">
            <v>0.29249999999999998</v>
          </cell>
        </row>
        <row r="133">
          <cell r="D133" t="str">
            <v>Bùi Anh Tuấn</v>
          </cell>
          <cell r="E133" t="str">
            <v>Trưởng BM khoa  Cơ khí</v>
          </cell>
          <cell r="K133" t="str">
            <v>025919554</v>
          </cell>
          <cell r="L133" t="str">
            <v>1603205353368</v>
          </cell>
          <cell r="M133" t="str">
            <v>21000001731</v>
          </cell>
          <cell r="N133" t="str">
            <v>V.07.01.03</v>
          </cell>
          <cell r="O133" t="str">
            <v>A1</v>
          </cell>
          <cell r="P133">
            <v>2</v>
          </cell>
          <cell r="Q133">
            <v>3</v>
          </cell>
          <cell r="R133">
            <v>0.44500000000000001</v>
          </cell>
          <cell r="T133">
            <v>0</v>
          </cell>
          <cell r="U133">
            <v>0</v>
          </cell>
          <cell r="V133">
            <v>0.25</v>
          </cell>
          <cell r="W133">
            <v>0.06</v>
          </cell>
          <cell r="X133">
            <v>0.19500000000000001</v>
          </cell>
        </row>
        <row r="134">
          <cell r="D134" t="str">
            <v>Hà Quốc Bảo</v>
          </cell>
          <cell r="E134" t="str">
            <v>Giảng viên khoa  Động lực</v>
          </cell>
          <cell r="K134" t="str">
            <v>024578348</v>
          </cell>
          <cell r="L134" t="str">
            <v>1603205398576</v>
          </cell>
          <cell r="M134" t="str">
            <v>31100001649</v>
          </cell>
          <cell r="N134" t="str">
            <v>V.07.01.03</v>
          </cell>
          <cell r="O134" t="str">
            <v>A1</v>
          </cell>
          <cell r="P134">
            <v>2</v>
          </cell>
          <cell r="Q134">
            <v>3</v>
          </cell>
          <cell r="R134">
            <v>0.41249999999999998</v>
          </cell>
          <cell r="T134">
            <v>0</v>
          </cell>
          <cell r="V134">
            <v>0.25</v>
          </cell>
          <cell r="W134">
            <v>0.05</v>
          </cell>
          <cell r="X134">
            <v>0.16250000000000001</v>
          </cell>
        </row>
        <row r="135">
          <cell r="D135" t="str">
            <v>Trần Nguyên Bảo Trân</v>
          </cell>
          <cell r="E135" t="str">
            <v>Giảng viên khoa Điện - Điện tử</v>
          </cell>
          <cell r="K135" t="str">
            <v>046077000191</v>
          </cell>
          <cell r="M135" t="str">
            <v>51200001010</v>
          </cell>
          <cell r="N135" t="str">
            <v>V.07.01.03</v>
          </cell>
          <cell r="O135" t="str">
            <v>A1</v>
          </cell>
          <cell r="P135">
            <v>2</v>
          </cell>
          <cell r="Q135">
            <v>3</v>
          </cell>
          <cell r="R135">
            <v>0.60749999999999993</v>
          </cell>
          <cell r="T135">
            <v>0</v>
          </cell>
          <cell r="U135">
            <v>0</v>
          </cell>
          <cell r="V135">
            <v>0.25</v>
          </cell>
          <cell r="W135">
            <v>0.11</v>
          </cell>
          <cell r="X135">
            <v>0.35749999999999998</v>
          </cell>
        </row>
        <row r="136">
          <cell r="D136" t="str">
            <v>Nguyễn Trọng Phú</v>
          </cell>
          <cell r="E136" t="str">
            <v>Tổ trưởng tổ sửa chữa cơ bản</v>
          </cell>
          <cell r="F136" t="str">
            <v>CĐ</v>
          </cell>
          <cell r="I136" t="str">
            <v>NV</v>
          </cell>
          <cell r="J136" t="str">
            <v>NV195</v>
          </cell>
          <cell r="K136" t="str">
            <v>024783702</v>
          </cell>
          <cell r="L136" t="str">
            <v>1603205185935</v>
          </cell>
          <cell r="M136" t="str">
            <v>11100083294</v>
          </cell>
          <cell r="N136" t="str">
            <v>01.004</v>
          </cell>
          <cell r="O136" t="str">
            <v>A0</v>
          </cell>
          <cell r="P136">
            <v>3</v>
          </cell>
          <cell r="Q136">
            <v>3.34</v>
          </cell>
          <cell r="R136">
            <v>0.25</v>
          </cell>
          <cell r="T136">
            <v>0</v>
          </cell>
          <cell r="U136">
            <v>0</v>
          </cell>
          <cell r="V136">
            <v>0.25</v>
          </cell>
          <cell r="X136">
            <v>0</v>
          </cell>
        </row>
        <row r="137">
          <cell r="D137" t="str">
            <v>Bùi Đặng Hoàng Tuấn</v>
          </cell>
          <cell r="E137" t="str">
            <v>Nhân viên Trung tâm Điều hành và quản lý dữ liệu</v>
          </cell>
          <cell r="I137" t="str">
            <v>NV</v>
          </cell>
          <cell r="K137" t="str">
            <v>079086004027</v>
          </cell>
          <cell r="L137">
            <v>1603205302590</v>
          </cell>
          <cell r="M137" t="str">
            <v>40800000327</v>
          </cell>
          <cell r="N137" t="str">
            <v>01.004</v>
          </cell>
          <cell r="O137" t="str">
            <v>A0</v>
          </cell>
          <cell r="P137">
            <v>2</v>
          </cell>
          <cell r="Q137">
            <v>2.72</v>
          </cell>
          <cell r="R137">
            <v>0</v>
          </cell>
          <cell r="T137">
            <v>0</v>
          </cell>
          <cell r="U137">
            <v>0</v>
          </cell>
          <cell r="V137">
            <v>0</v>
          </cell>
          <cell r="X137">
            <v>0</v>
          </cell>
        </row>
        <row r="138">
          <cell r="D138" t="str">
            <v>Nguyễn Thị Ngọc Anh</v>
          </cell>
          <cell r="E138" t="str">
            <v>Nhân viên phòng Thanh tra Giáo dục - CT Sinh viên</v>
          </cell>
          <cell r="G138" t="str">
            <v>x</v>
          </cell>
          <cell r="K138" t="str">
            <v>020155632</v>
          </cell>
          <cell r="M138" t="str">
            <v>50700000360</v>
          </cell>
          <cell r="N138" t="str">
            <v>01.003</v>
          </cell>
          <cell r="O138" t="str">
            <v>A1</v>
          </cell>
          <cell r="P138">
            <v>5</v>
          </cell>
          <cell r="Q138">
            <v>3.99</v>
          </cell>
          <cell r="R138">
            <v>0</v>
          </cell>
          <cell r="T138">
            <v>0</v>
          </cell>
          <cell r="U138">
            <v>0</v>
          </cell>
          <cell r="X138">
            <v>0</v>
          </cell>
        </row>
        <row r="139">
          <cell r="D139" t="str">
            <v>Nguyễn Thị Kim Anh</v>
          </cell>
          <cell r="E139" t="str">
            <v>Nhân viên phòng Thanh tra Giáo dục - CT Sinh viên</v>
          </cell>
          <cell r="F139" t="str">
            <v>ĐH</v>
          </cell>
          <cell r="G139" t="str">
            <v>x</v>
          </cell>
          <cell r="I139" t="str">
            <v>NV</v>
          </cell>
          <cell r="K139" t="str">
            <v>025240565</v>
          </cell>
          <cell r="L139">
            <v>1603205189653</v>
          </cell>
          <cell r="M139" t="str">
            <v>11100115721</v>
          </cell>
          <cell r="N139" t="str">
            <v>01.003</v>
          </cell>
          <cell r="O139" t="str">
            <v>A1</v>
          </cell>
          <cell r="P139">
            <v>4</v>
          </cell>
          <cell r="Q139">
            <v>3.66</v>
          </cell>
          <cell r="R139">
            <v>0</v>
          </cell>
          <cell r="T139">
            <v>0</v>
          </cell>
          <cell r="U139">
            <v>0</v>
          </cell>
          <cell r="X139">
            <v>0</v>
          </cell>
        </row>
        <row r="140">
          <cell r="D140" t="str">
            <v>Hồng Mộng Tuyết Dung</v>
          </cell>
          <cell r="E140" t="str">
            <v>Nhân viên phòng Kế hoạch - Tài chính</v>
          </cell>
          <cell r="F140" t="str">
            <v>ĐH</v>
          </cell>
          <cell r="G140" t="str">
            <v>x</v>
          </cell>
          <cell r="I140" t="str">
            <v>NV</v>
          </cell>
          <cell r="K140" t="str">
            <v>022527163</v>
          </cell>
          <cell r="L140" t="str">
            <v>1603205203183</v>
          </cell>
          <cell r="M140" t="str">
            <v>11100115722</v>
          </cell>
          <cell r="N140" t="str">
            <v>01.003</v>
          </cell>
          <cell r="O140" t="str">
            <v>A1</v>
          </cell>
          <cell r="P140">
            <v>4</v>
          </cell>
          <cell r="Q140">
            <v>3.66</v>
          </cell>
          <cell r="R140">
            <v>0</v>
          </cell>
          <cell r="T140">
            <v>0</v>
          </cell>
          <cell r="U140">
            <v>0</v>
          </cell>
          <cell r="X140">
            <v>0</v>
          </cell>
        </row>
        <row r="141">
          <cell r="D141" t="str">
            <v>Trương Hữu Lộc</v>
          </cell>
          <cell r="E141" t="str">
            <v>Nhân viên Trung tâm Điều hành và quản lý dữ liệu</v>
          </cell>
          <cell r="I141" t="str">
            <v>NV</v>
          </cell>
          <cell r="K141" t="str">
            <v>025326360</v>
          </cell>
          <cell r="M141" t="str">
            <v>40800000361</v>
          </cell>
          <cell r="N141" t="str">
            <v>01.003</v>
          </cell>
          <cell r="O141" t="str">
            <v>A1</v>
          </cell>
          <cell r="P141">
            <v>3</v>
          </cell>
          <cell r="Q141">
            <v>3.33</v>
          </cell>
          <cell r="R141">
            <v>0</v>
          </cell>
          <cell r="T141">
            <v>0</v>
          </cell>
          <cell r="U141">
            <v>0</v>
          </cell>
          <cell r="X141">
            <v>0</v>
          </cell>
        </row>
        <row r="142">
          <cell r="D142" t="str">
            <v>Ninh Đỗ Hiệp</v>
          </cell>
          <cell r="E142" t="str">
            <v>Nhân viên phòng Quản trị - Dịch vụ</v>
          </cell>
          <cell r="F142" t="str">
            <v>TC</v>
          </cell>
          <cell r="I142" t="str">
            <v>NV</v>
          </cell>
          <cell r="K142" t="str">
            <v>025211587</v>
          </cell>
          <cell r="L142" t="str">
            <v>1603205245965</v>
          </cell>
          <cell r="M142" t="str">
            <v>11100115706</v>
          </cell>
          <cell r="N142" t="str">
            <v>01.003</v>
          </cell>
          <cell r="O142" t="str">
            <v>A1</v>
          </cell>
          <cell r="P142">
            <v>2</v>
          </cell>
          <cell r="Q142">
            <v>3</v>
          </cell>
          <cell r="R142">
            <v>0</v>
          </cell>
          <cell r="T142">
            <v>0</v>
          </cell>
          <cell r="U142">
            <v>0</v>
          </cell>
          <cell r="X142">
            <v>0</v>
          </cell>
        </row>
        <row r="143">
          <cell r="D143" t="str">
            <v>Lương Minh Dũng</v>
          </cell>
          <cell r="E143" t="str">
            <v>Nhân viên phòng Khảo thí và KĐCL</v>
          </cell>
          <cell r="I143" t="str">
            <v>NV</v>
          </cell>
          <cell r="K143" t="str">
            <v>079089006525</v>
          </cell>
          <cell r="L143">
            <v>1603205286752</v>
          </cell>
          <cell r="M143" t="str">
            <v>40800000245</v>
          </cell>
          <cell r="N143" t="str">
            <v>V.05.02.07</v>
          </cell>
          <cell r="O143" t="str">
            <v>A1</v>
          </cell>
          <cell r="P143">
            <v>3</v>
          </cell>
          <cell r="Q143">
            <v>3</v>
          </cell>
          <cell r="R143">
            <v>0</v>
          </cell>
          <cell r="T143">
            <v>0</v>
          </cell>
          <cell r="U143">
            <v>0</v>
          </cell>
          <cell r="X143">
            <v>0</v>
          </cell>
        </row>
        <row r="144">
          <cell r="D144" t="str">
            <v>Nguyễn Văn Chì</v>
          </cell>
          <cell r="E144" t="str">
            <v>Nhân viên phòng Tổ chức - Hành chính - Tổng hợp</v>
          </cell>
          <cell r="I144" t="str">
            <v>NV</v>
          </cell>
          <cell r="K144" t="str">
            <v>025310266</v>
          </cell>
          <cell r="L144">
            <v>1603205280047</v>
          </cell>
          <cell r="M144" t="str">
            <v>40700000887</v>
          </cell>
          <cell r="N144" t="str">
            <v>V.01.02.02</v>
          </cell>
          <cell r="O144" t="str">
            <v>A1</v>
          </cell>
          <cell r="P144">
            <v>3</v>
          </cell>
          <cell r="Q144">
            <v>3.33</v>
          </cell>
          <cell r="R144">
            <v>0</v>
          </cell>
          <cell r="T144">
            <v>0</v>
          </cell>
          <cell r="U144">
            <v>0</v>
          </cell>
          <cell r="X144">
            <v>0</v>
          </cell>
        </row>
        <row r="145">
          <cell r="D145" t="str">
            <v>Nguyễn Thị Vân</v>
          </cell>
          <cell r="E145" t="str">
            <v>NV Văn thư lưu trữ; Phòng TC-HC-TH</v>
          </cell>
          <cell r="K145" t="str">
            <v>025575045</v>
          </cell>
          <cell r="N145" t="str">
            <v>V.01.02.02</v>
          </cell>
          <cell r="O145" t="str">
            <v>III</v>
          </cell>
          <cell r="P145">
            <v>1</v>
          </cell>
          <cell r="Q145">
            <v>2.1</v>
          </cell>
          <cell r="T145">
            <v>0</v>
          </cell>
          <cell r="X145">
            <v>0</v>
          </cell>
        </row>
        <row r="146">
          <cell r="D146" t="str">
            <v>Mai Nguyễn Hoàng Yến</v>
          </cell>
          <cell r="E146" t="str">
            <v>Nhân viên phòng Tuyển sinh - Đào tạo</v>
          </cell>
          <cell r="G146" t="str">
            <v>x</v>
          </cell>
          <cell r="I146" t="str">
            <v>NV</v>
          </cell>
          <cell r="K146" t="str">
            <v>023124949</v>
          </cell>
          <cell r="L146" t="str">
            <v>1603205357194</v>
          </cell>
          <cell r="M146" t="str">
            <v>40800000380</v>
          </cell>
          <cell r="N146" t="str">
            <v>01.003</v>
          </cell>
          <cell r="O146" t="str">
            <v>A1</v>
          </cell>
          <cell r="P146">
            <v>2</v>
          </cell>
          <cell r="Q146">
            <v>3</v>
          </cell>
          <cell r="R146">
            <v>0</v>
          </cell>
          <cell r="T146">
            <v>0</v>
          </cell>
          <cell r="U146">
            <v>0</v>
          </cell>
          <cell r="X146">
            <v>0</v>
          </cell>
        </row>
        <row r="147">
          <cell r="D147" t="str">
            <v>Trần Thị Diễm Thúy</v>
          </cell>
          <cell r="E147" t="str">
            <v>Nhân viên Trung tâm Thư viện</v>
          </cell>
          <cell r="G147" t="str">
            <v>x</v>
          </cell>
          <cell r="I147" t="str">
            <v>NV</v>
          </cell>
          <cell r="K147" t="str">
            <v>310895348</v>
          </cell>
          <cell r="L147">
            <v>1603205185623</v>
          </cell>
          <cell r="M147" t="str">
            <v>40700000674</v>
          </cell>
          <cell r="N147" t="str">
            <v>01.003</v>
          </cell>
          <cell r="O147" t="str">
            <v>A1</v>
          </cell>
          <cell r="P147">
            <v>2</v>
          </cell>
          <cell r="Q147">
            <v>3</v>
          </cell>
          <cell r="R147">
            <v>0</v>
          </cell>
          <cell r="T147">
            <v>0</v>
          </cell>
          <cell r="U147">
            <v>0</v>
          </cell>
          <cell r="X147">
            <v>0</v>
          </cell>
        </row>
        <row r="148">
          <cell r="D148" t="str">
            <v>Nguyễn Thị Hải Hà</v>
          </cell>
          <cell r="E148" t="str">
            <v>Nhân viên phòng Tuyển sinh - Đào tạo</v>
          </cell>
          <cell r="F148" t="str">
            <v>ĐH</v>
          </cell>
          <cell r="G148" t="str">
            <v>x</v>
          </cell>
          <cell r="I148" t="str">
            <v>NV</v>
          </cell>
          <cell r="K148" t="str">
            <v>023660331</v>
          </cell>
          <cell r="L148">
            <v>1603205182178</v>
          </cell>
          <cell r="M148" t="str">
            <v>11100115720</v>
          </cell>
          <cell r="N148" t="str">
            <v>01.004</v>
          </cell>
          <cell r="O148" t="str">
            <v>A0</v>
          </cell>
          <cell r="P148">
            <v>3</v>
          </cell>
          <cell r="Q148">
            <v>3.03</v>
          </cell>
          <cell r="R148">
            <v>0</v>
          </cell>
          <cell r="T148">
            <v>0</v>
          </cell>
          <cell r="U148">
            <v>0</v>
          </cell>
          <cell r="X148">
            <v>0</v>
          </cell>
        </row>
        <row r="149">
          <cell r="D149" t="str">
            <v>Nguyễn Thị Tuyết</v>
          </cell>
          <cell r="E149" t="str">
            <v>Nhân viên phòng Khảo thí và KĐCL</v>
          </cell>
          <cell r="G149" t="str">
            <v>x</v>
          </cell>
          <cell r="K149" t="str">
            <v>025442983</v>
          </cell>
          <cell r="M149" t="str">
            <v>50700000482</v>
          </cell>
          <cell r="N149" t="str">
            <v>01.004</v>
          </cell>
          <cell r="O149" t="str">
            <v>A0</v>
          </cell>
          <cell r="P149">
            <v>1</v>
          </cell>
          <cell r="Q149">
            <v>2.72</v>
          </cell>
          <cell r="R149">
            <v>0</v>
          </cell>
          <cell r="T149">
            <v>0</v>
          </cell>
          <cell r="X149">
            <v>0</v>
          </cell>
        </row>
        <row r="150">
          <cell r="D150" t="str">
            <v>Lê Hồng Anh Tuấn</v>
          </cell>
          <cell r="E150" t="str">
            <v>Nhân viên phòng Quản trị - Dịch vụ</v>
          </cell>
          <cell r="I150" t="str">
            <v>NV</v>
          </cell>
          <cell r="K150" t="str">
            <v>024698782</v>
          </cell>
          <cell r="L150">
            <v>1603205348129</v>
          </cell>
          <cell r="M150" t="str">
            <v>40900000037</v>
          </cell>
          <cell r="N150" t="str">
            <v>01.004</v>
          </cell>
          <cell r="O150" t="str">
            <v>A0</v>
          </cell>
          <cell r="P150">
            <v>1</v>
          </cell>
          <cell r="Q150">
            <v>2.72</v>
          </cell>
          <cell r="R150">
            <v>0</v>
          </cell>
          <cell r="T150">
            <v>0</v>
          </cell>
          <cell r="U150">
            <v>0</v>
          </cell>
          <cell r="X150">
            <v>0</v>
          </cell>
        </row>
        <row r="151">
          <cell r="D151" t="str">
            <v>Nguyễn Tiến Việt Dũng</v>
          </cell>
          <cell r="E151" t="str">
            <v>Nhân viên khoa CNTT</v>
          </cell>
          <cell r="I151" t="str">
            <v>NV</v>
          </cell>
          <cell r="K151" t="str">
            <v>024647632</v>
          </cell>
          <cell r="L151">
            <v>1603205357238</v>
          </cell>
          <cell r="M151" t="str">
            <v>40800000301</v>
          </cell>
          <cell r="N151" t="str">
            <v>01.004</v>
          </cell>
          <cell r="O151" t="str">
            <v>A0</v>
          </cell>
          <cell r="P151">
            <v>1</v>
          </cell>
          <cell r="Q151">
            <v>2.72</v>
          </cell>
          <cell r="R151">
            <v>0</v>
          </cell>
          <cell r="T151">
            <v>0</v>
          </cell>
          <cell r="U151">
            <v>0</v>
          </cell>
          <cell r="X151">
            <v>0</v>
          </cell>
        </row>
        <row r="152">
          <cell r="D152" t="str">
            <v>Thân Thị Nhung</v>
          </cell>
          <cell r="E152" t="str">
            <v>Nhân viên phòng Tổ chức - Hành chính - Tổng hợp</v>
          </cell>
          <cell r="G152" t="str">
            <v>x</v>
          </cell>
          <cell r="I152" t="str">
            <v>NV</v>
          </cell>
          <cell r="K152" t="str">
            <v>025877702</v>
          </cell>
          <cell r="L152">
            <v>1603205360856</v>
          </cell>
          <cell r="M152" t="str">
            <v>40700000683</v>
          </cell>
          <cell r="N152" t="str">
            <v>01.004</v>
          </cell>
          <cell r="O152" t="str">
            <v>A0</v>
          </cell>
          <cell r="P152">
            <v>1</v>
          </cell>
          <cell r="Q152">
            <v>2.72</v>
          </cell>
          <cell r="R152">
            <v>0</v>
          </cell>
          <cell r="T152">
            <v>0</v>
          </cell>
          <cell r="U152">
            <v>0</v>
          </cell>
          <cell r="X152">
            <v>0</v>
          </cell>
        </row>
        <row r="153">
          <cell r="D153" t="str">
            <v>Nguyễn Thị Thanh Thảo</v>
          </cell>
          <cell r="E153" t="str">
            <v>Nhân viên phòng Tuyển sinh - Đào tạo</v>
          </cell>
          <cell r="F153" t="str">
            <v>ĐH</v>
          </cell>
          <cell r="G153" t="str">
            <v>x</v>
          </cell>
          <cell r="I153" t="str">
            <v>NV</v>
          </cell>
          <cell r="K153" t="str">
            <v>026005827</v>
          </cell>
          <cell r="L153">
            <v>1603205182394</v>
          </cell>
          <cell r="M153" t="str">
            <v>11100115707</v>
          </cell>
          <cell r="N153" t="str">
            <v>01.003</v>
          </cell>
          <cell r="O153" t="str">
            <v>A1</v>
          </cell>
          <cell r="P153">
            <v>4</v>
          </cell>
          <cell r="Q153">
            <v>3.66</v>
          </cell>
          <cell r="R153">
            <v>0</v>
          </cell>
          <cell r="T153">
            <v>0</v>
          </cell>
          <cell r="U153">
            <v>0</v>
          </cell>
          <cell r="X153">
            <v>0</v>
          </cell>
        </row>
        <row r="154">
          <cell r="D154" t="str">
            <v>Thái Thị My Sa</v>
          </cell>
          <cell r="E154" t="str">
            <v>Nhân viên phòng Tuyển sinh - Đào tạo</v>
          </cell>
          <cell r="K154" t="str">
            <v>197178714</v>
          </cell>
          <cell r="N154" t="str">
            <v>01.003</v>
          </cell>
          <cell r="Q154">
            <v>3</v>
          </cell>
          <cell r="R154">
            <v>0</v>
          </cell>
          <cell r="T154">
            <v>0</v>
          </cell>
          <cell r="U154">
            <v>0</v>
          </cell>
          <cell r="X154">
            <v>0</v>
          </cell>
        </row>
        <row r="155">
          <cell r="D155" t="str">
            <v>Lưu Hoàng Hải Yến</v>
          </cell>
          <cell r="E155" t="str">
            <v>Nhân viên phòng Tổ chức - Hành chính - Tổng hợp</v>
          </cell>
          <cell r="K155" t="str">
            <v>080185000458</v>
          </cell>
          <cell r="N155" t="str">
            <v>01.003</v>
          </cell>
          <cell r="Q155">
            <v>3</v>
          </cell>
          <cell r="T155">
            <v>0</v>
          </cell>
          <cell r="X155">
            <v>0</v>
          </cell>
        </row>
        <row r="156">
          <cell r="D156" t="str">
            <v>Nguyễn Thị Thùy</v>
          </cell>
          <cell r="E156" t="str">
            <v>Nhân viên phòng Tuyển sinh - Đào tạo</v>
          </cell>
          <cell r="G156" t="str">
            <v>x</v>
          </cell>
          <cell r="K156" t="str">
            <v>024985581</v>
          </cell>
          <cell r="M156" t="str">
            <v>50700000362</v>
          </cell>
          <cell r="N156" t="str">
            <v>01.004</v>
          </cell>
          <cell r="O156" t="str">
            <v>B</v>
          </cell>
          <cell r="P156">
            <v>8</v>
          </cell>
          <cell r="Q156">
            <v>3.46</v>
          </cell>
          <cell r="R156">
            <v>0</v>
          </cell>
          <cell r="T156">
            <v>0</v>
          </cell>
          <cell r="X156">
            <v>0</v>
          </cell>
        </row>
        <row r="157">
          <cell r="D157" t="str">
            <v>Bùi Thị Dương</v>
          </cell>
          <cell r="E157" t="str">
            <v>Nhân viên phòng Quản trị - Dịch vụ</v>
          </cell>
          <cell r="F157" t="str">
            <v>TC</v>
          </cell>
          <cell r="G157" t="str">
            <v>x</v>
          </cell>
          <cell r="I157" t="str">
            <v>NV</v>
          </cell>
          <cell r="K157" t="str">
            <v>040178000738</v>
          </cell>
          <cell r="L157">
            <v>1603205182619</v>
          </cell>
          <cell r="M157" t="str">
            <v>11100115717</v>
          </cell>
          <cell r="N157" t="str">
            <v>01.004</v>
          </cell>
          <cell r="O157" t="str">
            <v>B</v>
          </cell>
          <cell r="P157">
            <v>7</v>
          </cell>
          <cell r="Q157">
            <v>3.26</v>
          </cell>
          <cell r="R157">
            <v>0</v>
          </cell>
          <cell r="T157">
            <v>0</v>
          </cell>
          <cell r="U157">
            <v>0</v>
          </cell>
          <cell r="X157">
            <v>0</v>
          </cell>
        </row>
        <row r="158">
          <cell r="D158" t="str">
            <v>Trần Thị Phương Oanh</v>
          </cell>
          <cell r="E158" t="str">
            <v>Nhân viên phòng Tổ chức - Hành chính - Tổng hợp</v>
          </cell>
          <cell r="F158" t="str">
            <v>ĐH</v>
          </cell>
          <cell r="G158" t="str">
            <v>x</v>
          </cell>
          <cell r="I158" t="str">
            <v>NV</v>
          </cell>
          <cell r="J158" t="str">
            <v>NV202</v>
          </cell>
          <cell r="K158" t="str">
            <v>023681257</v>
          </cell>
          <cell r="L158" t="str">
            <v>1603205178794</v>
          </cell>
          <cell r="M158" t="str">
            <v>11100071604</v>
          </cell>
          <cell r="N158" t="str">
            <v>01.004</v>
          </cell>
          <cell r="O158" t="str">
            <v>B</v>
          </cell>
          <cell r="P158">
            <v>6</v>
          </cell>
          <cell r="Q158">
            <v>3.06</v>
          </cell>
          <cell r="R158">
            <v>0</v>
          </cell>
          <cell r="T158">
            <v>0</v>
          </cell>
          <cell r="U158">
            <v>0</v>
          </cell>
          <cell r="X158">
            <v>0</v>
          </cell>
        </row>
        <row r="159">
          <cell r="D159" t="str">
            <v>Phan Thị Ngọc Phượng</v>
          </cell>
          <cell r="E159" t="str">
            <v>Nhân viên phòng Tổ chức - Hành chính - Tổng hợp</v>
          </cell>
          <cell r="F159" t="str">
            <v>TC</v>
          </cell>
          <cell r="G159" t="str">
            <v>x</v>
          </cell>
          <cell r="I159" t="str">
            <v>NV</v>
          </cell>
          <cell r="J159" t="str">
            <v>NV188</v>
          </cell>
          <cell r="K159" t="str">
            <v>023547031</v>
          </cell>
          <cell r="L159" t="str">
            <v>1603205186162</v>
          </cell>
          <cell r="M159" t="str">
            <v>11100082854</v>
          </cell>
          <cell r="N159" t="str">
            <v>01.004</v>
          </cell>
          <cell r="O159" t="str">
            <v>B</v>
          </cell>
          <cell r="P159">
            <v>6</v>
          </cell>
          <cell r="Q159">
            <v>3.26</v>
          </cell>
          <cell r="R159">
            <v>0</v>
          </cell>
          <cell r="T159">
            <v>0</v>
          </cell>
          <cell r="U159">
            <v>0</v>
          </cell>
          <cell r="X159">
            <v>0</v>
          </cell>
        </row>
        <row r="160">
          <cell r="D160" t="str">
            <v>Vũ Thị Thu Thủy</v>
          </cell>
          <cell r="E160" t="str">
            <v>Nhân viên phòng Khảo thí và KĐCL</v>
          </cell>
          <cell r="F160" t="str">
            <v>TC</v>
          </cell>
          <cell r="G160" t="str">
            <v>x</v>
          </cell>
          <cell r="I160" t="str">
            <v>NV</v>
          </cell>
          <cell r="K160" t="str">
            <v>030186001391</v>
          </cell>
          <cell r="L160">
            <v>1603205182575</v>
          </cell>
          <cell r="M160" t="str">
            <v>11100115710</v>
          </cell>
          <cell r="N160" t="str">
            <v>01.004</v>
          </cell>
          <cell r="O160" t="str">
            <v>B</v>
          </cell>
          <cell r="P160">
            <v>6</v>
          </cell>
          <cell r="Q160">
            <v>3.06</v>
          </cell>
          <cell r="R160">
            <v>0</v>
          </cell>
          <cell r="T160">
            <v>0</v>
          </cell>
          <cell r="U160">
            <v>0</v>
          </cell>
          <cell r="X160">
            <v>0</v>
          </cell>
        </row>
        <row r="161">
          <cell r="D161" t="str">
            <v>Đỗ Thị Tâm</v>
          </cell>
          <cell r="E161" t="str">
            <v>Nhân viên TT Dạy nghề Lý Tự Trọng</v>
          </cell>
          <cell r="F161" t="str">
            <v>TC</v>
          </cell>
          <cell r="G161" t="str">
            <v>x</v>
          </cell>
          <cell r="I161" t="str">
            <v>NV</v>
          </cell>
          <cell r="J161" t="str">
            <v>NV204</v>
          </cell>
          <cell r="K161" t="str">
            <v>025530360</v>
          </cell>
          <cell r="L161" t="str">
            <v>1603205179059</v>
          </cell>
          <cell r="M161" t="str">
            <v>11100083302</v>
          </cell>
          <cell r="N161" t="str">
            <v>01.004</v>
          </cell>
          <cell r="O161" t="str">
            <v>B</v>
          </cell>
          <cell r="P161">
            <v>6</v>
          </cell>
          <cell r="Q161">
            <v>3.06</v>
          </cell>
          <cell r="R161">
            <v>0</v>
          </cell>
          <cell r="T161">
            <v>0</v>
          </cell>
          <cell r="U161">
            <v>0</v>
          </cell>
          <cell r="X161">
            <v>0</v>
          </cell>
        </row>
        <row r="162">
          <cell r="D162" t="str">
            <v>Giáp Thị Vượng</v>
          </cell>
          <cell r="E162" t="str">
            <v>Nhân viên phòng Tuyển sinh - Đào tạo</v>
          </cell>
          <cell r="F162" t="str">
            <v>ĐH</v>
          </cell>
          <cell r="G162" t="str">
            <v>x</v>
          </cell>
          <cell r="I162" t="str">
            <v>NV</v>
          </cell>
          <cell r="K162" t="str">
            <v>024683155</v>
          </cell>
          <cell r="L162" t="str">
            <v>1603205246090</v>
          </cell>
          <cell r="M162" t="str">
            <v>11100115705</v>
          </cell>
          <cell r="N162" t="str">
            <v>01.004</v>
          </cell>
          <cell r="O162" t="str">
            <v>B</v>
          </cell>
          <cell r="P162">
            <v>4</v>
          </cell>
          <cell r="Q162">
            <v>2.86</v>
          </cell>
          <cell r="R162">
            <v>0</v>
          </cell>
          <cell r="T162">
            <v>0</v>
          </cell>
          <cell r="U162">
            <v>0</v>
          </cell>
          <cell r="X162">
            <v>0</v>
          </cell>
        </row>
        <row r="163">
          <cell r="D163" t="str">
            <v>Trần Thị Ánh Phượng</v>
          </cell>
          <cell r="E163" t="str">
            <v>Nhân viên phòng Tổ chức - Hành chính - Tổng hợp</v>
          </cell>
          <cell r="F163" t="str">
            <v>TC</v>
          </cell>
          <cell r="G163" t="str">
            <v>x</v>
          </cell>
          <cell r="I163" t="str">
            <v>NV</v>
          </cell>
          <cell r="K163" t="str">
            <v>024306087</v>
          </cell>
          <cell r="L163" t="str">
            <v>1603205246134</v>
          </cell>
          <cell r="M163" t="str">
            <v>11100115699</v>
          </cell>
          <cell r="N163" t="str">
            <v>01.004</v>
          </cell>
          <cell r="O163" t="str">
            <v>B</v>
          </cell>
          <cell r="P163">
            <v>6</v>
          </cell>
          <cell r="Q163">
            <v>3.06</v>
          </cell>
          <cell r="R163">
            <v>0</v>
          </cell>
          <cell r="T163">
            <v>0</v>
          </cell>
          <cell r="U163">
            <v>0</v>
          </cell>
          <cell r="X163">
            <v>0</v>
          </cell>
        </row>
        <row r="164">
          <cell r="D164" t="str">
            <v>Nguyễn Thị Hồng Thắm</v>
          </cell>
          <cell r="E164" t="str">
            <v>Nhân viên Thủ quỹ phòng Kế hoạch - Tài chính</v>
          </cell>
          <cell r="G164" t="str">
            <v>x</v>
          </cell>
          <cell r="K164" t="str">
            <v>025796369</v>
          </cell>
          <cell r="L164">
            <v>1603205372861</v>
          </cell>
          <cell r="M164" t="str">
            <v>40700000691</v>
          </cell>
          <cell r="N164" t="str">
            <v>01.004</v>
          </cell>
          <cell r="O164" t="str">
            <v>B</v>
          </cell>
          <cell r="P164">
            <v>1</v>
          </cell>
          <cell r="Q164">
            <v>2.46</v>
          </cell>
          <cell r="R164">
            <v>0</v>
          </cell>
          <cell r="T164">
            <v>0</v>
          </cell>
          <cell r="X164">
            <v>0</v>
          </cell>
        </row>
        <row r="165">
          <cell r="D165" t="str">
            <v>Vũ Như Quỳnh</v>
          </cell>
          <cell r="E165" t="str">
            <v>Nhân viên phòng Tổ chức - Hành chính - Tổng hợp</v>
          </cell>
          <cell r="F165" t="str">
            <v>ĐH</v>
          </cell>
          <cell r="G165" t="str">
            <v>x</v>
          </cell>
          <cell r="I165" t="str">
            <v>NV</v>
          </cell>
          <cell r="J165" t="str">
            <v>NV189</v>
          </cell>
          <cell r="K165" t="str">
            <v>025302249</v>
          </cell>
          <cell r="L165" t="str">
            <v>1603205186127</v>
          </cell>
          <cell r="M165" t="str">
            <v>11100082861</v>
          </cell>
          <cell r="N165" t="str">
            <v>06.031</v>
          </cell>
          <cell r="O165" t="str">
            <v>A1</v>
          </cell>
          <cell r="P165">
            <v>3</v>
          </cell>
          <cell r="Q165">
            <v>3.33</v>
          </cell>
          <cell r="R165">
            <v>0</v>
          </cell>
          <cell r="T165">
            <v>0</v>
          </cell>
          <cell r="U165">
            <v>0</v>
          </cell>
          <cell r="X165">
            <v>0</v>
          </cell>
        </row>
        <row r="166">
          <cell r="D166" t="str">
            <v>Mai Thu Hương</v>
          </cell>
          <cell r="E166" t="str">
            <v>Nhân viên phòng Thanh tra Giáo dục - CT Sinh viên</v>
          </cell>
          <cell r="G166" t="str">
            <v>x</v>
          </cell>
          <cell r="K166" t="str">
            <v>036186004635</v>
          </cell>
          <cell r="M166" t="str">
            <v>50700000433</v>
          </cell>
          <cell r="N166" t="str">
            <v>06.031</v>
          </cell>
          <cell r="O166" t="str">
            <v>A1</v>
          </cell>
          <cell r="P166">
            <v>3</v>
          </cell>
          <cell r="Q166">
            <v>3</v>
          </cell>
          <cell r="R166">
            <v>0</v>
          </cell>
          <cell r="T166">
            <v>0</v>
          </cell>
          <cell r="U166">
            <v>0</v>
          </cell>
          <cell r="X166">
            <v>0</v>
          </cell>
        </row>
        <row r="167">
          <cell r="D167" t="str">
            <v>Võ Thị Lệ Trân</v>
          </cell>
          <cell r="E167" t="str">
            <v>Nhân viên phòng Kế hoạch - Tài chính</v>
          </cell>
          <cell r="G167" t="str">
            <v>x</v>
          </cell>
          <cell r="K167" t="str">
            <v>025408857</v>
          </cell>
          <cell r="M167" t="str">
            <v>50700000428</v>
          </cell>
          <cell r="N167" t="str">
            <v>06.031</v>
          </cell>
          <cell r="O167" t="str">
            <v>A1</v>
          </cell>
          <cell r="P167">
            <v>2</v>
          </cell>
          <cell r="Q167">
            <v>3.33</v>
          </cell>
          <cell r="R167">
            <v>0</v>
          </cell>
          <cell r="T167">
            <v>0</v>
          </cell>
          <cell r="U167">
            <v>0</v>
          </cell>
          <cell r="X167">
            <v>0</v>
          </cell>
        </row>
        <row r="168">
          <cell r="D168" t="str">
            <v>Trần Thị Minh Thoa</v>
          </cell>
          <cell r="E168" t="str">
            <v>Nhân viên phòng Kế hoạch - Tài chính</v>
          </cell>
          <cell r="F168" t="str">
            <v>TC</v>
          </cell>
          <cell r="G168" t="str">
            <v>x</v>
          </cell>
          <cell r="K168" t="str">
            <v>025197968</v>
          </cell>
          <cell r="L168">
            <v>1603205178873</v>
          </cell>
          <cell r="M168" t="str">
            <v>11100121674</v>
          </cell>
          <cell r="N168" t="str">
            <v>06.032</v>
          </cell>
          <cell r="O168" t="str">
            <v>B</v>
          </cell>
          <cell r="P168">
            <v>7</v>
          </cell>
          <cell r="Q168">
            <v>3.26</v>
          </cell>
          <cell r="R168">
            <v>0</v>
          </cell>
          <cell r="T168">
            <v>0</v>
          </cell>
          <cell r="U168">
            <v>0</v>
          </cell>
          <cell r="X168">
            <v>0</v>
          </cell>
        </row>
        <row r="169">
          <cell r="D169" t="str">
            <v>Đỗ Thị Ngọc</v>
          </cell>
          <cell r="E169" t="str">
            <v>Nhân viên phòng Kế hoạch - Tài chính</v>
          </cell>
          <cell r="G169" t="str">
            <v>x</v>
          </cell>
          <cell r="K169" t="str">
            <v>022793480</v>
          </cell>
          <cell r="M169" t="str">
            <v>50800001163</v>
          </cell>
          <cell r="N169" t="str">
            <v>06.032</v>
          </cell>
          <cell r="O169" t="str">
            <v>B</v>
          </cell>
          <cell r="P169">
            <v>5</v>
          </cell>
          <cell r="Q169">
            <v>3.06</v>
          </cell>
          <cell r="R169">
            <v>0</v>
          </cell>
          <cell r="T169">
            <v>0</v>
          </cell>
          <cell r="U169">
            <v>0</v>
          </cell>
          <cell r="X169">
            <v>0</v>
          </cell>
        </row>
        <row r="170">
          <cell r="D170" t="str">
            <v>Giáp Văn Thịnh</v>
          </cell>
          <cell r="E170" t="str">
            <v>Nhân viên phòng Quản trị - Dịch vụ</v>
          </cell>
          <cell r="F170" t="str">
            <v>TC</v>
          </cell>
          <cell r="I170" t="str">
            <v>NV</v>
          </cell>
          <cell r="K170" t="str">
            <v>024683154</v>
          </cell>
          <cell r="L170" t="str">
            <v>1603205246157</v>
          </cell>
          <cell r="M170" t="str">
            <v>11100115709</v>
          </cell>
          <cell r="N170" t="str">
            <v>V.05.02.08</v>
          </cell>
          <cell r="O170" t="str">
            <v>B</v>
          </cell>
          <cell r="P170">
            <v>6</v>
          </cell>
          <cell r="Q170">
            <v>3.06</v>
          </cell>
          <cell r="R170">
            <v>0</v>
          </cell>
          <cell r="T170">
            <v>0</v>
          </cell>
          <cell r="U170">
            <v>0</v>
          </cell>
          <cell r="X170">
            <v>0</v>
          </cell>
        </row>
        <row r="171">
          <cell r="D171" t="str">
            <v>Vũ Ngọc Quang</v>
          </cell>
          <cell r="E171" t="str">
            <v>Nhân viên phòng Quản trị - Dịch vụ</v>
          </cell>
          <cell r="F171" t="str">
            <v>TC</v>
          </cell>
          <cell r="I171" t="str">
            <v>NV</v>
          </cell>
          <cell r="J171" t="str">
            <v>NV194</v>
          </cell>
          <cell r="K171" t="str">
            <v>079084001864</v>
          </cell>
          <cell r="L171" t="str">
            <v>1603205185912</v>
          </cell>
          <cell r="M171" t="str">
            <v>11100083308</v>
          </cell>
          <cell r="N171" t="str">
            <v>V.05.02.08</v>
          </cell>
          <cell r="O171" t="str">
            <v>B</v>
          </cell>
          <cell r="P171">
            <v>6</v>
          </cell>
          <cell r="Q171">
            <v>3.06</v>
          </cell>
          <cell r="R171">
            <v>0</v>
          </cell>
          <cell r="T171">
            <v>0</v>
          </cell>
          <cell r="U171">
            <v>0</v>
          </cell>
          <cell r="X171">
            <v>0</v>
          </cell>
        </row>
        <row r="172">
          <cell r="D172" t="str">
            <v>Đỗ Văn Trông</v>
          </cell>
          <cell r="E172" t="str">
            <v>Nhân viên phòng Quản trị - Dịch vụ</v>
          </cell>
          <cell r="F172" t="str">
            <v>TC</v>
          </cell>
          <cell r="I172" t="str">
            <v>NV</v>
          </cell>
          <cell r="J172" t="str">
            <v>NV192</v>
          </cell>
          <cell r="K172" t="str">
            <v>079082001582</v>
          </cell>
          <cell r="L172" t="str">
            <v>1603205186133</v>
          </cell>
          <cell r="M172" t="str">
            <v>11100071601</v>
          </cell>
          <cell r="N172" t="str">
            <v>V.05.02.08</v>
          </cell>
          <cell r="O172" t="str">
            <v>B</v>
          </cell>
          <cell r="P172">
            <v>4</v>
          </cell>
          <cell r="Q172">
            <v>2.86</v>
          </cell>
          <cell r="R172">
            <v>0</v>
          </cell>
          <cell r="T172">
            <v>0</v>
          </cell>
          <cell r="U172">
            <v>0</v>
          </cell>
          <cell r="X172">
            <v>0</v>
          </cell>
        </row>
        <row r="173">
          <cell r="D173" t="str">
            <v>Nguyễn Thị Bích Liễu</v>
          </cell>
          <cell r="E173" t="str">
            <v>Nhân viên phòng Tổ chức - Hành chính - Tổng hợp</v>
          </cell>
          <cell r="G173" t="str">
            <v>x</v>
          </cell>
          <cell r="K173" t="str">
            <v>024419690</v>
          </cell>
          <cell r="L173" t="str">
            <v>1603205249292</v>
          </cell>
          <cell r="M173" t="str">
            <v>40400000515</v>
          </cell>
          <cell r="N173" t="str">
            <v>V.05.02.08</v>
          </cell>
          <cell r="O173" t="str">
            <v>B</v>
          </cell>
          <cell r="P173">
            <v>3</v>
          </cell>
          <cell r="Q173">
            <v>3.06</v>
          </cell>
          <cell r="R173">
            <v>0</v>
          </cell>
          <cell r="T173">
            <v>0</v>
          </cell>
          <cell r="U173">
            <v>0</v>
          </cell>
          <cell r="X173">
            <v>0</v>
          </cell>
        </row>
        <row r="174">
          <cell r="D174" t="str">
            <v>Vương Hội Khánh</v>
          </cell>
          <cell r="E174" t="str">
            <v>Nhân viên phòng Tuyển sinh - Đào tạo</v>
          </cell>
          <cell r="K174" t="str">
            <v>079085002906</v>
          </cell>
          <cell r="L174" t="str">
            <v>1603205254263</v>
          </cell>
          <cell r="M174" t="str">
            <v>40400000575</v>
          </cell>
          <cell r="N174" t="str">
            <v>V.05.02.08</v>
          </cell>
          <cell r="O174" t="str">
            <v>B</v>
          </cell>
          <cell r="P174">
            <v>3</v>
          </cell>
          <cell r="Q174">
            <v>2.86</v>
          </cell>
          <cell r="R174">
            <v>0</v>
          </cell>
          <cell r="T174">
            <v>0</v>
          </cell>
          <cell r="U174">
            <v>0</v>
          </cell>
          <cell r="X174">
            <v>0</v>
          </cell>
        </row>
        <row r="175">
          <cell r="D175" t="str">
            <v>Nguyễn Cao Thắng</v>
          </cell>
          <cell r="E175" t="str">
            <v>Nhân viên phòng Quản trị - Dịch vụ</v>
          </cell>
          <cell r="K175" t="str">
            <v>079084013225</v>
          </cell>
          <cell r="N175" t="str">
            <v>V.05.02.07</v>
          </cell>
          <cell r="Q175">
            <v>2.67</v>
          </cell>
          <cell r="R175">
            <v>0</v>
          </cell>
          <cell r="T175">
            <v>0</v>
          </cell>
          <cell r="U175">
            <v>0</v>
          </cell>
          <cell r="X175">
            <v>0</v>
          </cell>
        </row>
        <row r="176">
          <cell r="D176" t="str">
            <v>Dương Minh Chung</v>
          </cell>
          <cell r="E176" t="str">
            <v>Giảng viên khoa Cơ khí</v>
          </cell>
          <cell r="F176" t="str">
            <v>ĐH</v>
          </cell>
          <cell r="H176" t="str">
            <v>GV</v>
          </cell>
          <cell r="I176" t="str">
            <v>GV</v>
          </cell>
          <cell r="J176" t="str">
            <v>GV156</v>
          </cell>
          <cell r="K176" t="str">
            <v>024252246</v>
          </cell>
          <cell r="L176" t="str">
            <v>1603205182149</v>
          </cell>
          <cell r="M176" t="str">
            <v>11100000784</v>
          </cell>
          <cell r="N176" t="str">
            <v>V.07.01.03</v>
          </cell>
          <cell r="O176" t="str">
            <v>A1</v>
          </cell>
          <cell r="P176">
            <v>5</v>
          </cell>
          <cell r="Q176">
            <v>3.99</v>
          </cell>
          <cell r="R176">
            <v>0.55859999999999999</v>
          </cell>
          <cell r="T176">
            <v>0</v>
          </cell>
          <cell r="U176">
            <v>0</v>
          </cell>
          <cell r="W176">
            <v>0.14000000000000001</v>
          </cell>
          <cell r="X176">
            <v>0.55859999999999999</v>
          </cell>
        </row>
        <row r="177">
          <cell r="D177" t="str">
            <v>Đặng Thị Kiến Trúc</v>
          </cell>
          <cell r="E177" t="str">
            <v>Giảng viên khoa KHCB</v>
          </cell>
          <cell r="F177" t="str">
            <v>ĐH</v>
          </cell>
          <cell r="G177" t="str">
            <v>x</v>
          </cell>
          <cell r="H177" t="str">
            <v>GV</v>
          </cell>
          <cell r="I177" t="str">
            <v>GV</v>
          </cell>
          <cell r="J177" t="str">
            <v>GV158</v>
          </cell>
          <cell r="K177" t="str">
            <v>082175000189</v>
          </cell>
          <cell r="L177" t="str">
            <v>1603205186501</v>
          </cell>
          <cell r="M177" t="str">
            <v>11100067776</v>
          </cell>
          <cell r="N177" t="str">
            <v>V.07.01.03</v>
          </cell>
          <cell r="O177" t="str">
            <v>A1</v>
          </cell>
          <cell r="P177">
            <v>5</v>
          </cell>
          <cell r="Q177">
            <v>3.99</v>
          </cell>
          <cell r="R177">
            <v>0.55859999999999999</v>
          </cell>
          <cell r="T177">
            <v>0</v>
          </cell>
          <cell r="U177">
            <v>0</v>
          </cell>
          <cell r="W177">
            <v>0.14000000000000001</v>
          </cell>
          <cell r="X177">
            <v>0.55859999999999999</v>
          </cell>
        </row>
        <row r="178">
          <cell r="D178" t="str">
            <v>Đỗ Trọng Quý</v>
          </cell>
          <cell r="E178" t="str">
            <v>Giảng viên khoa Nhiệt - Lạnh</v>
          </cell>
          <cell r="F178" t="str">
            <v>ĐH</v>
          </cell>
          <cell r="H178" t="str">
            <v>GV</v>
          </cell>
          <cell r="I178" t="str">
            <v>GV</v>
          </cell>
          <cell r="J178" t="str">
            <v>GV247</v>
          </cell>
          <cell r="K178" t="str">
            <v>024573030</v>
          </cell>
          <cell r="L178" t="str">
            <v>1603205231796</v>
          </cell>
          <cell r="M178" t="str">
            <v>11100093891</v>
          </cell>
          <cell r="N178" t="str">
            <v>V.07.01.03</v>
          </cell>
          <cell r="O178" t="str">
            <v>A1</v>
          </cell>
          <cell r="P178">
            <v>5</v>
          </cell>
          <cell r="Q178">
            <v>3.99</v>
          </cell>
          <cell r="R178">
            <v>0.51870000000000005</v>
          </cell>
          <cell r="T178">
            <v>0</v>
          </cell>
          <cell r="U178">
            <v>0</v>
          </cell>
          <cell r="W178">
            <v>0.13</v>
          </cell>
          <cell r="X178">
            <v>0.51870000000000005</v>
          </cell>
        </row>
        <row r="179">
          <cell r="D179" t="str">
            <v>Ngô Thanh Điền</v>
          </cell>
          <cell r="E179" t="str">
            <v>Giảng viên khoa KHCB</v>
          </cell>
          <cell r="F179" t="str">
            <v>ĐH</v>
          </cell>
          <cell r="I179" t="str">
            <v>GV</v>
          </cell>
          <cell r="J179" t="str">
            <v>GV183</v>
          </cell>
          <cell r="K179" t="str">
            <v>024345241</v>
          </cell>
          <cell r="L179" t="str">
            <v>1603205183266</v>
          </cell>
          <cell r="M179" t="str">
            <v>11100000810</v>
          </cell>
          <cell r="N179" t="str">
            <v>V.07.01.03</v>
          </cell>
          <cell r="O179" t="str">
            <v>A1</v>
          </cell>
          <cell r="P179">
            <v>5</v>
          </cell>
          <cell r="Q179">
            <v>3.99</v>
          </cell>
          <cell r="R179">
            <v>0.63839999999999997</v>
          </cell>
          <cell r="T179">
            <v>0</v>
          </cell>
          <cell r="U179">
            <v>0</v>
          </cell>
          <cell r="W179">
            <v>0.16</v>
          </cell>
          <cell r="X179">
            <v>0.63839999999999997</v>
          </cell>
        </row>
        <row r="180">
          <cell r="D180" t="str">
            <v>Nguyễn Thị Thủy</v>
          </cell>
          <cell r="E180" t="str">
            <v>Giảng viên khoa CNTT</v>
          </cell>
          <cell r="F180" t="str">
            <v>ĐH</v>
          </cell>
          <cell r="G180" t="str">
            <v>x</v>
          </cell>
          <cell r="H180" t="str">
            <v>GV</v>
          </cell>
          <cell r="I180" t="str">
            <v>TT</v>
          </cell>
          <cell r="J180" t="str">
            <v>TT153</v>
          </cell>
          <cell r="K180" t="str">
            <v>024246529</v>
          </cell>
          <cell r="L180" t="str">
            <v>1603205185160</v>
          </cell>
          <cell r="M180" t="str">
            <v>11100067217</v>
          </cell>
          <cell r="N180" t="str">
            <v>V.07.01.03</v>
          </cell>
          <cell r="O180" t="str">
            <v>A1</v>
          </cell>
          <cell r="P180">
            <v>5</v>
          </cell>
          <cell r="Q180">
            <v>3.99</v>
          </cell>
          <cell r="R180">
            <v>0.51870000000000005</v>
          </cell>
          <cell r="T180">
            <v>0</v>
          </cell>
          <cell r="U180">
            <v>0</v>
          </cell>
          <cell r="W180">
            <v>0.13</v>
          </cell>
          <cell r="X180">
            <v>0.51870000000000005</v>
          </cell>
        </row>
        <row r="181">
          <cell r="D181" t="str">
            <v>Nguyễn Phú Tân</v>
          </cell>
          <cell r="E181" t="str">
            <v>Giảng viên khoa KHCB</v>
          </cell>
          <cell r="F181" t="str">
            <v>ĐH</v>
          </cell>
          <cell r="H181" t="str">
            <v>GV</v>
          </cell>
          <cell r="I181" t="str">
            <v>GV</v>
          </cell>
          <cell r="J181" t="str">
            <v>GV238</v>
          </cell>
          <cell r="K181" t="str">
            <v>024960154</v>
          </cell>
          <cell r="L181" t="str">
            <v>1603205229368</v>
          </cell>
          <cell r="M181" t="str">
            <v>11100097744</v>
          </cell>
          <cell r="N181" t="str">
            <v>V.07.01.03</v>
          </cell>
          <cell r="O181" t="str">
            <v>A1</v>
          </cell>
          <cell r="P181">
            <v>5</v>
          </cell>
          <cell r="Q181">
            <v>3.66</v>
          </cell>
          <cell r="R181">
            <v>0.62219999999999998</v>
          </cell>
          <cell r="T181">
            <v>0</v>
          </cell>
          <cell r="U181">
            <v>0</v>
          </cell>
          <cell r="W181">
            <v>0.17</v>
          </cell>
          <cell r="X181">
            <v>0.62219999999999998</v>
          </cell>
        </row>
        <row r="182">
          <cell r="D182" t="str">
            <v>Nguyễn Phương Hà</v>
          </cell>
          <cell r="E182" t="str">
            <v>Giảng viên khoa KHCB</v>
          </cell>
          <cell r="F182" t="str">
            <v>Th.S</v>
          </cell>
          <cell r="G182" t="str">
            <v>x</v>
          </cell>
          <cell r="H182" t="str">
            <v>GV</v>
          </cell>
          <cell r="I182" t="str">
            <v>GV</v>
          </cell>
          <cell r="J182" t="str">
            <v>GV159</v>
          </cell>
          <cell r="K182" t="str">
            <v>023621571</v>
          </cell>
          <cell r="L182" t="str">
            <v>1603205186350</v>
          </cell>
          <cell r="M182" t="str">
            <v>11100067248</v>
          </cell>
          <cell r="N182" t="str">
            <v>V.07.01.03</v>
          </cell>
          <cell r="O182" t="str">
            <v>A1</v>
          </cell>
          <cell r="P182">
            <v>5</v>
          </cell>
          <cell r="Q182">
            <v>3.66</v>
          </cell>
          <cell r="R182">
            <v>0.4758</v>
          </cell>
          <cell r="T182">
            <v>0</v>
          </cell>
          <cell r="U182">
            <v>0</v>
          </cell>
          <cell r="W182">
            <v>0.13</v>
          </cell>
          <cell r="X182">
            <v>0.4758</v>
          </cell>
        </row>
        <row r="183">
          <cell r="D183" t="str">
            <v>Nguyễn Nguyên Hoàng Ngọc Quyên</v>
          </cell>
          <cell r="E183" t="str">
            <v>Giảng viên khoa CNTT</v>
          </cell>
          <cell r="F183" t="str">
            <v>ĐH</v>
          </cell>
          <cell r="G183" t="str">
            <v>x</v>
          </cell>
          <cell r="H183" t="str">
            <v>GV</v>
          </cell>
          <cell r="I183" t="str">
            <v>GV</v>
          </cell>
          <cell r="J183" t="str">
            <v>GV163</v>
          </cell>
          <cell r="K183" t="str">
            <v>023471997</v>
          </cell>
          <cell r="L183" t="str">
            <v>1603205185210</v>
          </cell>
          <cell r="M183" t="str">
            <v>11100067215</v>
          </cell>
          <cell r="N183" t="str">
            <v>V.07.01.03</v>
          </cell>
          <cell r="O183" t="str">
            <v>A1</v>
          </cell>
          <cell r="P183">
            <v>4</v>
          </cell>
          <cell r="Q183">
            <v>3.66</v>
          </cell>
          <cell r="R183">
            <v>0.4758</v>
          </cell>
          <cell r="T183">
            <v>0</v>
          </cell>
          <cell r="U183">
            <v>0</v>
          </cell>
          <cell r="W183">
            <v>0.13</v>
          </cell>
          <cell r="X183">
            <v>0.4758</v>
          </cell>
        </row>
        <row r="184">
          <cell r="D184" t="str">
            <v>Vũ Hạnh Chiêu</v>
          </cell>
          <cell r="E184" t="str">
            <v>Giảng viên khoa Điện - Điện tử</v>
          </cell>
          <cell r="F184" t="str">
            <v>ĐH</v>
          </cell>
          <cell r="G184" t="str">
            <v>x</v>
          </cell>
          <cell r="H184" t="str">
            <v>GV</v>
          </cell>
          <cell r="I184" t="str">
            <v>GV</v>
          </cell>
          <cell r="J184" t="str">
            <v>GV213</v>
          </cell>
          <cell r="K184" t="str">
            <v>024280248</v>
          </cell>
          <cell r="L184" t="str">
            <v>1603205219414</v>
          </cell>
          <cell r="M184" t="str">
            <v>20500005408</v>
          </cell>
          <cell r="N184" t="str">
            <v>V.07.01.03</v>
          </cell>
          <cell r="O184" t="str">
            <v>A1</v>
          </cell>
          <cell r="P184">
            <v>4</v>
          </cell>
          <cell r="Q184">
            <v>3.66</v>
          </cell>
          <cell r="R184">
            <v>0.4758</v>
          </cell>
          <cell r="T184">
            <v>0</v>
          </cell>
          <cell r="U184">
            <v>0</v>
          </cell>
          <cell r="W184">
            <v>0.13</v>
          </cell>
          <cell r="X184">
            <v>0.4758</v>
          </cell>
        </row>
        <row r="185">
          <cell r="D185" t="str">
            <v>Phạm Thị Vinh</v>
          </cell>
          <cell r="E185" t="str">
            <v>Giảng viên khoa Lý luận chính trị</v>
          </cell>
          <cell r="F185" t="str">
            <v>ĐH</v>
          </cell>
          <cell r="G185" t="str">
            <v>x</v>
          </cell>
          <cell r="H185" t="str">
            <v>GV</v>
          </cell>
          <cell r="I185" t="str">
            <v>GV</v>
          </cell>
          <cell r="K185" t="str">
            <v>025294204</v>
          </cell>
          <cell r="L185" t="str">
            <v>1603205269412</v>
          </cell>
          <cell r="M185" t="str">
            <v>11100116900</v>
          </cell>
          <cell r="N185" t="str">
            <v>V.07.01.03</v>
          </cell>
          <cell r="O185" t="str">
            <v>A1</v>
          </cell>
          <cell r="P185">
            <v>4</v>
          </cell>
          <cell r="Q185">
            <v>3.66</v>
          </cell>
          <cell r="R185">
            <v>0.4758</v>
          </cell>
          <cell r="T185">
            <v>0</v>
          </cell>
          <cell r="U185">
            <v>0</v>
          </cell>
          <cell r="W185">
            <v>0.13</v>
          </cell>
          <cell r="X185">
            <v>0.4758</v>
          </cell>
        </row>
        <row r="186">
          <cell r="D186" t="str">
            <v>Trịnh Khắc Vũ</v>
          </cell>
          <cell r="E186" t="str">
            <v>Giảng viên khoa KHCB</v>
          </cell>
          <cell r="F186" t="str">
            <v>Th.S</v>
          </cell>
          <cell r="H186" t="str">
            <v>GV</v>
          </cell>
          <cell r="I186" t="str">
            <v>GV</v>
          </cell>
          <cell r="J186" t="str">
            <v>GV250</v>
          </cell>
          <cell r="K186" t="str">
            <v>025244382</v>
          </cell>
          <cell r="L186" t="str">
            <v>1603205246662</v>
          </cell>
          <cell r="M186" t="str">
            <v>11100109967</v>
          </cell>
          <cell r="N186" t="str">
            <v>V.07.01.03</v>
          </cell>
          <cell r="O186" t="str">
            <v>A1</v>
          </cell>
          <cell r="P186">
            <v>4</v>
          </cell>
          <cell r="Q186">
            <v>3.66</v>
          </cell>
          <cell r="R186">
            <v>0.32940000000000003</v>
          </cell>
          <cell r="T186">
            <v>0</v>
          </cell>
          <cell r="U186">
            <v>0</v>
          </cell>
          <cell r="W186">
            <v>0.09</v>
          </cell>
          <cell r="X186">
            <v>0.32940000000000003</v>
          </cell>
        </row>
        <row r="187">
          <cell r="D187" t="str">
            <v>Trần Thị Hồng Thu</v>
          </cell>
          <cell r="E187" t="str">
            <v>Giảng viên khoa Lý luận chính trị</v>
          </cell>
          <cell r="F187" t="str">
            <v>ĐH</v>
          </cell>
          <cell r="G187" t="str">
            <v>x</v>
          </cell>
          <cell r="H187" t="str">
            <v>GV</v>
          </cell>
          <cell r="I187" t="str">
            <v>GV</v>
          </cell>
          <cell r="J187" t="str">
            <v>GV172</v>
          </cell>
          <cell r="K187" t="str">
            <v>025348886</v>
          </cell>
          <cell r="L187" t="str">
            <v>1603205186480</v>
          </cell>
          <cell r="M187" t="str">
            <v>11100071858</v>
          </cell>
          <cell r="N187" t="str">
            <v>V.07.01.03</v>
          </cell>
          <cell r="O187" t="str">
            <v>A1</v>
          </cell>
          <cell r="P187">
            <v>4</v>
          </cell>
          <cell r="Q187">
            <v>3.66</v>
          </cell>
          <cell r="R187">
            <v>0.51239999999999997</v>
          </cell>
          <cell r="T187">
            <v>0</v>
          </cell>
          <cell r="U187">
            <v>0</v>
          </cell>
          <cell r="W187">
            <v>0.14000000000000001</v>
          </cell>
          <cell r="X187">
            <v>0.51239999999999997</v>
          </cell>
        </row>
        <row r="188">
          <cell r="D188" t="str">
            <v>Trần Thị Thu Hà</v>
          </cell>
          <cell r="E188" t="str">
            <v>Nhân viên phòng Thanh tra giáo dục - CT Sinh viên</v>
          </cell>
          <cell r="F188" t="str">
            <v>ĐH</v>
          </cell>
          <cell r="G188" t="str">
            <v>x</v>
          </cell>
          <cell r="H188" t="str">
            <v>GV</v>
          </cell>
          <cell r="I188" t="str">
            <v>GV</v>
          </cell>
          <cell r="J188" t="str">
            <v>GV139</v>
          </cell>
          <cell r="K188" t="str">
            <v>023444718</v>
          </cell>
          <cell r="L188" t="str">
            <v>1603205186179</v>
          </cell>
          <cell r="M188" t="str">
            <v>11100071600</v>
          </cell>
          <cell r="N188" t="str">
            <v>01.003</v>
          </cell>
          <cell r="O188" t="str">
            <v>A1</v>
          </cell>
          <cell r="P188">
            <v>4</v>
          </cell>
          <cell r="Q188">
            <v>3.66</v>
          </cell>
          <cell r="R188">
            <v>0</v>
          </cell>
          <cell r="T188">
            <v>0</v>
          </cell>
          <cell r="U188">
            <v>0</v>
          </cell>
          <cell r="X188">
            <v>0</v>
          </cell>
        </row>
        <row r="189">
          <cell r="D189" t="str">
            <v>Huỳnh Thị Mai</v>
          </cell>
          <cell r="E189" t="str">
            <v>Nhân viên phòng Tuyển sinh - Đào tạo</v>
          </cell>
          <cell r="F189" t="str">
            <v>ĐH</v>
          </cell>
          <cell r="G189" t="str">
            <v>x</v>
          </cell>
          <cell r="I189" t="str">
            <v>GV</v>
          </cell>
          <cell r="J189" t="str">
            <v>GV146</v>
          </cell>
          <cell r="K189" t="str">
            <v>024673300</v>
          </cell>
          <cell r="L189" t="str">
            <v>1603205185652</v>
          </cell>
          <cell r="M189" t="str">
            <v>11100083384</v>
          </cell>
          <cell r="N189" t="str">
            <v>V.07.01.03</v>
          </cell>
          <cell r="O189" t="str">
            <v>A1</v>
          </cell>
          <cell r="P189">
            <v>4</v>
          </cell>
          <cell r="Q189">
            <v>3.66</v>
          </cell>
          <cell r="R189">
            <v>0.25619999999999998</v>
          </cell>
          <cell r="T189">
            <v>0</v>
          </cell>
          <cell r="U189">
            <v>0</v>
          </cell>
          <cell r="W189">
            <v>7.0000000000000007E-2</v>
          </cell>
          <cell r="X189">
            <v>0.25619999999999998</v>
          </cell>
        </row>
        <row r="190">
          <cell r="D190" t="str">
            <v>Ngô Phong Cường</v>
          </cell>
          <cell r="E190" t="str">
            <v>Giảng viên khoa CN Điện - Điện tử</v>
          </cell>
          <cell r="F190" t="str">
            <v>ĐH</v>
          </cell>
          <cell r="H190" t="str">
            <v>GV</v>
          </cell>
          <cell r="I190" t="str">
            <v>GV</v>
          </cell>
          <cell r="J190" t="str">
            <v>GV149</v>
          </cell>
          <cell r="K190" t="str">
            <v>046068000245</v>
          </cell>
          <cell r="L190" t="str">
            <v>1603205178952</v>
          </cell>
          <cell r="M190" t="str">
            <v>11100082510</v>
          </cell>
          <cell r="N190" t="str">
            <v>V.07.01.03</v>
          </cell>
          <cell r="O190" t="str">
            <v>A1</v>
          </cell>
          <cell r="P190">
            <v>4</v>
          </cell>
          <cell r="Q190">
            <v>3.66</v>
          </cell>
          <cell r="R190">
            <v>0.54900000000000004</v>
          </cell>
          <cell r="T190">
            <v>0</v>
          </cell>
          <cell r="U190">
            <v>0</v>
          </cell>
          <cell r="W190">
            <v>0.15</v>
          </cell>
          <cell r="X190">
            <v>0.54900000000000004</v>
          </cell>
        </row>
        <row r="191">
          <cell r="D191" t="str">
            <v>Phan Anh Tuấn Kiệt</v>
          </cell>
          <cell r="E191" t="str">
            <v>Giảng viên khoa Công nghệ Động lực</v>
          </cell>
          <cell r="F191" t="str">
            <v>ĐH</v>
          </cell>
          <cell r="H191" t="str">
            <v>GV</v>
          </cell>
          <cell r="I191" t="str">
            <v>GV</v>
          </cell>
          <cell r="J191" t="str">
            <v>GV144</v>
          </cell>
          <cell r="K191" t="str">
            <v>023636063</v>
          </cell>
          <cell r="L191" t="str">
            <v>1603205178788</v>
          </cell>
          <cell r="M191" t="str">
            <v>11100082545</v>
          </cell>
          <cell r="N191" t="str">
            <v>V.07.01.03</v>
          </cell>
          <cell r="O191" t="str">
            <v>A1</v>
          </cell>
          <cell r="P191">
            <v>4</v>
          </cell>
          <cell r="Q191">
            <v>3.66</v>
          </cell>
          <cell r="R191">
            <v>0.40260000000000001</v>
          </cell>
          <cell r="T191">
            <v>0</v>
          </cell>
          <cell r="U191">
            <v>0</v>
          </cell>
          <cell r="W191">
            <v>0.11</v>
          </cell>
          <cell r="X191">
            <v>0.40260000000000001</v>
          </cell>
        </row>
        <row r="192">
          <cell r="D192" t="str">
            <v>Triệu Phú Nguyên</v>
          </cell>
          <cell r="E192" t="str">
            <v>Giảng viên khoa CN Động lực</v>
          </cell>
          <cell r="F192" t="str">
            <v>ĐH</v>
          </cell>
          <cell r="H192" t="str">
            <v>GV</v>
          </cell>
          <cell r="I192" t="str">
            <v>GV</v>
          </cell>
          <cell r="J192" t="str">
            <v>GV218</v>
          </cell>
          <cell r="K192" t="str">
            <v>023523303</v>
          </cell>
          <cell r="L192" t="str">
            <v>1603205235065</v>
          </cell>
          <cell r="M192" t="str">
            <v>11100096302</v>
          </cell>
          <cell r="N192" t="str">
            <v>V.07.01.03</v>
          </cell>
          <cell r="O192" t="str">
            <v>A1</v>
          </cell>
          <cell r="P192">
            <v>4</v>
          </cell>
          <cell r="Q192">
            <v>3.66</v>
          </cell>
          <cell r="R192">
            <v>0.36599999999999999</v>
          </cell>
          <cell r="T192">
            <v>0</v>
          </cell>
          <cell r="U192">
            <v>0</v>
          </cell>
          <cell r="W192">
            <v>0.1</v>
          </cell>
          <cell r="X192">
            <v>0.36599999999999999</v>
          </cell>
        </row>
        <row r="193">
          <cell r="D193" t="str">
            <v>Dương Ngọc Vọng</v>
          </cell>
          <cell r="E193" t="str">
            <v>Giảng viên khoa CNTT</v>
          </cell>
          <cell r="F193" t="str">
            <v>ĐH</v>
          </cell>
          <cell r="H193" t="str">
            <v>GV</v>
          </cell>
          <cell r="I193" t="str">
            <v>NV</v>
          </cell>
          <cell r="J193" t="str">
            <v>NV207</v>
          </cell>
          <cell r="K193" t="str">
            <v>024730162</v>
          </cell>
          <cell r="L193" t="str">
            <v>1603205185199</v>
          </cell>
          <cell r="M193" t="str">
            <v>11100083259</v>
          </cell>
          <cell r="N193" t="str">
            <v>V.07.01.03</v>
          </cell>
          <cell r="O193" t="str">
            <v>A1</v>
          </cell>
          <cell r="P193">
            <v>4</v>
          </cell>
          <cell r="Q193">
            <v>3.66</v>
          </cell>
          <cell r="R193">
            <v>0.2928</v>
          </cell>
          <cell r="T193">
            <v>0</v>
          </cell>
          <cell r="U193">
            <v>0</v>
          </cell>
          <cell r="W193">
            <v>0.08</v>
          </cell>
          <cell r="X193">
            <v>0.2928</v>
          </cell>
        </row>
        <row r="194">
          <cell r="D194" t="str">
            <v>Lê Quý Hưng Quốc</v>
          </cell>
          <cell r="E194" t="str">
            <v>Giảng viên khoa CNTT</v>
          </cell>
          <cell r="F194" t="str">
            <v>ĐH</v>
          </cell>
          <cell r="H194" t="str">
            <v>GV</v>
          </cell>
          <cell r="I194" t="str">
            <v>GV</v>
          </cell>
          <cell r="J194" t="str">
            <v>GV138</v>
          </cell>
          <cell r="K194" t="str">
            <v>023099369</v>
          </cell>
          <cell r="L194" t="str">
            <v>1603205185278</v>
          </cell>
          <cell r="M194" t="str">
            <v>11100082723</v>
          </cell>
          <cell r="N194" t="str">
            <v>V.07.01.03</v>
          </cell>
          <cell r="O194" t="str">
            <v>A1</v>
          </cell>
          <cell r="P194">
            <v>4</v>
          </cell>
          <cell r="Q194">
            <v>3.66</v>
          </cell>
          <cell r="R194">
            <v>0.40260000000000001</v>
          </cell>
          <cell r="T194">
            <v>0</v>
          </cell>
          <cell r="U194">
            <v>0</v>
          </cell>
          <cell r="W194">
            <v>0.11</v>
          </cell>
          <cell r="X194">
            <v>0.40260000000000001</v>
          </cell>
        </row>
        <row r="195">
          <cell r="D195" t="str">
            <v>Nguyễn Cao Phong</v>
          </cell>
          <cell r="E195" t="str">
            <v>Giảng viên khoa CNTT</v>
          </cell>
          <cell r="F195" t="str">
            <v>ĐH</v>
          </cell>
          <cell r="I195" t="str">
            <v>GV</v>
          </cell>
          <cell r="J195" t="str">
            <v>GV240</v>
          </cell>
          <cell r="K195" t="str">
            <v>023730236</v>
          </cell>
          <cell r="L195" t="str">
            <v>1603205185203</v>
          </cell>
          <cell r="M195" t="str">
            <v>11100097762</v>
          </cell>
          <cell r="N195" t="str">
            <v>V.07.01.03</v>
          </cell>
          <cell r="O195" t="str">
            <v>A1</v>
          </cell>
          <cell r="P195">
            <v>4</v>
          </cell>
          <cell r="Q195">
            <v>3.66</v>
          </cell>
          <cell r="R195">
            <v>0.40260000000000001</v>
          </cell>
          <cell r="T195">
            <v>0</v>
          </cell>
          <cell r="U195">
            <v>0</v>
          </cell>
          <cell r="W195">
            <v>0.11</v>
          </cell>
          <cell r="X195">
            <v>0.40260000000000001</v>
          </cell>
        </row>
        <row r="196">
          <cell r="D196" t="str">
            <v>Đặng Thái Sơn</v>
          </cell>
          <cell r="E196" t="str">
            <v>Giảng viên khoa Động lực</v>
          </cell>
          <cell r="F196" t="str">
            <v>ĐH</v>
          </cell>
          <cell r="H196" t="str">
            <v>GV</v>
          </cell>
          <cell r="I196" t="str">
            <v>GV</v>
          </cell>
          <cell r="J196" t="str">
            <v>GV261</v>
          </cell>
          <cell r="K196" t="str">
            <v>024761501</v>
          </cell>
          <cell r="L196" t="str">
            <v>1603205246338</v>
          </cell>
          <cell r="M196" t="str">
            <v>11100110117</v>
          </cell>
          <cell r="N196" t="str">
            <v>V.07.01.03</v>
          </cell>
          <cell r="O196" t="str">
            <v>A1</v>
          </cell>
          <cell r="P196">
            <v>3</v>
          </cell>
          <cell r="Q196">
            <v>3.33</v>
          </cell>
          <cell r="R196">
            <v>0.29970000000000002</v>
          </cell>
          <cell r="T196">
            <v>0</v>
          </cell>
          <cell r="U196">
            <v>0</v>
          </cell>
          <cell r="W196">
            <v>0.09</v>
          </cell>
          <cell r="X196">
            <v>0.29970000000000002</v>
          </cell>
        </row>
        <row r="197">
          <cell r="D197" t="str">
            <v>Lê Xuân Thủy</v>
          </cell>
          <cell r="E197" t="str">
            <v>Giảng viên khoa Kinh tế</v>
          </cell>
          <cell r="K197" t="str">
            <v>025569020</v>
          </cell>
          <cell r="M197" t="str">
            <v>60200000637</v>
          </cell>
          <cell r="N197" t="str">
            <v>V.07.01.03</v>
          </cell>
          <cell r="O197" t="str">
            <v>A1</v>
          </cell>
          <cell r="P197">
            <v>4</v>
          </cell>
          <cell r="Q197">
            <v>3.33</v>
          </cell>
          <cell r="R197">
            <v>0.26640000000000003</v>
          </cell>
          <cell r="T197">
            <v>0</v>
          </cell>
          <cell r="U197">
            <v>0</v>
          </cell>
          <cell r="W197">
            <v>0.08</v>
          </cell>
          <cell r="X197">
            <v>0.26640000000000003</v>
          </cell>
        </row>
        <row r="198">
          <cell r="D198" t="str">
            <v>Nguyễn Văn Minh</v>
          </cell>
          <cell r="E198" t="str">
            <v>Giảng viên khoa CNTT</v>
          </cell>
          <cell r="F198" t="str">
            <v>ĐH</v>
          </cell>
          <cell r="H198" t="str">
            <v>GV</v>
          </cell>
          <cell r="I198" t="str">
            <v>GV</v>
          </cell>
          <cell r="J198" t="str">
            <v>GV224</v>
          </cell>
          <cell r="K198" t="str">
            <v>022354694</v>
          </cell>
          <cell r="L198" t="str">
            <v>1603205233313</v>
          </cell>
          <cell r="M198" t="str">
            <v>11100096301</v>
          </cell>
          <cell r="N198" t="str">
            <v>V.07.01.03</v>
          </cell>
          <cell r="O198" t="str">
            <v>A1</v>
          </cell>
          <cell r="P198">
            <v>3</v>
          </cell>
          <cell r="Q198">
            <v>3.33</v>
          </cell>
          <cell r="R198">
            <v>0.43290000000000001</v>
          </cell>
          <cell r="T198">
            <v>0</v>
          </cell>
          <cell r="U198">
            <v>0</v>
          </cell>
          <cell r="W198">
            <v>0.13</v>
          </cell>
          <cell r="X198">
            <v>0.43290000000000001</v>
          </cell>
        </row>
        <row r="199">
          <cell r="D199" t="str">
            <v>Lê Văn Bình</v>
          </cell>
          <cell r="E199" t="str">
            <v>Giảng viên khoa KHCB</v>
          </cell>
          <cell r="K199" t="str">
            <v>025013400</v>
          </cell>
          <cell r="M199" t="str">
            <v>60100001140</v>
          </cell>
          <cell r="N199" t="str">
            <v>V.07.01.03</v>
          </cell>
          <cell r="O199" t="str">
            <v>A1</v>
          </cell>
          <cell r="P199">
            <v>3</v>
          </cell>
          <cell r="Q199">
            <v>3.33</v>
          </cell>
          <cell r="R199">
            <v>0.19980000000000001</v>
          </cell>
          <cell r="T199">
            <v>0</v>
          </cell>
          <cell r="U199">
            <v>0</v>
          </cell>
          <cell r="W199">
            <v>0.06</v>
          </cell>
          <cell r="X199">
            <v>0.19980000000000001</v>
          </cell>
        </row>
        <row r="200">
          <cell r="D200" t="str">
            <v>Mai Chiếm Tuấn</v>
          </cell>
          <cell r="E200" t="str">
            <v>Giảng viên khoa CNTT</v>
          </cell>
          <cell r="K200" t="str">
            <v>024999755</v>
          </cell>
          <cell r="M200" t="str">
            <v>60200000602</v>
          </cell>
          <cell r="N200" t="str">
            <v>V.07.01.03</v>
          </cell>
          <cell r="O200" t="str">
            <v>A1</v>
          </cell>
          <cell r="P200">
            <v>3</v>
          </cell>
          <cell r="Q200">
            <v>3.33</v>
          </cell>
          <cell r="R200">
            <v>0.33300000000000002</v>
          </cell>
          <cell r="T200">
            <v>0</v>
          </cell>
          <cell r="U200">
            <v>0</v>
          </cell>
          <cell r="W200">
            <v>0.1</v>
          </cell>
          <cell r="X200">
            <v>0.33300000000000002</v>
          </cell>
        </row>
        <row r="201">
          <cell r="D201" t="str">
            <v>Lưu Thị Thúy</v>
          </cell>
          <cell r="E201" t="str">
            <v>Giảng viên khoa Kinh tế</v>
          </cell>
          <cell r="G201" t="str">
            <v>x</v>
          </cell>
          <cell r="K201" t="str">
            <v>025180149</v>
          </cell>
          <cell r="M201" t="str">
            <v>60200000517</v>
          </cell>
          <cell r="N201" t="str">
            <v>V.07.01.03</v>
          </cell>
          <cell r="O201" t="str">
            <v>A1</v>
          </cell>
          <cell r="P201">
            <v>3</v>
          </cell>
          <cell r="Q201">
            <v>3.33</v>
          </cell>
          <cell r="R201">
            <v>0.4662</v>
          </cell>
          <cell r="T201">
            <v>0</v>
          </cell>
          <cell r="U201">
            <v>0</v>
          </cell>
          <cell r="W201">
            <v>0.14000000000000001</v>
          </cell>
          <cell r="X201">
            <v>0.4662</v>
          </cell>
        </row>
        <row r="202">
          <cell r="D202" t="str">
            <v>Lê Nguyễn Mỹ Trâm</v>
          </cell>
          <cell r="E202" t="str">
            <v>Giảng viên khoa KHCB</v>
          </cell>
          <cell r="F202" t="str">
            <v>Th.S</v>
          </cell>
          <cell r="G202" t="str">
            <v>x</v>
          </cell>
          <cell r="H202" t="str">
            <v>GV</v>
          </cell>
          <cell r="I202" t="str">
            <v>GV</v>
          </cell>
          <cell r="K202" t="str">
            <v>079171008822</v>
          </cell>
          <cell r="L202" t="str">
            <v>1603205274861</v>
          </cell>
          <cell r="M202" t="str">
            <v>11100119654</v>
          </cell>
          <cell r="N202" t="str">
            <v>V.07.01.03</v>
          </cell>
          <cell r="O202" t="str">
            <v>A1</v>
          </cell>
          <cell r="P202">
            <v>4</v>
          </cell>
          <cell r="Q202">
            <v>3.33</v>
          </cell>
          <cell r="R202">
            <v>0.36630000000000001</v>
          </cell>
          <cell r="T202">
            <v>0</v>
          </cell>
          <cell r="U202">
            <v>0</v>
          </cell>
          <cell r="W202">
            <v>0.11</v>
          </cell>
          <cell r="X202">
            <v>0.36630000000000001</v>
          </cell>
        </row>
        <row r="203">
          <cell r="D203" t="str">
            <v>Nguyễn Thanh Vũ</v>
          </cell>
          <cell r="E203" t="str">
            <v>Giảng viên khoa Công nghệ Cơ khí</v>
          </cell>
          <cell r="F203" t="str">
            <v>ĐH</v>
          </cell>
          <cell r="H203" t="str">
            <v>GV</v>
          </cell>
          <cell r="I203" t="str">
            <v>GV</v>
          </cell>
          <cell r="J203" t="str">
            <v>GV145</v>
          </cell>
          <cell r="K203" t="str">
            <v>025817153</v>
          </cell>
          <cell r="L203" t="str">
            <v>1603205185600</v>
          </cell>
          <cell r="M203" t="str">
            <v>11100082588</v>
          </cell>
          <cell r="N203" t="str">
            <v>V.07.01.03</v>
          </cell>
          <cell r="O203" t="str">
            <v>A1</v>
          </cell>
          <cell r="P203">
            <v>4</v>
          </cell>
          <cell r="Q203">
            <v>3.33</v>
          </cell>
          <cell r="R203">
            <v>0.36630000000000001</v>
          </cell>
          <cell r="T203">
            <v>0</v>
          </cell>
          <cell r="U203">
            <v>0</v>
          </cell>
          <cell r="W203">
            <v>0.11</v>
          </cell>
          <cell r="X203">
            <v>0.36630000000000001</v>
          </cell>
        </row>
        <row r="204">
          <cell r="D204" t="str">
            <v>Nguyễn Sanh Cường</v>
          </cell>
          <cell r="E204" t="str">
            <v>Giảng viên khoa CNTT</v>
          </cell>
          <cell r="F204" t="str">
            <v>ĐH</v>
          </cell>
          <cell r="H204" t="str">
            <v>GV</v>
          </cell>
          <cell r="I204" t="str">
            <v>GV</v>
          </cell>
          <cell r="J204" t="str">
            <v>GV142</v>
          </cell>
          <cell r="K204" t="str">
            <v>024723439</v>
          </cell>
          <cell r="L204" t="str">
            <v>1603205185118</v>
          </cell>
          <cell r="M204" t="str">
            <v>11100082750</v>
          </cell>
          <cell r="N204" t="str">
            <v>V.07.01.03</v>
          </cell>
          <cell r="O204" t="str">
            <v>A1</v>
          </cell>
          <cell r="P204">
            <v>4</v>
          </cell>
          <cell r="Q204">
            <v>3.33</v>
          </cell>
          <cell r="R204">
            <v>0.36630000000000001</v>
          </cell>
          <cell r="T204">
            <v>0</v>
          </cell>
          <cell r="U204">
            <v>0</v>
          </cell>
          <cell r="W204">
            <v>0.11</v>
          </cell>
          <cell r="X204">
            <v>0.36630000000000001</v>
          </cell>
        </row>
        <row r="205">
          <cell r="D205" t="str">
            <v>Nguyễn Thị Thanh Tú</v>
          </cell>
          <cell r="E205" t="str">
            <v>Giảng viên khoa KHCB</v>
          </cell>
          <cell r="F205" t="str">
            <v>ĐH</v>
          </cell>
          <cell r="G205" t="str">
            <v>x</v>
          </cell>
          <cell r="H205" t="str">
            <v>GV</v>
          </cell>
          <cell r="I205" t="str">
            <v>GV</v>
          </cell>
          <cell r="J205" t="str">
            <v>GV148</v>
          </cell>
          <cell r="K205" t="str">
            <v>024906495</v>
          </cell>
          <cell r="L205" t="str">
            <v>1603205189971</v>
          </cell>
          <cell r="M205" t="str">
            <v>11100082584</v>
          </cell>
          <cell r="N205" t="str">
            <v>V.07.01.03</v>
          </cell>
          <cell r="O205" t="str">
            <v>A1</v>
          </cell>
          <cell r="P205">
            <v>4</v>
          </cell>
          <cell r="Q205">
            <v>3.33</v>
          </cell>
          <cell r="R205">
            <v>0.36630000000000001</v>
          </cell>
          <cell r="T205">
            <v>0</v>
          </cell>
          <cell r="U205">
            <v>0</v>
          </cell>
          <cell r="W205">
            <v>0.11</v>
          </cell>
          <cell r="X205">
            <v>0.36630000000000001</v>
          </cell>
        </row>
        <row r="206">
          <cell r="D206" t="str">
            <v>Nguyễn Mạnh Phương</v>
          </cell>
          <cell r="E206" t="str">
            <v>Giảng viên khoa KHCB</v>
          </cell>
          <cell r="F206" t="str">
            <v>ĐH</v>
          </cell>
          <cell r="H206" t="str">
            <v>GV</v>
          </cell>
          <cell r="I206" t="str">
            <v>GV</v>
          </cell>
          <cell r="J206" t="str">
            <v>GV239</v>
          </cell>
          <cell r="K206" t="str">
            <v>072081001354</v>
          </cell>
          <cell r="L206" t="str">
            <v>1603205229056</v>
          </cell>
          <cell r="M206" t="str">
            <v>11100097748</v>
          </cell>
          <cell r="N206" t="str">
            <v>V.07.01.03</v>
          </cell>
          <cell r="O206" t="str">
            <v>A1</v>
          </cell>
          <cell r="P206">
            <v>3</v>
          </cell>
          <cell r="Q206">
            <v>3.33</v>
          </cell>
          <cell r="R206">
            <v>0.39960000000000001</v>
          </cell>
          <cell r="T206">
            <v>0</v>
          </cell>
          <cell r="U206">
            <v>0</v>
          </cell>
          <cell r="W206">
            <v>0.12</v>
          </cell>
          <cell r="X206">
            <v>0.39960000000000001</v>
          </cell>
        </row>
        <row r="207">
          <cell r="D207" t="str">
            <v>Nguyễn Thị Khánh Thư</v>
          </cell>
          <cell r="E207" t="str">
            <v>Giảng viên khoa CNTT</v>
          </cell>
          <cell r="F207" t="str">
            <v>ĐH</v>
          </cell>
          <cell r="G207" t="str">
            <v>x</v>
          </cell>
          <cell r="H207" t="str">
            <v>GV</v>
          </cell>
          <cell r="I207" t="str">
            <v>GV</v>
          </cell>
          <cell r="J207" t="str">
            <v>GV243</v>
          </cell>
          <cell r="K207" t="str">
            <v>025078389</v>
          </cell>
          <cell r="L207" t="str">
            <v>1603205233178</v>
          </cell>
          <cell r="M207" t="str">
            <v>11100097753</v>
          </cell>
          <cell r="N207" t="str">
            <v>V.07.01.03</v>
          </cell>
          <cell r="O207" t="str">
            <v>A1</v>
          </cell>
          <cell r="P207">
            <v>4</v>
          </cell>
          <cell r="Q207">
            <v>3.33</v>
          </cell>
          <cell r="R207">
            <v>0.43290000000000001</v>
          </cell>
          <cell r="T207">
            <v>0</v>
          </cell>
          <cell r="U207">
            <v>0</v>
          </cell>
          <cell r="W207">
            <v>0.13</v>
          </cell>
          <cell r="X207">
            <v>0.43290000000000001</v>
          </cell>
        </row>
        <row r="208">
          <cell r="D208" t="str">
            <v>Nguyễn Thành Đức</v>
          </cell>
          <cell r="E208" t="str">
            <v>Giảng viên khoa CN Động lực</v>
          </cell>
          <cell r="F208" t="str">
            <v>ĐH</v>
          </cell>
          <cell r="H208" t="str">
            <v>GV</v>
          </cell>
          <cell r="I208" t="str">
            <v>GV</v>
          </cell>
          <cell r="J208" t="str">
            <v>GV219</v>
          </cell>
          <cell r="K208" t="str">
            <v>024520146</v>
          </cell>
          <cell r="L208" t="str">
            <v>1603205235088</v>
          </cell>
          <cell r="M208" t="str">
            <v>11100096288</v>
          </cell>
          <cell r="N208" t="str">
            <v>V.07.01.03</v>
          </cell>
          <cell r="O208" t="str">
            <v>A1</v>
          </cell>
          <cell r="P208">
            <v>3</v>
          </cell>
          <cell r="Q208">
            <v>3.33</v>
          </cell>
          <cell r="R208">
            <v>0.33300000000000002</v>
          </cell>
          <cell r="T208">
            <v>0</v>
          </cell>
          <cell r="U208">
            <v>0</v>
          </cell>
          <cell r="W208">
            <v>0.1</v>
          </cell>
          <cell r="X208">
            <v>0.33300000000000002</v>
          </cell>
        </row>
        <row r="209">
          <cell r="D209" t="str">
            <v>Lư Thị Yến Vũ</v>
          </cell>
          <cell r="E209" t="str">
            <v>Giảng viên khoa Công nghệ Cơ khí</v>
          </cell>
          <cell r="F209" t="str">
            <v>ĐH</v>
          </cell>
          <cell r="G209" t="str">
            <v>x</v>
          </cell>
          <cell r="H209" t="str">
            <v>GV</v>
          </cell>
          <cell r="I209" t="str">
            <v>GV</v>
          </cell>
          <cell r="J209" t="str">
            <v>GV220</v>
          </cell>
          <cell r="K209" t="str">
            <v>024799248</v>
          </cell>
          <cell r="L209" t="str">
            <v>1603205234187</v>
          </cell>
          <cell r="M209" t="str">
            <v>11100096314</v>
          </cell>
          <cell r="N209" t="str">
            <v>V.07.01.03</v>
          </cell>
          <cell r="O209" t="str">
            <v>A1</v>
          </cell>
          <cell r="P209">
            <v>3</v>
          </cell>
          <cell r="Q209">
            <v>3.33</v>
          </cell>
          <cell r="R209">
            <v>0.33300000000000002</v>
          </cell>
          <cell r="T209">
            <v>0</v>
          </cell>
          <cell r="U209">
            <v>0</v>
          </cell>
          <cell r="W209">
            <v>0.1</v>
          </cell>
          <cell r="X209">
            <v>0.33300000000000002</v>
          </cell>
        </row>
        <row r="210">
          <cell r="D210" t="str">
            <v>Bùi Văn Dũng</v>
          </cell>
          <cell r="E210" t="str">
            <v>Giảng viên khoa CNTT</v>
          </cell>
          <cell r="F210" t="str">
            <v>ĐH</v>
          </cell>
          <cell r="H210" t="str">
            <v>GV</v>
          </cell>
          <cell r="I210" t="str">
            <v>GV</v>
          </cell>
          <cell r="J210" t="str">
            <v>GV221</v>
          </cell>
          <cell r="K210" t="str">
            <v>025091414</v>
          </cell>
          <cell r="L210" t="str">
            <v>1603205234692</v>
          </cell>
          <cell r="M210" t="str">
            <v>11100096278</v>
          </cell>
          <cell r="N210" t="str">
            <v>V.07.01.03</v>
          </cell>
          <cell r="O210" t="str">
            <v>A1</v>
          </cell>
          <cell r="P210">
            <v>3</v>
          </cell>
          <cell r="Q210">
            <v>3.33</v>
          </cell>
          <cell r="R210">
            <v>0.33300000000000002</v>
          </cell>
          <cell r="T210">
            <v>0</v>
          </cell>
          <cell r="U210">
            <v>0</v>
          </cell>
          <cell r="W210">
            <v>0.1</v>
          </cell>
          <cell r="X210">
            <v>0.33300000000000002</v>
          </cell>
        </row>
        <row r="211">
          <cell r="D211" t="str">
            <v>Lê Hồng Thái</v>
          </cell>
          <cell r="E211" t="str">
            <v>Giảng viên khoa CNTT</v>
          </cell>
          <cell r="F211" t="str">
            <v>ĐH</v>
          </cell>
          <cell r="G211" t="str">
            <v>x</v>
          </cell>
          <cell r="H211" t="str">
            <v>GV</v>
          </cell>
          <cell r="I211" t="str">
            <v>GV</v>
          </cell>
          <cell r="J211" t="str">
            <v>GV222</v>
          </cell>
          <cell r="K211" t="str">
            <v>025627682</v>
          </cell>
          <cell r="L211" t="str">
            <v>1603205231376</v>
          </cell>
          <cell r="M211" t="str">
            <v>11100096304</v>
          </cell>
          <cell r="N211" t="str">
            <v>V.07.01.03</v>
          </cell>
          <cell r="O211" t="str">
            <v>A1</v>
          </cell>
          <cell r="P211">
            <v>3</v>
          </cell>
          <cell r="Q211">
            <v>3.33</v>
          </cell>
          <cell r="R211">
            <v>0.33300000000000002</v>
          </cell>
          <cell r="T211">
            <v>0</v>
          </cell>
          <cell r="U211">
            <v>0</v>
          </cell>
          <cell r="W211">
            <v>0.1</v>
          </cell>
          <cell r="X211">
            <v>0.33300000000000002</v>
          </cell>
        </row>
        <row r="212">
          <cell r="D212" t="str">
            <v>Đỗ Thị Hải Yến</v>
          </cell>
          <cell r="E212" t="str">
            <v>Giảng viên khoa CNTT</v>
          </cell>
          <cell r="F212" t="str">
            <v>ĐH</v>
          </cell>
          <cell r="G212" t="str">
            <v>x</v>
          </cell>
          <cell r="H212" t="str">
            <v>GV</v>
          </cell>
          <cell r="I212" t="str">
            <v>GV</v>
          </cell>
          <cell r="J212" t="str">
            <v>GV223</v>
          </cell>
          <cell r="K212" t="str">
            <v>023228757</v>
          </cell>
          <cell r="L212" t="str">
            <v>1603205235506</v>
          </cell>
          <cell r="M212" t="str">
            <v>11100096317</v>
          </cell>
          <cell r="N212" t="str">
            <v>V.07.01.03</v>
          </cell>
          <cell r="O212" t="str">
            <v>A1</v>
          </cell>
          <cell r="P212">
            <v>3</v>
          </cell>
          <cell r="Q212">
            <v>3.33</v>
          </cell>
          <cell r="R212">
            <v>0.33300000000000002</v>
          </cell>
          <cell r="T212">
            <v>0</v>
          </cell>
          <cell r="U212">
            <v>0</v>
          </cell>
          <cell r="W212">
            <v>0.1</v>
          </cell>
          <cell r="X212">
            <v>0.33300000000000002</v>
          </cell>
        </row>
        <row r="213">
          <cell r="D213" t="str">
            <v>Trần Thị Ánh Tuyết</v>
          </cell>
          <cell r="E213" t="str">
            <v>Giảng viên khoa KHCB</v>
          </cell>
          <cell r="F213" t="str">
            <v>Th.S</v>
          </cell>
          <cell r="G213" t="str">
            <v>x</v>
          </cell>
          <cell r="H213" t="str">
            <v>GV</v>
          </cell>
          <cell r="I213" t="str">
            <v>GV</v>
          </cell>
          <cell r="J213" t="str">
            <v>GV228</v>
          </cell>
          <cell r="K213" t="str">
            <v>024943379</v>
          </cell>
          <cell r="L213" t="str">
            <v>1603205186632</v>
          </cell>
          <cell r="M213" t="str">
            <v>11100096308</v>
          </cell>
          <cell r="N213" t="str">
            <v>V.07.01.03</v>
          </cell>
          <cell r="O213" t="str">
            <v>A1</v>
          </cell>
          <cell r="P213">
            <v>4</v>
          </cell>
          <cell r="Q213">
            <v>3.66</v>
          </cell>
          <cell r="R213">
            <v>0.36599999999999999</v>
          </cell>
          <cell r="T213">
            <v>0</v>
          </cell>
          <cell r="U213">
            <v>0</v>
          </cell>
          <cell r="W213">
            <v>0.1</v>
          </cell>
          <cell r="X213">
            <v>0.36599999999999999</v>
          </cell>
        </row>
        <row r="214">
          <cell r="D214" t="str">
            <v>Nguyễn Thị Thu Hồng</v>
          </cell>
          <cell r="E214" t="str">
            <v>Giảng viên khoa CNTT</v>
          </cell>
          <cell r="F214" t="str">
            <v>ĐH</v>
          </cell>
          <cell r="G214" t="str">
            <v>x</v>
          </cell>
          <cell r="H214" t="str">
            <v>GV</v>
          </cell>
          <cell r="I214" t="str">
            <v>GV</v>
          </cell>
          <cell r="J214" t="str">
            <v>GV229</v>
          </cell>
          <cell r="K214" t="str">
            <v>024715786</v>
          </cell>
          <cell r="L214" t="str">
            <v>1603205232890</v>
          </cell>
          <cell r="M214" t="str">
            <v>11100096272</v>
          </cell>
          <cell r="N214" t="str">
            <v>V.07.01.03</v>
          </cell>
          <cell r="O214" t="str">
            <v>A1</v>
          </cell>
          <cell r="P214">
            <v>3</v>
          </cell>
          <cell r="Q214">
            <v>3.33</v>
          </cell>
          <cell r="R214">
            <v>0.33300000000000002</v>
          </cell>
          <cell r="T214">
            <v>0</v>
          </cell>
          <cell r="U214">
            <v>0</v>
          </cell>
          <cell r="W214">
            <v>0.1</v>
          </cell>
          <cell r="X214">
            <v>0.33300000000000002</v>
          </cell>
        </row>
        <row r="215">
          <cell r="D215" t="str">
            <v>Hà Như Mai</v>
          </cell>
          <cell r="E215" t="str">
            <v>Giảng viên khoa KHCB</v>
          </cell>
          <cell r="F215" t="str">
            <v>ĐH</v>
          </cell>
          <cell r="G215" t="str">
            <v>x</v>
          </cell>
          <cell r="H215" t="str">
            <v>GV</v>
          </cell>
          <cell r="I215" t="str">
            <v>GV</v>
          </cell>
          <cell r="J215" t="str">
            <v>GV230</v>
          </cell>
          <cell r="K215" t="str">
            <v>024497762</v>
          </cell>
          <cell r="L215" t="str">
            <v>1603205229027</v>
          </cell>
          <cell r="M215" t="str">
            <v>11100096296</v>
          </cell>
          <cell r="N215" t="str">
            <v>V.07.01.03</v>
          </cell>
          <cell r="O215" t="str">
            <v>A1</v>
          </cell>
          <cell r="P215">
            <v>3</v>
          </cell>
          <cell r="Q215">
            <v>3.33</v>
          </cell>
          <cell r="R215">
            <v>0.33300000000000002</v>
          </cell>
          <cell r="T215">
            <v>0</v>
          </cell>
          <cell r="U215">
            <v>0</v>
          </cell>
          <cell r="W215">
            <v>0.1</v>
          </cell>
          <cell r="X215">
            <v>0.33300000000000002</v>
          </cell>
        </row>
        <row r="216">
          <cell r="D216" t="str">
            <v>Đặng Ngọc Đoàn</v>
          </cell>
          <cell r="E216" t="str">
            <v>Giảng viên khoa CNTT</v>
          </cell>
          <cell r="F216" t="str">
            <v>ĐH</v>
          </cell>
          <cell r="H216" t="str">
            <v>GV</v>
          </cell>
          <cell r="I216" t="str">
            <v>GV</v>
          </cell>
          <cell r="J216" t="str">
            <v>GV231</v>
          </cell>
          <cell r="K216" t="str">
            <v>023425372</v>
          </cell>
          <cell r="L216" t="str">
            <v>1603205233018</v>
          </cell>
          <cell r="M216" t="str">
            <v>11100096269</v>
          </cell>
          <cell r="N216" t="str">
            <v>V.07.01.03</v>
          </cell>
          <cell r="O216" t="str">
            <v>A1</v>
          </cell>
          <cell r="P216">
            <v>3</v>
          </cell>
          <cell r="Q216">
            <v>3.33</v>
          </cell>
          <cell r="R216">
            <v>0.33300000000000002</v>
          </cell>
          <cell r="T216">
            <v>0</v>
          </cell>
          <cell r="U216">
            <v>0</v>
          </cell>
          <cell r="W216">
            <v>0.1</v>
          </cell>
          <cell r="X216">
            <v>0.33300000000000002</v>
          </cell>
        </row>
        <row r="217">
          <cell r="D217" t="str">
            <v>Giang Phi Hùng</v>
          </cell>
          <cell r="E217" t="str">
            <v>Giảng viên khoa KHCB</v>
          </cell>
          <cell r="F217" t="str">
            <v>ĐH</v>
          </cell>
          <cell r="H217" t="str">
            <v>GV</v>
          </cell>
          <cell r="I217" t="str">
            <v>GV</v>
          </cell>
          <cell r="J217" t="str">
            <v>GV286</v>
          </cell>
          <cell r="K217" t="str">
            <v>080083000079</v>
          </cell>
          <cell r="L217" t="str">
            <v>1603205534256</v>
          </cell>
          <cell r="M217" t="str">
            <v>11100113288</v>
          </cell>
          <cell r="N217" t="str">
            <v>V.07.01.03</v>
          </cell>
          <cell r="O217" t="str">
            <v>A1</v>
          </cell>
          <cell r="P217">
            <v>3</v>
          </cell>
          <cell r="Q217">
            <v>3.33</v>
          </cell>
          <cell r="R217">
            <v>0.36630000000000001</v>
          </cell>
          <cell r="T217">
            <v>0</v>
          </cell>
          <cell r="U217">
            <v>0</v>
          </cell>
          <cell r="W217">
            <v>0.11</v>
          </cell>
          <cell r="X217">
            <v>0.36630000000000001</v>
          </cell>
        </row>
        <row r="218">
          <cell r="D218" t="str">
            <v>Cao Thị Hồng Thắm</v>
          </cell>
          <cell r="E218" t="str">
            <v>Giảng viên khoa Lý luận chính trị</v>
          </cell>
          <cell r="F218" t="str">
            <v>ĐH</v>
          </cell>
          <cell r="G218" t="str">
            <v>x</v>
          </cell>
          <cell r="H218" t="str">
            <v>GV</v>
          </cell>
          <cell r="I218" t="str">
            <v>GV</v>
          </cell>
          <cell r="J218" t="str">
            <v>GV254</v>
          </cell>
          <cell r="K218" t="str">
            <v>025439037</v>
          </cell>
          <cell r="L218" t="str">
            <v>1603205250601</v>
          </cell>
          <cell r="M218" t="str">
            <v>20500006345</v>
          </cell>
          <cell r="N218" t="str">
            <v>V.07.01.03</v>
          </cell>
          <cell r="O218" t="str">
            <v>A1</v>
          </cell>
          <cell r="P218">
            <v>3</v>
          </cell>
          <cell r="Q218">
            <v>3.33</v>
          </cell>
          <cell r="R218">
            <v>0.29970000000000002</v>
          </cell>
          <cell r="T218">
            <v>0</v>
          </cell>
          <cell r="U218">
            <v>0</v>
          </cell>
          <cell r="W218">
            <v>0.09</v>
          </cell>
          <cell r="X218">
            <v>0.29970000000000002</v>
          </cell>
        </row>
        <row r="219">
          <cell r="D219" t="str">
            <v>Lê Thị Mai Hường</v>
          </cell>
          <cell r="E219" t="str">
            <v>Giảng viên khoa Lý luận chính trị</v>
          </cell>
          <cell r="F219" t="str">
            <v>ĐH</v>
          </cell>
          <cell r="G219" t="str">
            <v>x</v>
          </cell>
          <cell r="H219" t="str">
            <v>GV</v>
          </cell>
          <cell r="I219" t="str">
            <v>GV</v>
          </cell>
          <cell r="J219" t="str">
            <v>GV255</v>
          </cell>
          <cell r="K219" t="str">
            <v>025523427</v>
          </cell>
          <cell r="L219" t="str">
            <v>1603205186270</v>
          </cell>
          <cell r="M219" t="str">
            <v>11100109686</v>
          </cell>
          <cell r="N219" t="str">
            <v>V.07.01.03</v>
          </cell>
          <cell r="O219" t="str">
            <v>A1</v>
          </cell>
          <cell r="P219">
            <v>3</v>
          </cell>
          <cell r="Q219">
            <v>3.33</v>
          </cell>
          <cell r="R219">
            <v>0.29970000000000002</v>
          </cell>
          <cell r="T219">
            <v>0</v>
          </cell>
          <cell r="U219">
            <v>0</v>
          </cell>
          <cell r="W219">
            <v>0.09</v>
          </cell>
          <cell r="X219">
            <v>0.29970000000000002</v>
          </cell>
        </row>
        <row r="220">
          <cell r="D220" t="str">
            <v>Lê Phi Trường</v>
          </cell>
          <cell r="E220" t="str">
            <v>Giảng viên khoa CNTT</v>
          </cell>
          <cell r="F220" t="str">
            <v>ĐH</v>
          </cell>
          <cell r="H220" t="str">
            <v>GV</v>
          </cell>
          <cell r="I220" t="str">
            <v>NV</v>
          </cell>
          <cell r="K220" t="str">
            <v>024032167</v>
          </cell>
          <cell r="L220" t="str">
            <v>1603205245959</v>
          </cell>
          <cell r="M220" t="str">
            <v>11100115723</v>
          </cell>
          <cell r="N220" t="str">
            <v>V.07.01.03</v>
          </cell>
          <cell r="O220" t="str">
            <v>A1</v>
          </cell>
          <cell r="P220">
            <v>3</v>
          </cell>
          <cell r="Q220">
            <v>3.33</v>
          </cell>
          <cell r="R220">
            <v>0.26640000000000003</v>
          </cell>
          <cell r="T220">
            <v>0</v>
          </cell>
          <cell r="U220">
            <v>0</v>
          </cell>
          <cell r="W220">
            <v>0.08</v>
          </cell>
          <cell r="X220">
            <v>0.26640000000000003</v>
          </cell>
        </row>
        <row r="221">
          <cell r="D221" t="str">
            <v>Nguyễn Bạch Cẩm Dung</v>
          </cell>
          <cell r="E221" t="str">
            <v>Giảng viên khoa CN May - Thời trang</v>
          </cell>
          <cell r="F221" t="str">
            <v>ĐH</v>
          </cell>
          <cell r="G221" t="str">
            <v>x</v>
          </cell>
          <cell r="I221" t="str">
            <v>GV</v>
          </cell>
          <cell r="J221" t="str">
            <v>GV265</v>
          </cell>
          <cell r="K221" t="str">
            <v>023922977</v>
          </cell>
          <cell r="L221" t="str">
            <v>1603205246560</v>
          </cell>
          <cell r="M221" t="str">
            <v>11100109539</v>
          </cell>
          <cell r="N221" t="str">
            <v>V.07.01.03</v>
          </cell>
          <cell r="O221" t="str">
            <v>A1</v>
          </cell>
          <cell r="P221">
            <v>3</v>
          </cell>
          <cell r="Q221">
            <v>3.33</v>
          </cell>
          <cell r="R221">
            <v>0.29970000000000002</v>
          </cell>
          <cell r="T221">
            <v>0</v>
          </cell>
          <cell r="U221">
            <v>0</v>
          </cell>
          <cell r="W221">
            <v>0.09</v>
          </cell>
          <cell r="X221">
            <v>0.29970000000000002</v>
          </cell>
        </row>
        <row r="222">
          <cell r="D222" t="str">
            <v>Đỗ Thị Thơm</v>
          </cell>
          <cell r="E222" t="str">
            <v>Giảng viên khoa Lý luận chính trị</v>
          </cell>
          <cell r="F222" t="str">
            <v>ĐH</v>
          </cell>
          <cell r="G222" t="str">
            <v>x</v>
          </cell>
          <cell r="H222" t="str">
            <v>GV</v>
          </cell>
          <cell r="I222" t="str">
            <v>GV</v>
          </cell>
          <cell r="J222" t="str">
            <v>GV253</v>
          </cell>
          <cell r="K222" t="str">
            <v>025232273</v>
          </cell>
          <cell r="L222" t="str">
            <v>1603205249841</v>
          </cell>
          <cell r="M222" t="str">
            <v>11100109963</v>
          </cell>
          <cell r="N222" t="str">
            <v>V.07.01.03</v>
          </cell>
          <cell r="O222" t="str">
            <v>A1</v>
          </cell>
          <cell r="P222">
            <v>3</v>
          </cell>
          <cell r="Q222">
            <v>3.33</v>
          </cell>
          <cell r="R222">
            <v>0.29970000000000002</v>
          </cell>
          <cell r="T222">
            <v>0</v>
          </cell>
          <cell r="U222">
            <v>0</v>
          </cell>
          <cell r="W222">
            <v>0.09</v>
          </cell>
          <cell r="X222">
            <v>0.29970000000000002</v>
          </cell>
        </row>
        <row r="223">
          <cell r="D223" t="str">
            <v>Nguyễn Ngọc Quỳnh</v>
          </cell>
          <cell r="E223" t="str">
            <v>Giảng viên khoa Cơ khí</v>
          </cell>
          <cell r="F223" t="str">
            <v>ĐH</v>
          </cell>
          <cell r="H223" t="str">
            <v>GV</v>
          </cell>
          <cell r="I223" t="str">
            <v>GV</v>
          </cell>
          <cell r="J223" t="str">
            <v>GV259</v>
          </cell>
          <cell r="K223" t="str">
            <v>023630039</v>
          </cell>
          <cell r="L223" t="str">
            <v>1603205250682</v>
          </cell>
          <cell r="M223" t="str">
            <v>11100110126</v>
          </cell>
          <cell r="N223" t="str">
            <v>V.07.01.03</v>
          </cell>
          <cell r="O223" t="str">
            <v>A1</v>
          </cell>
          <cell r="P223">
            <v>3</v>
          </cell>
          <cell r="Q223">
            <v>3.33</v>
          </cell>
          <cell r="R223">
            <v>0.29970000000000002</v>
          </cell>
          <cell r="T223">
            <v>0</v>
          </cell>
          <cell r="U223">
            <v>0</v>
          </cell>
          <cell r="W223">
            <v>0.09</v>
          </cell>
          <cell r="X223">
            <v>0.29970000000000002</v>
          </cell>
        </row>
        <row r="224">
          <cell r="D224" t="str">
            <v>Nguyễn Tiến Dũng</v>
          </cell>
          <cell r="E224" t="str">
            <v>Giảng viên khoa Cơ khí</v>
          </cell>
          <cell r="F224" t="str">
            <v>ĐH</v>
          </cell>
          <cell r="H224" t="str">
            <v>GV</v>
          </cell>
          <cell r="I224" t="str">
            <v>GV</v>
          </cell>
          <cell r="J224" t="str">
            <v>GV260</v>
          </cell>
          <cell r="K224" t="str">
            <v>024436109</v>
          </cell>
          <cell r="L224" t="str">
            <v>1603205247012</v>
          </cell>
          <cell r="M224" t="str">
            <v>11100110135</v>
          </cell>
          <cell r="N224" t="str">
            <v>V.07.01.03</v>
          </cell>
          <cell r="O224" t="str">
            <v>A1</v>
          </cell>
          <cell r="P224">
            <v>3</v>
          </cell>
          <cell r="Q224">
            <v>3.33</v>
          </cell>
          <cell r="R224">
            <v>0.29970000000000002</v>
          </cell>
          <cell r="T224">
            <v>0</v>
          </cell>
          <cell r="U224">
            <v>0</v>
          </cell>
          <cell r="W224">
            <v>0.09</v>
          </cell>
          <cell r="X224">
            <v>0.29970000000000002</v>
          </cell>
        </row>
        <row r="225">
          <cell r="D225" t="str">
            <v>Nguyễn Minh Thái</v>
          </cell>
          <cell r="E225" t="str">
            <v>Giảng viên khoa Động lực</v>
          </cell>
          <cell r="F225" t="str">
            <v>ĐH</v>
          </cell>
          <cell r="H225" t="str">
            <v>GV</v>
          </cell>
          <cell r="I225" t="str">
            <v>GV</v>
          </cell>
          <cell r="J225" t="str">
            <v>GV262</v>
          </cell>
          <cell r="K225" t="str">
            <v>023727322</v>
          </cell>
          <cell r="L225" t="str">
            <v>1603205246213</v>
          </cell>
          <cell r="M225" t="str">
            <v>11100110124</v>
          </cell>
          <cell r="N225" t="str">
            <v>V.07.01.03</v>
          </cell>
          <cell r="O225" t="str">
            <v>A1</v>
          </cell>
          <cell r="P225">
            <v>3</v>
          </cell>
          <cell r="Q225">
            <v>3.33</v>
          </cell>
          <cell r="R225">
            <v>0.29970000000000002</v>
          </cell>
          <cell r="T225">
            <v>0</v>
          </cell>
          <cell r="U225">
            <v>0</v>
          </cell>
          <cell r="W225">
            <v>0.09</v>
          </cell>
          <cell r="X225">
            <v>0.29970000000000002</v>
          </cell>
        </row>
        <row r="226">
          <cell r="D226" t="str">
            <v>Phan Văn Hòa</v>
          </cell>
          <cell r="E226" t="str">
            <v>Giảng viên khoa Nhiệt - Lạnh</v>
          </cell>
          <cell r="F226" t="str">
            <v>ĐH</v>
          </cell>
          <cell r="H226" t="str">
            <v>GV</v>
          </cell>
          <cell r="I226" t="str">
            <v>GV</v>
          </cell>
          <cell r="J226" t="str">
            <v>GV263</v>
          </cell>
          <cell r="K226" t="str">
            <v>025211873</v>
          </cell>
          <cell r="L226" t="str">
            <v>1603205246271</v>
          </cell>
          <cell r="M226" t="str">
            <v>11100109988</v>
          </cell>
          <cell r="N226" t="str">
            <v>V.07.01.03</v>
          </cell>
          <cell r="O226" t="str">
            <v>A1</v>
          </cell>
          <cell r="P226">
            <v>3</v>
          </cell>
          <cell r="Q226">
            <v>3.33</v>
          </cell>
          <cell r="R226">
            <v>0.29970000000000002</v>
          </cell>
          <cell r="T226">
            <v>0</v>
          </cell>
          <cell r="U226">
            <v>0</v>
          </cell>
          <cell r="W226">
            <v>0.09</v>
          </cell>
          <cell r="X226">
            <v>0.29970000000000002</v>
          </cell>
        </row>
        <row r="227">
          <cell r="D227" t="str">
            <v>Nguyễn Thùy Linh</v>
          </cell>
          <cell r="E227" t="str">
            <v>Giảng viên khoa Điện - Điện tử</v>
          </cell>
          <cell r="F227" t="str">
            <v>ĐH</v>
          </cell>
          <cell r="G227" t="str">
            <v>x</v>
          </cell>
          <cell r="H227" t="str">
            <v>GV</v>
          </cell>
          <cell r="I227" t="str">
            <v>GV</v>
          </cell>
          <cell r="J227" t="str">
            <v>GV264</v>
          </cell>
          <cell r="K227" t="str">
            <v>079186007086</v>
          </cell>
          <cell r="L227" t="str">
            <v>1603205251259</v>
          </cell>
          <cell r="M227" t="str">
            <v>11100109943</v>
          </cell>
          <cell r="N227" t="str">
            <v>V.07.01.03</v>
          </cell>
          <cell r="O227" t="str">
            <v>A1</v>
          </cell>
          <cell r="P227">
            <v>3</v>
          </cell>
          <cell r="Q227">
            <v>3.33</v>
          </cell>
          <cell r="R227">
            <v>0.29970000000000002</v>
          </cell>
          <cell r="T227">
            <v>0</v>
          </cell>
          <cell r="U227">
            <v>0</v>
          </cell>
          <cell r="W227">
            <v>0.09</v>
          </cell>
          <cell r="X227">
            <v>0.29970000000000002</v>
          </cell>
        </row>
        <row r="228">
          <cell r="D228" t="str">
            <v>Nguyễn Thái Bình</v>
          </cell>
          <cell r="E228" t="str">
            <v>Giảng viên khoa Động lực</v>
          </cell>
          <cell r="F228" t="str">
            <v>ĐH</v>
          </cell>
          <cell r="H228" t="str">
            <v>GV</v>
          </cell>
          <cell r="I228" t="str">
            <v>GV</v>
          </cell>
          <cell r="J228" t="str">
            <v>GV267</v>
          </cell>
          <cell r="K228" t="str">
            <v>022958396</v>
          </cell>
          <cell r="L228" t="str">
            <v>1603205250676</v>
          </cell>
          <cell r="M228" t="str">
            <v>11100109944</v>
          </cell>
          <cell r="N228" t="str">
            <v>V.07.01.03</v>
          </cell>
          <cell r="O228" t="str">
            <v>A1</v>
          </cell>
          <cell r="P228">
            <v>3</v>
          </cell>
          <cell r="Q228">
            <v>3.33</v>
          </cell>
          <cell r="R228">
            <v>0.29970000000000002</v>
          </cell>
          <cell r="T228">
            <v>0</v>
          </cell>
          <cell r="U228">
            <v>0</v>
          </cell>
          <cell r="W228">
            <v>0.09</v>
          </cell>
          <cell r="X228">
            <v>0.29970000000000002</v>
          </cell>
        </row>
        <row r="229">
          <cell r="D229" t="str">
            <v>Nguyễn Thành Long</v>
          </cell>
          <cell r="E229" t="str">
            <v>Giảng viên khoa Cơ khí</v>
          </cell>
          <cell r="F229" t="str">
            <v>ĐH</v>
          </cell>
          <cell r="H229" t="str">
            <v>GV</v>
          </cell>
          <cell r="I229" t="str">
            <v>GV</v>
          </cell>
          <cell r="J229" t="str">
            <v>GV269</v>
          </cell>
          <cell r="K229" t="str">
            <v>022939793</v>
          </cell>
          <cell r="L229" t="str">
            <v>1603205250699</v>
          </cell>
          <cell r="M229" t="str">
            <v>11100109985</v>
          </cell>
          <cell r="N229" t="str">
            <v>V.07.01.03</v>
          </cell>
          <cell r="O229" t="str">
            <v>A1</v>
          </cell>
          <cell r="P229">
            <v>3</v>
          </cell>
          <cell r="Q229">
            <v>3.33</v>
          </cell>
          <cell r="R229">
            <v>0.29970000000000002</v>
          </cell>
          <cell r="T229">
            <v>0</v>
          </cell>
          <cell r="U229">
            <v>0</v>
          </cell>
          <cell r="W229">
            <v>0.09</v>
          </cell>
          <cell r="X229">
            <v>0.29970000000000002</v>
          </cell>
        </row>
        <row r="230">
          <cell r="D230" t="str">
            <v>Lâm Thị Phương Thùy</v>
          </cell>
          <cell r="E230" t="str">
            <v>Giảng viên khoa  May - Thời trang</v>
          </cell>
          <cell r="F230" t="str">
            <v>ĐH</v>
          </cell>
          <cell r="G230" t="str">
            <v>x</v>
          </cell>
          <cell r="H230" t="str">
            <v>GV</v>
          </cell>
          <cell r="I230" t="str">
            <v>GV</v>
          </cell>
          <cell r="J230" t="str">
            <v>GV287</v>
          </cell>
          <cell r="K230" t="str">
            <v>311759209</v>
          </cell>
          <cell r="L230" t="str">
            <v>1603205246577</v>
          </cell>
          <cell r="M230" t="str">
            <v>11100111411</v>
          </cell>
          <cell r="N230" t="str">
            <v>V.07.01.03</v>
          </cell>
          <cell r="O230" t="str">
            <v>A1</v>
          </cell>
          <cell r="P230">
            <v>3</v>
          </cell>
          <cell r="Q230">
            <v>3.33</v>
          </cell>
          <cell r="R230">
            <v>0.29970000000000002</v>
          </cell>
          <cell r="T230">
            <v>0</v>
          </cell>
          <cell r="U230">
            <v>0</v>
          </cell>
          <cell r="W230">
            <v>0.09</v>
          </cell>
          <cell r="X230">
            <v>0.29970000000000002</v>
          </cell>
        </row>
        <row r="231">
          <cell r="D231" t="str">
            <v>Trần Thị Hương</v>
          </cell>
          <cell r="E231" t="str">
            <v>Giảng viên khoa Cơ khí</v>
          </cell>
          <cell r="G231" t="str">
            <v>x</v>
          </cell>
          <cell r="H231" t="str">
            <v>GV</v>
          </cell>
          <cell r="I231" t="str">
            <v>GV</v>
          </cell>
          <cell r="K231" t="str">
            <v>025845340</v>
          </cell>
          <cell r="L231">
            <v>1603205357641</v>
          </cell>
          <cell r="M231" t="str">
            <v>21100001259</v>
          </cell>
          <cell r="N231" t="str">
            <v>V.07.01.03</v>
          </cell>
          <cell r="O231" t="str">
            <v>A1</v>
          </cell>
          <cell r="P231">
            <v>3</v>
          </cell>
          <cell r="Q231">
            <v>3.33</v>
          </cell>
          <cell r="R231">
            <v>0.29970000000000002</v>
          </cell>
          <cell r="T231">
            <v>0</v>
          </cell>
          <cell r="U231">
            <v>0</v>
          </cell>
          <cell r="W231">
            <v>0.09</v>
          </cell>
          <cell r="X231">
            <v>0.29970000000000002</v>
          </cell>
        </row>
        <row r="232">
          <cell r="D232" t="str">
            <v>Phạm Thị Lê Chi</v>
          </cell>
          <cell r="E232" t="str">
            <v>Nhân viên phòng Thanh tra giáo dục - CT Sinh viên</v>
          </cell>
          <cell r="F232" t="str">
            <v>ĐH</v>
          </cell>
          <cell r="G232" t="str">
            <v>x</v>
          </cell>
          <cell r="H232" t="str">
            <v>NV</v>
          </cell>
          <cell r="I232" t="str">
            <v>GV</v>
          </cell>
          <cell r="J232" t="str">
            <v>GV252</v>
          </cell>
          <cell r="K232" t="str">
            <v>250443735</v>
          </cell>
          <cell r="L232" t="str">
            <v>1603205250618</v>
          </cell>
          <cell r="M232" t="str">
            <v>11100110014</v>
          </cell>
          <cell r="N232" t="str">
            <v>V.07.01.03</v>
          </cell>
          <cell r="O232" t="str">
            <v>A1</v>
          </cell>
          <cell r="P232">
            <v>3</v>
          </cell>
          <cell r="Q232">
            <v>3.33</v>
          </cell>
          <cell r="R232">
            <v>0</v>
          </cell>
          <cell r="T232">
            <v>0</v>
          </cell>
          <cell r="U232">
            <v>0</v>
          </cell>
          <cell r="X232">
            <v>0</v>
          </cell>
        </row>
        <row r="233">
          <cell r="D233" t="str">
            <v>Nguyễn Văn Danh</v>
          </cell>
          <cell r="E233" t="str">
            <v>Giảng viên khoa CNTT</v>
          </cell>
          <cell r="F233" t="str">
            <v>ĐH</v>
          </cell>
          <cell r="H233" t="str">
            <v>GV</v>
          </cell>
          <cell r="I233" t="str">
            <v>GV</v>
          </cell>
          <cell r="K233" t="str">
            <v>025251872</v>
          </cell>
          <cell r="L233" t="str">
            <v>1603205185261</v>
          </cell>
          <cell r="M233" t="str">
            <v>11100119656</v>
          </cell>
          <cell r="N233" t="str">
            <v>V.07.01.03</v>
          </cell>
          <cell r="O233" t="str">
            <v>A1</v>
          </cell>
          <cell r="P233">
            <v>3</v>
          </cell>
          <cell r="Q233">
            <v>3.33</v>
          </cell>
          <cell r="R233">
            <v>0.26640000000000003</v>
          </cell>
          <cell r="T233">
            <v>0</v>
          </cell>
          <cell r="U233">
            <v>0</v>
          </cell>
          <cell r="W233">
            <v>0.08</v>
          </cell>
          <cell r="X233">
            <v>0.26640000000000003</v>
          </cell>
        </row>
        <row r="234">
          <cell r="D234" t="str">
            <v>Huỳnh Thị Cẩm Hoa</v>
          </cell>
          <cell r="E234" t="str">
            <v>Nhân viên phòng Khoa học Công nghệ và Hợp tác Quốc tế</v>
          </cell>
          <cell r="K234" t="str">
            <v>023790449</v>
          </cell>
          <cell r="N234" t="str">
            <v>V.07.01.03</v>
          </cell>
          <cell r="P234">
            <v>3</v>
          </cell>
          <cell r="Q234">
            <v>3.33</v>
          </cell>
          <cell r="T234">
            <v>0</v>
          </cell>
          <cell r="U234">
            <v>0</v>
          </cell>
          <cell r="X234">
            <v>0</v>
          </cell>
        </row>
        <row r="235">
          <cell r="D235" t="str">
            <v>Trần Minh Tuấn</v>
          </cell>
          <cell r="E235" t="str">
            <v>Giảng viên khoa Động lực</v>
          </cell>
          <cell r="F235" t="str">
            <v>ĐH</v>
          </cell>
          <cell r="H235" t="str">
            <v>GV</v>
          </cell>
          <cell r="I235" t="str">
            <v>GV</v>
          </cell>
          <cell r="K235" t="str">
            <v>051086000128</v>
          </cell>
          <cell r="L235" t="str">
            <v>1603205251367</v>
          </cell>
          <cell r="M235" t="str">
            <v>11100119658</v>
          </cell>
          <cell r="N235" t="str">
            <v>V.07.01.03</v>
          </cell>
          <cell r="O235" t="str">
            <v>A1</v>
          </cell>
          <cell r="P235">
            <v>3</v>
          </cell>
          <cell r="Q235">
            <v>3.33</v>
          </cell>
          <cell r="R235">
            <v>0.26640000000000003</v>
          </cell>
          <cell r="T235">
            <v>0</v>
          </cell>
          <cell r="U235">
            <v>0</v>
          </cell>
          <cell r="W235">
            <v>0.08</v>
          </cell>
          <cell r="X235">
            <v>0.26640000000000003</v>
          </cell>
        </row>
        <row r="236">
          <cell r="D236" t="str">
            <v>Hồ Ngọc Chi</v>
          </cell>
          <cell r="E236" t="str">
            <v>Giảng viên Khoa Công nghệ thông tin</v>
          </cell>
          <cell r="K236" t="str">
            <v>300881563</v>
          </cell>
          <cell r="N236" t="str">
            <v>V.07.01.03</v>
          </cell>
          <cell r="Q236">
            <v>3.33</v>
          </cell>
          <cell r="T236">
            <v>0</v>
          </cell>
          <cell r="W236">
            <v>0.16</v>
          </cell>
          <cell r="X236">
            <v>0.53280000000000005</v>
          </cell>
        </row>
        <row r="237">
          <cell r="D237" t="str">
            <v>Đỗ Thị Ngát</v>
          </cell>
          <cell r="E237" t="str">
            <v>Giảng viên khoa Lý luận chính trị</v>
          </cell>
          <cell r="G237" t="str">
            <v>x</v>
          </cell>
          <cell r="K237" t="str">
            <v>025611151</v>
          </cell>
          <cell r="L237" t="str">
            <v>1603205398451</v>
          </cell>
          <cell r="M237" t="str">
            <v>30800000127</v>
          </cell>
          <cell r="N237" t="str">
            <v>V.07.01.03</v>
          </cell>
          <cell r="O237" t="str">
            <v>A1</v>
          </cell>
          <cell r="P237">
            <v>3</v>
          </cell>
          <cell r="Q237">
            <v>3.33</v>
          </cell>
          <cell r="R237">
            <v>0.33300000000000002</v>
          </cell>
          <cell r="T237">
            <v>0</v>
          </cell>
          <cell r="U237">
            <v>0</v>
          </cell>
          <cell r="W237">
            <v>0.1</v>
          </cell>
          <cell r="X237">
            <v>0.33300000000000002</v>
          </cell>
        </row>
        <row r="238">
          <cell r="D238" t="str">
            <v>Lý Văn Trung</v>
          </cell>
          <cell r="E238" t="str">
            <v>GV Khoa Động lực</v>
          </cell>
          <cell r="N238" t="str">
            <v>V.07.01.03</v>
          </cell>
          <cell r="Q238">
            <v>3.33</v>
          </cell>
          <cell r="T238">
            <v>0</v>
          </cell>
          <cell r="X238">
            <v>0</v>
          </cell>
        </row>
        <row r="239">
          <cell r="D239" t="str">
            <v>Nguyễn Minh Đức Cường</v>
          </cell>
          <cell r="E239" t="str">
            <v>Giảng viên khoa  Điện - Điện tử</v>
          </cell>
          <cell r="F239" t="str">
            <v>ĐH</v>
          </cell>
          <cell r="H239" t="str">
            <v>GV</v>
          </cell>
          <cell r="I239" t="str">
            <v>GV</v>
          </cell>
          <cell r="K239" t="str">
            <v>025633696</v>
          </cell>
          <cell r="L239" t="str">
            <v>1603205276158</v>
          </cell>
          <cell r="M239" t="str">
            <v>11100119655</v>
          </cell>
          <cell r="N239" t="str">
            <v>V.07.01.03</v>
          </cell>
          <cell r="O239" t="str">
            <v>A1</v>
          </cell>
          <cell r="P239">
            <v>3</v>
          </cell>
          <cell r="Q239">
            <v>3.33</v>
          </cell>
          <cell r="R239">
            <v>0.26640000000000003</v>
          </cell>
          <cell r="T239">
            <v>0</v>
          </cell>
          <cell r="U239">
            <v>0</v>
          </cell>
          <cell r="W239">
            <v>0.08</v>
          </cell>
          <cell r="X239">
            <v>0.26640000000000003</v>
          </cell>
        </row>
        <row r="240">
          <cell r="D240" t="str">
            <v>Đỗ Huỳnh Thanh Phong</v>
          </cell>
          <cell r="E240" t="str">
            <v>Giảng viên khoa  Điện - Điện tử</v>
          </cell>
          <cell r="F240" t="str">
            <v>ĐH</v>
          </cell>
          <cell r="H240" t="str">
            <v>GV</v>
          </cell>
          <cell r="I240" t="str">
            <v>GV</v>
          </cell>
          <cell r="K240" t="str">
            <v>025764174</v>
          </cell>
          <cell r="L240" t="str">
            <v>1603205246321</v>
          </cell>
          <cell r="M240" t="str">
            <v>11100119664</v>
          </cell>
          <cell r="N240" t="str">
            <v>V.07.01.03</v>
          </cell>
          <cell r="O240" t="str">
            <v>A1</v>
          </cell>
          <cell r="P240">
            <v>3</v>
          </cell>
          <cell r="Q240">
            <v>3</v>
          </cell>
          <cell r="R240">
            <v>0.24</v>
          </cell>
          <cell r="T240">
            <v>0</v>
          </cell>
          <cell r="U240">
            <v>0</v>
          </cell>
          <cell r="W240">
            <v>0.08</v>
          </cell>
          <cell r="X240">
            <v>0.24</v>
          </cell>
        </row>
        <row r="241">
          <cell r="D241" t="str">
            <v>Kiều Trung Tín</v>
          </cell>
          <cell r="E241" t="str">
            <v>Giảng viên khoa  Động lực</v>
          </cell>
          <cell r="F241" t="str">
            <v>ĐH</v>
          </cell>
          <cell r="H241" t="str">
            <v>GV</v>
          </cell>
          <cell r="I241" t="str">
            <v>GV</v>
          </cell>
          <cell r="K241" t="str">
            <v>023493630</v>
          </cell>
          <cell r="L241" t="str">
            <v>1603205276141</v>
          </cell>
          <cell r="M241" t="str">
            <v>11100119659</v>
          </cell>
          <cell r="N241" t="str">
            <v>V.07.01.03</v>
          </cell>
          <cell r="O241" t="str">
            <v>A1</v>
          </cell>
          <cell r="P241">
            <v>3</v>
          </cell>
          <cell r="Q241">
            <v>3.33</v>
          </cell>
          <cell r="R241">
            <v>0.33300000000000002</v>
          </cell>
          <cell r="T241">
            <v>0</v>
          </cell>
          <cell r="U241">
            <v>0</v>
          </cell>
          <cell r="W241">
            <v>0.1</v>
          </cell>
          <cell r="X241">
            <v>0.33300000000000002</v>
          </cell>
        </row>
        <row r="242">
          <cell r="D242" t="str">
            <v>Nguyễn Duy Hải</v>
          </cell>
          <cell r="E242" t="str">
            <v>Giảng viên khoa Công nghệ Cơ khí</v>
          </cell>
          <cell r="F242" t="str">
            <v>ĐH</v>
          </cell>
          <cell r="H242" t="str">
            <v>GV</v>
          </cell>
          <cell r="I242" t="str">
            <v>GV</v>
          </cell>
          <cell r="K242" t="str">
            <v>060084000219</v>
          </cell>
          <cell r="L242" t="str">
            <v>1603205275388</v>
          </cell>
          <cell r="M242" t="str">
            <v>11100119660</v>
          </cell>
          <cell r="N242" t="str">
            <v>V.07.01.03</v>
          </cell>
          <cell r="O242" t="str">
            <v>A1</v>
          </cell>
          <cell r="P242">
            <v>3</v>
          </cell>
          <cell r="Q242">
            <v>3</v>
          </cell>
          <cell r="R242">
            <v>0.24</v>
          </cell>
          <cell r="T242">
            <v>0</v>
          </cell>
          <cell r="U242">
            <v>0</v>
          </cell>
          <cell r="W242">
            <v>0.08</v>
          </cell>
          <cell r="X242">
            <v>0.24</v>
          </cell>
        </row>
        <row r="243">
          <cell r="D243" t="str">
            <v>Trần Đình Khoa</v>
          </cell>
          <cell r="E243" t="str">
            <v>Giảng viên khoa  Nhiệt - Lạnh</v>
          </cell>
          <cell r="F243" t="str">
            <v>ĐH</v>
          </cell>
          <cell r="H243" t="str">
            <v>GV</v>
          </cell>
          <cell r="K243" t="str">
            <v>046085000069</v>
          </cell>
          <cell r="L243" t="str">
            <v>1603205307716</v>
          </cell>
          <cell r="M243" t="str">
            <v>20500004671</v>
          </cell>
          <cell r="N243" t="str">
            <v>V.07.01.03</v>
          </cell>
          <cell r="O243" t="str">
            <v>A1</v>
          </cell>
          <cell r="P243">
            <v>3</v>
          </cell>
          <cell r="Q243">
            <v>3</v>
          </cell>
          <cell r="R243">
            <v>0.27</v>
          </cell>
          <cell r="T243">
            <v>0</v>
          </cell>
          <cell r="U243">
            <v>0</v>
          </cell>
          <cell r="W243">
            <v>0.09</v>
          </cell>
          <cell r="X243">
            <v>0.27</v>
          </cell>
        </row>
        <row r="244">
          <cell r="D244" t="str">
            <v>Trần Quốc Duy</v>
          </cell>
          <cell r="E244" t="str">
            <v>Giảng viên khoa  Động lực</v>
          </cell>
          <cell r="F244" t="str">
            <v>ĐH</v>
          </cell>
          <cell r="H244" t="str">
            <v>GV</v>
          </cell>
          <cell r="K244" t="str">
            <v>023841765</v>
          </cell>
          <cell r="L244" t="str">
            <v>1603205294780</v>
          </cell>
          <cell r="M244" t="str">
            <v>11100119638</v>
          </cell>
          <cell r="N244" t="str">
            <v>V.07.01.03</v>
          </cell>
          <cell r="O244" t="str">
            <v>A1</v>
          </cell>
          <cell r="P244">
            <v>2</v>
          </cell>
          <cell r="Q244">
            <v>3</v>
          </cell>
          <cell r="R244">
            <v>0.24</v>
          </cell>
          <cell r="T244">
            <v>0</v>
          </cell>
          <cell r="U244">
            <v>0</v>
          </cell>
          <cell r="W244">
            <v>0.08</v>
          </cell>
          <cell r="X244">
            <v>0.24</v>
          </cell>
        </row>
        <row r="245">
          <cell r="D245" t="str">
            <v>Huỳnh Quốc Dũng</v>
          </cell>
          <cell r="E245" t="str">
            <v>Giảng viên Khoa Công nghệ thông tin</v>
          </cell>
          <cell r="K245" t="str">
            <v>024776141</v>
          </cell>
          <cell r="N245" t="str">
            <v>V.07.01.03</v>
          </cell>
          <cell r="Q245">
            <v>3</v>
          </cell>
          <cell r="T245">
            <v>0</v>
          </cell>
          <cell r="W245">
            <v>0.08</v>
          </cell>
          <cell r="X245">
            <v>0.24</v>
          </cell>
        </row>
        <row r="246">
          <cell r="D246" t="str">
            <v>Nguyễn Thị Thủy</v>
          </cell>
          <cell r="E246" t="str">
            <v>Giảng viên khoa KHCB</v>
          </cell>
          <cell r="F246" t="str">
            <v>ĐH</v>
          </cell>
          <cell r="G246" t="str">
            <v>x</v>
          </cell>
          <cell r="H246" t="str">
            <v>GV</v>
          </cell>
          <cell r="I246" t="str">
            <v>GV</v>
          </cell>
          <cell r="J246" t="str">
            <v>GV270</v>
          </cell>
          <cell r="K246" t="str">
            <v>024246529</v>
          </cell>
          <cell r="L246" t="str">
            <v>1603205246309</v>
          </cell>
          <cell r="M246" t="str">
            <v>11100109681</v>
          </cell>
          <cell r="N246" t="str">
            <v>V.07.01.03</v>
          </cell>
          <cell r="O246" t="str">
            <v>A1</v>
          </cell>
          <cell r="P246">
            <v>3</v>
          </cell>
          <cell r="Q246">
            <v>3.33</v>
          </cell>
          <cell r="R246">
            <v>0.29970000000000002</v>
          </cell>
          <cell r="T246">
            <v>0</v>
          </cell>
          <cell r="U246">
            <v>0</v>
          </cell>
          <cell r="W246">
            <v>0.09</v>
          </cell>
          <cell r="X246">
            <v>0.29970000000000002</v>
          </cell>
        </row>
        <row r="247">
          <cell r="D247" t="str">
            <v>Nguyễn Thị Hiền</v>
          </cell>
          <cell r="E247" t="str">
            <v>Giảng viên khoa May - Thời trang</v>
          </cell>
          <cell r="G247" t="str">
            <v>x</v>
          </cell>
          <cell r="K247" t="str">
            <v>025695766</v>
          </cell>
          <cell r="L247">
            <v>1603205353742</v>
          </cell>
          <cell r="M247" t="str">
            <v>21000001726</v>
          </cell>
          <cell r="N247" t="str">
            <v>V.07.01.03</v>
          </cell>
          <cell r="O247" t="str">
            <v>A1</v>
          </cell>
          <cell r="P247">
            <v>2</v>
          </cell>
          <cell r="Q247">
            <v>3</v>
          </cell>
          <cell r="R247">
            <v>0.18</v>
          </cell>
          <cell r="T247">
            <v>0</v>
          </cell>
          <cell r="U247">
            <v>0</v>
          </cell>
          <cell r="W247">
            <v>0.06</v>
          </cell>
          <cell r="X247">
            <v>0.18</v>
          </cell>
        </row>
        <row r="248">
          <cell r="D248" t="str">
            <v>Hồ Văn Hóa</v>
          </cell>
          <cell r="E248" t="str">
            <v>Giảng viên khoa Động lực</v>
          </cell>
          <cell r="K248" t="str">
            <v>024292308</v>
          </cell>
          <cell r="L248" t="str">
            <v>1603205353345</v>
          </cell>
          <cell r="M248" t="str">
            <v>21000001760</v>
          </cell>
          <cell r="N248" t="str">
            <v>V.07.01.03</v>
          </cell>
          <cell r="O248" t="str">
            <v>A1</v>
          </cell>
          <cell r="P248">
            <v>2</v>
          </cell>
          <cell r="Q248">
            <v>3</v>
          </cell>
          <cell r="R248">
            <v>0.18</v>
          </cell>
          <cell r="T248">
            <v>0</v>
          </cell>
          <cell r="U248">
            <v>0</v>
          </cell>
          <cell r="W248">
            <v>0.06</v>
          </cell>
          <cell r="X248">
            <v>0.18</v>
          </cell>
        </row>
        <row r="249">
          <cell r="D249" t="str">
            <v>Nguyễn Ngọc Tuyên</v>
          </cell>
          <cell r="E249" t="str">
            <v>Giảng viên khoa CNTT</v>
          </cell>
          <cell r="K249" t="str">
            <v>112163050</v>
          </cell>
          <cell r="L249">
            <v>1603205286594</v>
          </cell>
          <cell r="M249" t="str">
            <v>21000001128</v>
          </cell>
          <cell r="N249" t="str">
            <v>V.07.01.03</v>
          </cell>
          <cell r="O249" t="str">
            <v>A1</v>
          </cell>
          <cell r="P249">
            <v>2</v>
          </cell>
          <cell r="Q249">
            <v>3</v>
          </cell>
          <cell r="R249">
            <v>0.18</v>
          </cell>
          <cell r="T249">
            <v>0</v>
          </cell>
          <cell r="U249">
            <v>0</v>
          </cell>
          <cell r="W249">
            <v>0.06</v>
          </cell>
          <cell r="X249">
            <v>0.18</v>
          </cell>
        </row>
        <row r="250">
          <cell r="D250" t="str">
            <v>Trần Minh Thông</v>
          </cell>
          <cell r="E250" t="str">
            <v>Giảng viên khoa Cơ khí</v>
          </cell>
          <cell r="K250" t="str">
            <v>024221614</v>
          </cell>
          <cell r="L250">
            <v>1603205357120</v>
          </cell>
          <cell r="M250" t="str">
            <v>21100001269</v>
          </cell>
          <cell r="N250" t="str">
            <v>V.07.01.03</v>
          </cell>
          <cell r="O250" t="str">
            <v>A1</v>
          </cell>
          <cell r="P250">
            <v>2</v>
          </cell>
          <cell r="Q250">
            <v>3</v>
          </cell>
          <cell r="R250">
            <v>0.18</v>
          </cell>
          <cell r="T250">
            <v>0</v>
          </cell>
          <cell r="U250">
            <v>0</v>
          </cell>
          <cell r="W250">
            <v>0.06</v>
          </cell>
          <cell r="X250">
            <v>0.18</v>
          </cell>
        </row>
        <row r="251">
          <cell r="D251" t="str">
            <v>Nguyễn Thanh Hùng</v>
          </cell>
          <cell r="E251" t="str">
            <v>Giảng viên khoa  Động lực</v>
          </cell>
          <cell r="K251" t="str">
            <v>079082002097</v>
          </cell>
          <cell r="L251" t="str">
            <v>1603205356610</v>
          </cell>
          <cell r="M251" t="str">
            <v>21100001291</v>
          </cell>
          <cell r="N251" t="str">
            <v>V.07.01.03</v>
          </cell>
          <cell r="O251" t="str">
            <v>A1</v>
          </cell>
          <cell r="P251">
            <v>2</v>
          </cell>
          <cell r="Q251">
            <v>3</v>
          </cell>
          <cell r="R251">
            <v>0.18</v>
          </cell>
          <cell r="T251">
            <v>0</v>
          </cell>
          <cell r="U251">
            <v>0</v>
          </cell>
          <cell r="W251">
            <v>0.06</v>
          </cell>
          <cell r="X251">
            <v>0.18</v>
          </cell>
        </row>
        <row r="252">
          <cell r="D252" t="str">
            <v>Bùi Thị Ngọc Sương</v>
          </cell>
          <cell r="E252" t="str">
            <v>Giảng viên khoa May - Thời trang</v>
          </cell>
          <cell r="G252" t="str">
            <v>x</v>
          </cell>
          <cell r="K252" t="str">
            <v>025121375</v>
          </cell>
          <cell r="L252">
            <v>1603205357136</v>
          </cell>
          <cell r="M252" t="str">
            <v>21100001275</v>
          </cell>
          <cell r="N252" t="str">
            <v>V.07.01.03</v>
          </cell>
          <cell r="O252" t="str">
            <v>A1</v>
          </cell>
          <cell r="P252">
            <v>2</v>
          </cell>
          <cell r="Q252">
            <v>3</v>
          </cell>
          <cell r="R252">
            <v>0.18</v>
          </cell>
          <cell r="T252">
            <v>0</v>
          </cell>
          <cell r="U252">
            <v>0</v>
          </cell>
          <cell r="W252">
            <v>0.06</v>
          </cell>
          <cell r="X252">
            <v>0.18</v>
          </cell>
        </row>
        <row r="253">
          <cell r="D253" t="str">
            <v>Lê Thị Thu Thảo</v>
          </cell>
          <cell r="E253" t="str">
            <v>Giảng viên khoa Kinh tế</v>
          </cell>
          <cell r="G253" t="str">
            <v>x</v>
          </cell>
          <cell r="K253" t="str">
            <v>285085296</v>
          </cell>
          <cell r="M253" t="str">
            <v>60300000171</v>
          </cell>
          <cell r="N253" t="str">
            <v>V.07.01.03</v>
          </cell>
          <cell r="O253" t="str">
            <v>A1</v>
          </cell>
          <cell r="P253">
            <v>2</v>
          </cell>
          <cell r="Q253">
            <v>3</v>
          </cell>
          <cell r="R253">
            <v>0</v>
          </cell>
          <cell r="T253">
            <v>0</v>
          </cell>
          <cell r="U253">
            <v>0</v>
          </cell>
          <cell r="X253">
            <v>0</v>
          </cell>
        </row>
        <row r="254">
          <cell r="D254" t="str">
            <v>Bùi Ánh Tuyết</v>
          </cell>
          <cell r="E254" t="str">
            <v>Giảng viên khoa Kinh tế</v>
          </cell>
          <cell r="G254" t="str">
            <v>x</v>
          </cell>
          <cell r="K254" t="str">
            <v>034189004248</v>
          </cell>
          <cell r="M254" t="str">
            <v>60300000125</v>
          </cell>
          <cell r="N254" t="str">
            <v>V.07.01.03</v>
          </cell>
          <cell r="O254" t="str">
            <v>A1</v>
          </cell>
          <cell r="P254">
            <v>2</v>
          </cell>
          <cell r="Q254">
            <v>3</v>
          </cell>
          <cell r="R254">
            <v>0.15</v>
          </cell>
          <cell r="T254">
            <v>0</v>
          </cell>
          <cell r="U254">
            <v>0</v>
          </cell>
          <cell r="W254">
            <v>0.05</v>
          </cell>
          <cell r="X254">
            <v>0.15</v>
          </cell>
        </row>
        <row r="255">
          <cell r="D255" t="str">
            <v>Hoàng Thị Trang</v>
          </cell>
          <cell r="E255" t="str">
            <v>Giảng viên khoa Lý luận chính trị</v>
          </cell>
          <cell r="G255" t="str">
            <v>x</v>
          </cell>
          <cell r="K255">
            <v>186057737</v>
          </cell>
          <cell r="M255" t="str">
            <v>60300000132</v>
          </cell>
          <cell r="N255" t="str">
            <v>V.07.01.03</v>
          </cell>
          <cell r="O255" t="str">
            <v>A1</v>
          </cell>
          <cell r="P255">
            <v>2</v>
          </cell>
          <cell r="Q255">
            <v>3</v>
          </cell>
          <cell r="R255">
            <v>0</v>
          </cell>
          <cell r="T255">
            <v>0</v>
          </cell>
          <cell r="U255">
            <v>0</v>
          </cell>
          <cell r="X255">
            <v>0</v>
          </cell>
        </row>
        <row r="256">
          <cell r="D256" t="str">
            <v>Dương Thị Hồng</v>
          </cell>
          <cell r="E256" t="str">
            <v>GV Khoa Công nghệ Cơ khí</v>
          </cell>
          <cell r="G256" t="str">
            <v>x</v>
          </cell>
          <cell r="K256" t="str">
            <v>026062453</v>
          </cell>
          <cell r="M256" t="str">
            <v>51200002068</v>
          </cell>
          <cell r="N256" t="str">
            <v>V.07.01.03</v>
          </cell>
          <cell r="O256" t="str">
            <v>A1</v>
          </cell>
          <cell r="P256">
            <v>2</v>
          </cell>
          <cell r="Q256">
            <v>3</v>
          </cell>
          <cell r="R256">
            <v>0</v>
          </cell>
          <cell r="T256">
            <v>0</v>
          </cell>
          <cell r="U256">
            <v>0</v>
          </cell>
          <cell r="X256">
            <v>0</v>
          </cell>
        </row>
        <row r="257">
          <cell r="D257" t="str">
            <v>Bùi Thành Dũng</v>
          </cell>
          <cell r="E257" t="str">
            <v>Giảng viên khoa Lý luận chính trị</v>
          </cell>
          <cell r="F257" t="str">
            <v>ĐH</v>
          </cell>
          <cell r="H257" t="str">
            <v>GV</v>
          </cell>
          <cell r="I257" t="str">
            <v>GV</v>
          </cell>
          <cell r="J257" t="str">
            <v>GV266</v>
          </cell>
          <cell r="K257" t="str">
            <v>022472262</v>
          </cell>
          <cell r="L257" t="str">
            <v>1603205250790</v>
          </cell>
          <cell r="M257" t="str">
            <v>11100109912</v>
          </cell>
          <cell r="N257" t="str">
            <v>V.07.01.03</v>
          </cell>
          <cell r="O257" t="str">
            <v>A1</v>
          </cell>
          <cell r="P257">
            <v>3</v>
          </cell>
          <cell r="Q257">
            <v>3.33</v>
          </cell>
          <cell r="R257">
            <v>0.29970000000000002</v>
          </cell>
          <cell r="T257">
            <v>0</v>
          </cell>
          <cell r="U257">
            <v>0</v>
          </cell>
          <cell r="W257">
            <v>0.09</v>
          </cell>
          <cell r="X257">
            <v>0.29970000000000002</v>
          </cell>
        </row>
        <row r="258">
          <cell r="D258" t="str">
            <v>Hoàng Phúc Bảo</v>
          </cell>
          <cell r="E258" t="str">
            <v>Giảng viên khoa Động lực</v>
          </cell>
          <cell r="K258" t="str">
            <v>024157475</v>
          </cell>
          <cell r="L258" t="str">
            <v>1603205398770</v>
          </cell>
          <cell r="M258" t="str">
            <v>31100001684</v>
          </cell>
          <cell r="N258" t="str">
            <v>V.07.01.03</v>
          </cell>
          <cell r="O258" t="str">
            <v>A1</v>
          </cell>
          <cell r="P258">
            <v>2</v>
          </cell>
          <cell r="Q258">
            <v>3</v>
          </cell>
          <cell r="R258">
            <v>0.15</v>
          </cell>
          <cell r="T258">
            <v>0</v>
          </cell>
          <cell r="W258">
            <v>0.05</v>
          </cell>
          <cell r="X258">
            <v>0.15</v>
          </cell>
        </row>
        <row r="259">
          <cell r="D259" t="str">
            <v>Nguyễn Thị Thu Hà</v>
          </cell>
          <cell r="E259" t="str">
            <v>Giảng viên khoa KHCB</v>
          </cell>
          <cell r="G259" t="str">
            <v>x</v>
          </cell>
          <cell r="K259" t="str">
            <v>074182000157</v>
          </cell>
          <cell r="M259" t="str">
            <v>60300000097</v>
          </cell>
          <cell r="N259" t="str">
            <v>V.07.01.03</v>
          </cell>
          <cell r="O259" t="str">
            <v>A1</v>
          </cell>
          <cell r="P259">
            <v>3</v>
          </cell>
          <cell r="Q259">
            <v>3</v>
          </cell>
          <cell r="R259">
            <v>0</v>
          </cell>
          <cell r="T259">
            <v>0</v>
          </cell>
          <cell r="U259">
            <v>0</v>
          </cell>
          <cell r="X259">
            <v>0</v>
          </cell>
        </row>
        <row r="260">
          <cell r="D260" t="str">
            <v>Lê Minh Phong</v>
          </cell>
          <cell r="E260" t="str">
            <v>Giảng viên khoa KHCB</v>
          </cell>
          <cell r="F260" t="str">
            <v>ĐH</v>
          </cell>
          <cell r="I260" t="str">
            <v>GV</v>
          </cell>
          <cell r="J260" t="str">
            <v>GV284</v>
          </cell>
          <cell r="K260" t="str">
            <v>024941650</v>
          </cell>
          <cell r="L260" t="str">
            <v>1603205186678</v>
          </cell>
          <cell r="M260" t="str">
            <v>11100109549</v>
          </cell>
          <cell r="N260" t="str">
            <v>V.07.01.03</v>
          </cell>
          <cell r="O260" t="str">
            <v>A1</v>
          </cell>
          <cell r="P260">
            <v>3</v>
          </cell>
          <cell r="Q260">
            <v>3.33</v>
          </cell>
          <cell r="R260">
            <v>0</v>
          </cell>
          <cell r="T260">
            <v>0</v>
          </cell>
          <cell r="U260">
            <v>0</v>
          </cell>
          <cell r="X260">
            <v>0</v>
          </cell>
        </row>
        <row r="261">
          <cell r="D261" t="str">
            <v>Chế Vân Cầm</v>
          </cell>
          <cell r="E261" t="str">
            <v>Giảng viên khoa May - Thời trang</v>
          </cell>
          <cell r="G261" t="str">
            <v>x</v>
          </cell>
          <cell r="K261" t="str">
            <v>025537038</v>
          </cell>
          <cell r="L261" t="str">
            <v>1603205399028</v>
          </cell>
          <cell r="M261" t="str">
            <v>31100001689</v>
          </cell>
          <cell r="N261" t="str">
            <v>V.07.01.03</v>
          </cell>
          <cell r="O261" t="str">
            <v>A1</v>
          </cell>
          <cell r="P261">
            <v>2</v>
          </cell>
          <cell r="Q261">
            <v>2.67</v>
          </cell>
          <cell r="R261">
            <v>0</v>
          </cell>
          <cell r="T261">
            <v>0</v>
          </cell>
          <cell r="X261">
            <v>0</v>
          </cell>
        </row>
        <row r="262">
          <cell r="D262" t="str">
            <v>Dương Đức Kiên</v>
          </cell>
          <cell r="E262" t="str">
            <v>Giảng viên khoa KHCB</v>
          </cell>
          <cell r="K262" t="str">
            <v>025583771</v>
          </cell>
          <cell r="L262" t="str">
            <v>1603205398372</v>
          </cell>
          <cell r="M262" t="str">
            <v>31100001640</v>
          </cell>
          <cell r="N262" t="str">
            <v>V.07.01.03</v>
          </cell>
          <cell r="O262" t="str">
            <v>A1</v>
          </cell>
          <cell r="P262">
            <v>2</v>
          </cell>
          <cell r="Q262">
            <v>2.67</v>
          </cell>
          <cell r="R262">
            <v>0.13350000000000001</v>
          </cell>
          <cell r="T262">
            <v>0</v>
          </cell>
          <cell r="W262">
            <v>0.05</v>
          </cell>
          <cell r="X262">
            <v>0.13350000000000001</v>
          </cell>
        </row>
        <row r="263">
          <cell r="D263" t="str">
            <v>Nguyễn Văn Hậu</v>
          </cell>
          <cell r="E263" t="str">
            <v>Giảng viên khoa KHCB</v>
          </cell>
          <cell r="K263" t="str">
            <v>046069000174</v>
          </cell>
          <cell r="L263" t="str">
            <v>1603205399194</v>
          </cell>
          <cell r="M263" t="str">
            <v>31100001602</v>
          </cell>
          <cell r="N263" t="str">
            <v>V.07.01.03</v>
          </cell>
          <cell r="O263" t="str">
            <v>A1</v>
          </cell>
          <cell r="P263">
            <v>2</v>
          </cell>
          <cell r="Q263">
            <v>2.67</v>
          </cell>
          <cell r="R263">
            <v>0.26700000000000002</v>
          </cell>
          <cell r="T263">
            <v>0</v>
          </cell>
          <cell r="W263">
            <v>0.1</v>
          </cell>
          <cell r="X263">
            <v>0.26700000000000002</v>
          </cell>
        </row>
        <row r="264">
          <cell r="D264" t="str">
            <v>Trần Văn Lượng</v>
          </cell>
          <cell r="E264" t="str">
            <v>Giảng viên khoa Lý luận chính trị</v>
          </cell>
          <cell r="K264" t="str">
            <v>024947914</v>
          </cell>
          <cell r="L264" t="str">
            <v>1603205398400</v>
          </cell>
          <cell r="M264" t="str">
            <v>31100001615</v>
          </cell>
          <cell r="N264" t="str">
            <v>V.07.01.03</v>
          </cell>
          <cell r="O264" t="str">
            <v>A1</v>
          </cell>
          <cell r="P264">
            <v>2</v>
          </cell>
          <cell r="Q264">
            <v>2.67</v>
          </cell>
          <cell r="R264">
            <v>0.13350000000000001</v>
          </cell>
          <cell r="T264">
            <v>0</v>
          </cell>
          <cell r="W264">
            <v>0.05</v>
          </cell>
          <cell r="X264">
            <v>0.13350000000000001</v>
          </cell>
        </row>
        <row r="265">
          <cell r="D265" t="str">
            <v>Trần Hồng Thảo</v>
          </cell>
          <cell r="E265" t="str">
            <v>GV Khoa May - Thời trang</v>
          </cell>
          <cell r="K265">
            <v>381574642</v>
          </cell>
          <cell r="N265" t="str">
            <v>V.07.01.03</v>
          </cell>
          <cell r="P265">
            <v>2</v>
          </cell>
          <cell r="Q265">
            <v>2.67</v>
          </cell>
          <cell r="T265">
            <v>0</v>
          </cell>
          <cell r="X265">
            <v>0</v>
          </cell>
        </row>
        <row r="266">
          <cell r="D266" t="str">
            <v>Nguyễn Mỹ Tiên</v>
          </cell>
          <cell r="E266" t="str">
            <v>GV Khoa Kinh tế</v>
          </cell>
          <cell r="K266" t="str">
            <v>385523828</v>
          </cell>
          <cell r="N266" t="str">
            <v>V.07.01.03</v>
          </cell>
          <cell r="P266">
            <v>2</v>
          </cell>
          <cell r="Q266">
            <v>2.67</v>
          </cell>
          <cell r="T266">
            <v>0</v>
          </cell>
          <cell r="X266">
            <v>0</v>
          </cell>
        </row>
        <row r="267">
          <cell r="D267" t="str">
            <v>Trần Thị Ngọc Dung</v>
          </cell>
          <cell r="E267" t="str">
            <v>GV Khoa Kinh tế</v>
          </cell>
          <cell r="K267" t="str">
            <v>025522918</v>
          </cell>
          <cell r="N267" t="str">
            <v>V.07.01.03</v>
          </cell>
          <cell r="P267">
            <v>2</v>
          </cell>
          <cell r="Q267">
            <v>2.67</v>
          </cell>
          <cell r="T267">
            <v>0</v>
          </cell>
          <cell r="X267">
            <v>0</v>
          </cell>
        </row>
        <row r="268">
          <cell r="D268" t="str">
            <v>Cao Văn Tuấn</v>
          </cell>
          <cell r="E268" t="str">
            <v>GV Khoa Điện - Điện tử</v>
          </cell>
          <cell r="K268" t="str">
            <v>051088000077</v>
          </cell>
          <cell r="N268" t="str">
            <v>V.07.01.03</v>
          </cell>
          <cell r="O268" t="str">
            <v>III</v>
          </cell>
          <cell r="P268">
            <v>2</v>
          </cell>
          <cell r="Q268">
            <v>2.67</v>
          </cell>
          <cell r="T268">
            <v>0</v>
          </cell>
          <cell r="X268">
            <v>0</v>
          </cell>
        </row>
        <row r="269">
          <cell r="D269" t="str">
            <v>Nguyễn Thanh Giang</v>
          </cell>
          <cell r="E269" t="str">
            <v>GV Khoa Cơ khí</v>
          </cell>
          <cell r="K269">
            <v>331950060</v>
          </cell>
          <cell r="N269" t="str">
            <v>V.07.01.03</v>
          </cell>
          <cell r="Q269">
            <v>2.67</v>
          </cell>
          <cell r="T269">
            <v>0</v>
          </cell>
          <cell r="W269">
            <v>7.0000000000000007E-2</v>
          </cell>
          <cell r="X269">
            <v>0.18690000000000001</v>
          </cell>
        </row>
        <row r="270">
          <cell r="D270" t="str">
            <v>Đào Anh Tuấn</v>
          </cell>
          <cell r="E270" t="str">
            <v>Giảng viên khoa Kinh tế</v>
          </cell>
          <cell r="K270" t="str">
            <v>017090000191</v>
          </cell>
          <cell r="M270" t="str">
            <v>60300000115</v>
          </cell>
          <cell r="N270" t="str">
            <v>V.07.01.03</v>
          </cell>
          <cell r="O270" t="str">
            <v>A1</v>
          </cell>
          <cell r="P270">
            <v>1</v>
          </cell>
          <cell r="Q270">
            <v>2.67</v>
          </cell>
          <cell r="R270">
            <v>0</v>
          </cell>
          <cell r="T270">
            <v>0</v>
          </cell>
          <cell r="U270">
            <v>0</v>
          </cell>
          <cell r="X270">
            <v>0</v>
          </cell>
        </row>
        <row r="271">
          <cell r="D271" t="str">
            <v>Võ Thị Kim Thư</v>
          </cell>
          <cell r="E271" t="str">
            <v>Giảng viên khoa Kinh tế</v>
          </cell>
          <cell r="G271" t="str">
            <v>x</v>
          </cell>
          <cell r="K271" t="str">
            <v>024383666</v>
          </cell>
          <cell r="M271">
            <v>51200000905</v>
          </cell>
          <cell r="N271" t="str">
            <v>V.07.01.03</v>
          </cell>
          <cell r="O271" t="str">
            <v>A1</v>
          </cell>
          <cell r="P271">
            <v>1</v>
          </cell>
          <cell r="Q271">
            <v>2.67</v>
          </cell>
          <cell r="R271">
            <v>0</v>
          </cell>
          <cell r="T271">
            <v>0</v>
          </cell>
          <cell r="U271">
            <v>0</v>
          </cell>
          <cell r="X271">
            <v>0</v>
          </cell>
        </row>
        <row r="272">
          <cell r="D272" t="str">
            <v>Trần Thanh Trúc</v>
          </cell>
          <cell r="E272" t="str">
            <v>Giảng viên khoa KHCB</v>
          </cell>
          <cell r="G272" t="str">
            <v>x</v>
          </cell>
          <cell r="K272" t="str">
            <v>024327951</v>
          </cell>
          <cell r="M272" t="str">
            <v>60200000550</v>
          </cell>
          <cell r="N272" t="str">
            <v>V.07.01.03</v>
          </cell>
          <cell r="O272" t="str">
            <v>A1</v>
          </cell>
          <cell r="P272">
            <v>1</v>
          </cell>
          <cell r="Q272">
            <v>2.67</v>
          </cell>
          <cell r="R272">
            <v>0</v>
          </cell>
          <cell r="T272">
            <v>0</v>
          </cell>
          <cell r="U272">
            <v>0</v>
          </cell>
          <cell r="X272">
            <v>0</v>
          </cell>
        </row>
        <row r="273">
          <cell r="D273" t="str">
            <v>Phạm Thị Thu Hiền</v>
          </cell>
          <cell r="E273" t="str">
            <v>Giảng viên khoa KHCB</v>
          </cell>
          <cell r="K273" t="str">
            <v>024104165</v>
          </cell>
          <cell r="M273" t="str">
            <v>60300000060</v>
          </cell>
          <cell r="N273" t="str">
            <v>V.07.01.03</v>
          </cell>
          <cell r="O273" t="str">
            <v>A1</v>
          </cell>
          <cell r="P273">
            <v>1</v>
          </cell>
          <cell r="Q273">
            <v>2.67</v>
          </cell>
          <cell r="R273">
            <v>0</v>
          </cell>
          <cell r="T273">
            <v>0</v>
          </cell>
          <cell r="U273">
            <v>0</v>
          </cell>
          <cell r="X273">
            <v>0</v>
          </cell>
        </row>
        <row r="274">
          <cell r="D274" t="str">
            <v>Nguyễn Hồng Phúc</v>
          </cell>
          <cell r="E274" t="str">
            <v>GV Khoa CN Cơ khí</v>
          </cell>
          <cell r="K274" t="str">
            <v>079089004197</v>
          </cell>
          <cell r="L274" t="str">
            <v>1603205584782</v>
          </cell>
          <cell r="N274" t="str">
            <v>V.07.01.03</v>
          </cell>
          <cell r="Q274">
            <v>2.67</v>
          </cell>
          <cell r="T274">
            <v>0</v>
          </cell>
          <cell r="X274">
            <v>0</v>
          </cell>
        </row>
        <row r="275">
          <cell r="D275" t="str">
            <v>Cao Xuân Giang</v>
          </cell>
          <cell r="E275" t="str">
            <v>Giảng viên Khoa Kinh tế</v>
          </cell>
          <cell r="K275" t="str">
            <v>072089003417</v>
          </cell>
          <cell r="N275" t="str">
            <v>V.07.01.03</v>
          </cell>
          <cell r="Q275">
            <v>2.67</v>
          </cell>
          <cell r="T275">
            <v>0</v>
          </cell>
          <cell r="X275">
            <v>0</v>
          </cell>
        </row>
        <row r="276">
          <cell r="D276" t="str">
            <v>Lê Thị Phương Thảo</v>
          </cell>
          <cell r="E276" t="str">
            <v>Giảng viên Khoa  May - Thời trang</v>
          </cell>
          <cell r="K276" t="str">
            <v>024058374</v>
          </cell>
          <cell r="N276" t="str">
            <v>V.07.01.03</v>
          </cell>
          <cell r="Q276">
            <v>2.67</v>
          </cell>
          <cell r="T276">
            <v>0</v>
          </cell>
          <cell r="X276">
            <v>0</v>
          </cell>
        </row>
        <row r="277">
          <cell r="D277" t="str">
            <v>Trần Văn Đông</v>
          </cell>
          <cell r="E277" t="str">
            <v>GV Khoa CN Động lực</v>
          </cell>
          <cell r="K277" t="str">
            <v>215223184</v>
          </cell>
          <cell r="N277" t="str">
            <v>V.07.01.03</v>
          </cell>
          <cell r="Q277">
            <v>2.67</v>
          </cell>
          <cell r="T277">
            <v>0</v>
          </cell>
          <cell r="X277">
            <v>0</v>
          </cell>
        </row>
        <row r="278">
          <cell r="D278" t="str">
            <v>Nguyễn Trọng Thạch</v>
          </cell>
          <cell r="E278" t="str">
            <v>GV Khoa xây dựng</v>
          </cell>
          <cell r="K278" t="str">
            <v>024943779</v>
          </cell>
          <cell r="N278" t="str">
            <v>V.09.02.03</v>
          </cell>
          <cell r="Q278">
            <v>2.67</v>
          </cell>
          <cell r="T278">
            <v>0</v>
          </cell>
          <cell r="X278">
            <v>0</v>
          </cell>
        </row>
        <row r="279">
          <cell r="D279" t="str">
            <v>Trần Nam Anh</v>
          </cell>
          <cell r="E279" t="str">
            <v>GV Khoa Điện - Điện tử</v>
          </cell>
          <cell r="K279" t="str">
            <v>024255580</v>
          </cell>
          <cell r="N279" t="str">
            <v>V.07.01.03</v>
          </cell>
          <cell r="O279" t="str">
            <v>III</v>
          </cell>
          <cell r="P279">
            <v>1</v>
          </cell>
          <cell r="Q279">
            <v>2.34</v>
          </cell>
          <cell r="T279">
            <v>0</v>
          </cell>
          <cell r="X279">
            <v>0</v>
          </cell>
        </row>
        <row r="280">
          <cell r="D280" t="str">
            <v>Nguyễn Lương Tâm</v>
          </cell>
          <cell r="E280" t="str">
            <v>Giảng viên Khoa  Động lực</v>
          </cell>
          <cell r="K280" t="str">
            <v>022093185</v>
          </cell>
          <cell r="N280" t="str">
            <v>V.07.01.03</v>
          </cell>
          <cell r="Q280">
            <v>2.34</v>
          </cell>
          <cell r="T280">
            <v>0</v>
          </cell>
          <cell r="X280">
            <v>0</v>
          </cell>
        </row>
        <row r="281">
          <cell r="D281" t="str">
            <v>Trần Thế Sơn</v>
          </cell>
          <cell r="E281" t="str">
            <v>Giảng viên Khoa  Động lực</v>
          </cell>
          <cell r="K281" t="str">
            <v>271927461</v>
          </cell>
          <cell r="N281" t="str">
            <v>V.07.01.03</v>
          </cell>
          <cell r="Q281">
            <v>2.34</v>
          </cell>
          <cell r="T281">
            <v>0</v>
          </cell>
          <cell r="X281">
            <v>0</v>
          </cell>
        </row>
        <row r="282">
          <cell r="D282" t="str">
            <v>Trần Giang Nam</v>
          </cell>
          <cell r="E282" t="str">
            <v>GV Khoa Điện - Điện tử</v>
          </cell>
          <cell r="K282" t="str">
            <v>079085003003</v>
          </cell>
          <cell r="N282" t="str">
            <v>V.07.01.03</v>
          </cell>
          <cell r="Q282">
            <v>2.34</v>
          </cell>
          <cell r="T282">
            <v>0</v>
          </cell>
          <cell r="X282">
            <v>0</v>
          </cell>
        </row>
        <row r="283">
          <cell r="D283" t="str">
            <v>Nguyễn Khắc Huy</v>
          </cell>
          <cell r="E283" t="str">
            <v>GV Khoa Cơ khí</v>
          </cell>
          <cell r="K283" t="str">
            <v>024911362</v>
          </cell>
          <cell r="N283" t="str">
            <v>V.09.02.03</v>
          </cell>
          <cell r="Q283">
            <v>2.34</v>
          </cell>
          <cell r="T283">
            <v>0</v>
          </cell>
          <cell r="X283">
            <v>0</v>
          </cell>
        </row>
        <row r="284">
          <cell r="D284" t="str">
            <v>Nguyễn Thùy Dương</v>
          </cell>
          <cell r="E284" t="str">
            <v>Nhân viên TT Quan hệ doanh nghiệp</v>
          </cell>
          <cell r="G284" t="str">
            <v>x</v>
          </cell>
          <cell r="J284" t="str">
            <v>711A74605287</v>
          </cell>
          <cell r="K284" t="str">
            <v>025638694</v>
          </cell>
          <cell r="L284" t="str">
            <v>1603205356140</v>
          </cell>
          <cell r="M284" t="str">
            <v>21000001676</v>
          </cell>
          <cell r="N284" t="str">
            <v>15.113</v>
          </cell>
          <cell r="O284" t="str">
            <v>A1</v>
          </cell>
          <cell r="P284">
            <v>4</v>
          </cell>
          <cell r="Q284">
            <v>3.66</v>
          </cell>
          <cell r="R284">
            <v>0</v>
          </cell>
          <cell r="T284">
            <v>0</v>
          </cell>
          <cell r="U284">
            <v>0</v>
          </cell>
          <cell r="W284">
            <v>0</v>
          </cell>
          <cell r="X284">
            <v>0</v>
          </cell>
        </row>
        <row r="285">
          <cell r="D285" t="str">
            <v>Bùi Thị Lan Anh</v>
          </cell>
          <cell r="E285" t="str">
            <v>Nhân viên Trung tâm Y tế</v>
          </cell>
          <cell r="F285" t="str">
            <v>TC</v>
          </cell>
          <cell r="G285" t="str">
            <v>x</v>
          </cell>
          <cell r="I285" t="str">
            <v>NV</v>
          </cell>
          <cell r="K285" t="str">
            <v>025154407</v>
          </cell>
          <cell r="L285">
            <v>1603205247426</v>
          </cell>
          <cell r="M285" t="str">
            <v>11100115711</v>
          </cell>
          <cell r="N285" t="str">
            <v>V.08.03.07</v>
          </cell>
          <cell r="O285" t="str">
            <v>B</v>
          </cell>
          <cell r="P285">
            <v>7</v>
          </cell>
          <cell r="Q285">
            <v>3.26</v>
          </cell>
          <cell r="R285">
            <v>0</v>
          </cell>
          <cell r="T285">
            <v>0</v>
          </cell>
          <cell r="U285">
            <v>0</v>
          </cell>
          <cell r="X285">
            <v>0</v>
          </cell>
        </row>
        <row r="286">
          <cell r="D286" t="str">
            <v>Đặng Thu Hà</v>
          </cell>
          <cell r="E286" t="str">
            <v>Nhân viên TT Truyền thông thư viện</v>
          </cell>
          <cell r="G286" t="str">
            <v>x</v>
          </cell>
          <cell r="K286" t="str">
            <v>025548580</v>
          </cell>
          <cell r="L286" t="str">
            <v>1603205246400</v>
          </cell>
          <cell r="M286" t="str">
            <v>40400000544</v>
          </cell>
          <cell r="N286" t="str">
            <v>V.10.02.06</v>
          </cell>
          <cell r="O286" t="str">
            <v>A1</v>
          </cell>
          <cell r="P286">
            <v>2</v>
          </cell>
          <cell r="Q286">
            <v>2.67</v>
          </cell>
          <cell r="R286">
            <v>0</v>
          </cell>
          <cell r="T286">
            <v>0</v>
          </cell>
          <cell r="X286">
            <v>0</v>
          </cell>
        </row>
        <row r="287">
          <cell r="D287" t="str">
            <v>CỘNG CÁC HỢP ĐỒNG</v>
          </cell>
          <cell r="Q287">
            <v>584.68999999999915</v>
          </cell>
          <cell r="R287">
            <v>46.662799999999997</v>
          </cell>
          <cell r="S287">
            <v>0</v>
          </cell>
          <cell r="T287">
            <v>0</v>
          </cell>
          <cell r="U287">
            <v>0</v>
          </cell>
          <cell r="V287">
            <v>10.199999999999999</v>
          </cell>
          <cell r="W287">
            <v>10.63</v>
          </cell>
          <cell r="X287">
            <v>37.422500000000007</v>
          </cell>
        </row>
        <row r="288">
          <cell r="D288" t="str">
            <v xml:space="preserve">TỔNG CỘNG </v>
          </cell>
          <cell r="G288">
            <v>73</v>
          </cell>
          <cell r="Q288">
            <v>958.51099999999917</v>
          </cell>
          <cell r="S288" t="e">
            <v>#REF!</v>
          </cell>
          <cell r="T288">
            <v>9.2075999999999976</v>
          </cell>
          <cell r="U288" t="e">
            <v>#REF!</v>
          </cell>
          <cell r="V288">
            <v>22.899999999999995</v>
          </cell>
          <cell r="X288">
            <v>99.573200000000014</v>
          </cell>
        </row>
        <row r="289">
          <cell r="N289" t="str">
            <v xml:space="preserve"> </v>
          </cell>
        </row>
        <row r="290">
          <cell r="D290" t="str">
            <v>TỔNG HỢP</v>
          </cell>
          <cell r="E290" t="str">
            <v>Tổng số</v>
          </cell>
          <cell r="G290" t="str">
            <v>QL</v>
          </cell>
          <cell r="I290">
            <v>7</v>
          </cell>
          <cell r="J290" t="str">
            <v>GV249</v>
          </cell>
          <cell r="N290" t="str">
            <v>Nữ</v>
          </cell>
          <cell r="O290" t="str">
            <v>Tổng số</v>
          </cell>
          <cell r="P290" t="str">
            <v>NỮ</v>
          </cell>
          <cell r="Q290" t="str">
            <v xml:space="preserve">HỆ SỐ LƯƠNG </v>
          </cell>
          <cell r="R290" t="str">
            <v>CỘNG HS PHỤ CẤP</v>
          </cell>
          <cell r="S290" t="str">
            <v>HSVK</v>
          </cell>
          <cell r="T290" t="str">
            <v>HS PCTNVK</v>
          </cell>
          <cell r="U290" t="str">
            <v>PHỤ CẤP VK</v>
          </cell>
          <cell r="V290" t="str">
            <v>HSPC CV</v>
          </cell>
          <cell r="W290" t="str">
            <v>% PC THÂM NIÊN</v>
          </cell>
          <cell r="X290" t="str">
            <v>HSPC TNNG</v>
          </cell>
        </row>
        <row r="291">
          <cell r="D291" t="str">
            <v>Biên chế</v>
          </cell>
          <cell r="E291">
            <v>77</v>
          </cell>
          <cell r="G291" t="str">
            <v>PPK</v>
          </cell>
          <cell r="I291">
            <v>11</v>
          </cell>
          <cell r="N291">
            <v>27</v>
          </cell>
          <cell r="O291">
            <v>105</v>
          </cell>
          <cell r="P291">
            <v>40</v>
          </cell>
          <cell r="Q291">
            <v>354.52000000000004</v>
          </cell>
          <cell r="R291">
            <v>84.058299999999974</v>
          </cell>
          <cell r="S291">
            <v>9.2075999999999976</v>
          </cell>
          <cell r="T291">
            <v>9.2075999999999976</v>
          </cell>
          <cell r="U291">
            <v>13719324</v>
          </cell>
          <cell r="V291">
            <v>12.699999999999996</v>
          </cell>
          <cell r="W291">
            <v>0</v>
          </cell>
          <cell r="X291">
            <v>62.150700000000008</v>
          </cell>
        </row>
        <row r="292">
          <cell r="D292" t="str">
            <v>Hợp đồng lần đầu</v>
          </cell>
          <cell r="E292">
            <v>9</v>
          </cell>
          <cell r="G292" t="str">
            <v>TT</v>
          </cell>
          <cell r="I292">
            <v>12</v>
          </cell>
          <cell r="N292">
            <v>4</v>
          </cell>
          <cell r="O292">
            <v>12</v>
          </cell>
          <cell r="P292">
            <v>9</v>
          </cell>
          <cell r="Q292">
            <v>19.301000000000002</v>
          </cell>
          <cell r="R292">
            <v>0</v>
          </cell>
          <cell r="S292">
            <v>0</v>
          </cell>
          <cell r="T292">
            <v>0</v>
          </cell>
          <cell r="U292">
            <v>0</v>
          </cell>
          <cell r="V292">
            <v>0</v>
          </cell>
          <cell r="W292">
            <v>0</v>
          </cell>
          <cell r="X292">
            <v>0</v>
          </cell>
        </row>
        <row r="293">
          <cell r="D293" t="str">
            <v>Các hợp đồng khác</v>
          </cell>
          <cell r="E293">
            <v>182</v>
          </cell>
          <cell r="N293">
            <v>83</v>
          </cell>
          <cell r="Q293">
            <v>584.68999999999915</v>
          </cell>
          <cell r="T293">
            <v>0</v>
          </cell>
          <cell r="V293">
            <v>10.199999999999999</v>
          </cell>
          <cell r="W293" t="e">
            <v>#REF!</v>
          </cell>
          <cell r="X293">
            <v>37.422500000000007</v>
          </cell>
        </row>
        <row r="294">
          <cell r="D294" t="str">
            <v xml:space="preserve">TỔNG CỘNG </v>
          </cell>
          <cell r="E294">
            <v>268</v>
          </cell>
          <cell r="G294" t="str">
            <v>NV</v>
          </cell>
          <cell r="I294">
            <v>36</v>
          </cell>
          <cell r="J294">
            <v>66</v>
          </cell>
          <cell r="N294">
            <v>114</v>
          </cell>
          <cell r="O294" t="e">
            <v>#REF!</v>
          </cell>
          <cell r="P294" t="e">
            <v>#REF!</v>
          </cell>
          <cell r="Q294">
            <v>958.51099999999917</v>
          </cell>
          <cell r="R294" t="e">
            <v>#REF!</v>
          </cell>
          <cell r="S294" t="e">
            <v>#REF!</v>
          </cell>
          <cell r="T294">
            <v>9.2075999999999976</v>
          </cell>
          <cell r="U294" t="e">
            <v>#REF!</v>
          </cell>
          <cell r="V294">
            <v>22.899999999999995</v>
          </cell>
          <cell r="W294" t="e">
            <v>#REF!</v>
          </cell>
          <cell r="X294">
            <v>99.573200000000014</v>
          </cell>
        </row>
      </sheetData>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S"/>
    </sheetNames>
    <sheetDataSet>
      <sheetData sheetId="0" refreshError="1"/>
      <sheetData sheetId="1" refreshError="1">
        <row r="6">
          <cell r="B6" t="str">
            <v>Phạm Hữu Lộc</v>
          </cell>
          <cell r="C6" t="str">
            <v>0016100006544007</v>
          </cell>
        </row>
        <row r="7">
          <cell r="B7" t="str">
            <v>Nguyễn Văn Dũng</v>
          </cell>
          <cell r="C7" t="str">
            <v>0016100006698004</v>
          </cell>
        </row>
        <row r="8">
          <cell r="B8" t="str">
            <v>Đinh Văn Đệ</v>
          </cell>
          <cell r="C8" t="str">
            <v>0016100006699008</v>
          </cell>
        </row>
        <row r="9">
          <cell r="B9" t="str">
            <v>Đinh Hồng Minh</v>
          </cell>
          <cell r="C9" t="str">
            <v>0016100006543008</v>
          </cell>
        </row>
        <row r="10">
          <cell r="B10" t="str">
            <v>Chung Trần Thế Vinh</v>
          </cell>
          <cell r="C10" t="str">
            <v>0016100006787007</v>
          </cell>
        </row>
        <row r="11">
          <cell r="B11" t="str">
            <v>Trần Đình Khải</v>
          </cell>
          <cell r="C11" t="str">
            <v>0016100006761008</v>
          </cell>
        </row>
        <row r="12">
          <cell r="B12" t="str">
            <v>Vũ Đức Pháp</v>
          </cell>
          <cell r="C12" t="str">
            <v>0016100006779004</v>
          </cell>
        </row>
        <row r="13">
          <cell r="B13" t="str">
            <v>Nguyễn Duy Hải</v>
          </cell>
          <cell r="C13" t="str">
            <v>0016100006813008</v>
          </cell>
        </row>
        <row r="14">
          <cell r="B14" t="str">
            <v>Bùi Anh Tuấn</v>
          </cell>
          <cell r="C14" t="str">
            <v>0016100006800003</v>
          </cell>
        </row>
        <row r="15">
          <cell r="B15" t="str">
            <v xml:space="preserve">Nguyễn Hoài Nam </v>
          </cell>
          <cell r="C15" t="str">
            <v>0016100006764007</v>
          </cell>
        </row>
        <row r="16">
          <cell r="B16" t="str">
            <v>Võ Minh Quang</v>
          </cell>
          <cell r="C16" t="str">
            <v>0016100006759003</v>
          </cell>
        </row>
        <row r="17">
          <cell r="B17" t="str">
            <v>Phan Văn Thành</v>
          </cell>
          <cell r="C17" t="str">
            <v>0016100006815008</v>
          </cell>
        </row>
        <row r="18">
          <cell r="B18" t="str">
            <v>Đỗ Thị Phương Khanh</v>
          </cell>
          <cell r="C18" t="str">
            <v>0016100006760001</v>
          </cell>
        </row>
        <row r="19">
          <cell r="B19" t="str">
            <v>Trương Thị Phương Hồng</v>
          </cell>
          <cell r="C19" t="str">
            <v>0016100006763008</v>
          </cell>
        </row>
        <row r="20">
          <cell r="B20" t="str">
            <v>Vũ Quang Khải</v>
          </cell>
          <cell r="C20" t="str">
            <v>0016100006758007</v>
          </cell>
        </row>
        <row r="21">
          <cell r="B21" t="str">
            <v>Phan Thị Xuân Trang</v>
          </cell>
          <cell r="C21" t="str">
            <v>0016100006811005</v>
          </cell>
        </row>
        <row r="22">
          <cell r="B22" t="str">
            <v>Nguyễn Tam Cương</v>
          </cell>
          <cell r="C22" t="str">
            <v>0016100006647008</v>
          </cell>
        </row>
        <row r="23">
          <cell r="B23" t="str">
            <v>Nguyễn Tiến Nhân</v>
          </cell>
          <cell r="C23" t="str">
            <v>0016100006796006</v>
          </cell>
        </row>
        <row r="24">
          <cell r="B24" t="str">
            <v>Dương Minh Chung</v>
          </cell>
          <cell r="C24" t="str">
            <v>0016100006794003</v>
          </cell>
        </row>
        <row r="25">
          <cell r="B25" t="str">
            <v>Trần Thị Hương</v>
          </cell>
          <cell r="C25" t="str">
            <v>0016100006757008</v>
          </cell>
        </row>
        <row r="26">
          <cell r="B26" t="str">
            <v>Lư Thị Yến Vũ</v>
          </cell>
          <cell r="C26" t="str">
            <v>0016100006793007</v>
          </cell>
        </row>
        <row r="27">
          <cell r="B27" t="str">
            <v>Nguyễn Tiến Dũng</v>
          </cell>
          <cell r="C27" t="str">
            <v>0016100006786008</v>
          </cell>
        </row>
        <row r="28">
          <cell r="B28" t="str">
            <v>Nguyễn Ngọc Quỳnh</v>
          </cell>
          <cell r="C28" t="str">
            <v>0016100006808004</v>
          </cell>
        </row>
        <row r="29">
          <cell r="B29" t="str">
            <v>Nguyễn Thành Long</v>
          </cell>
          <cell r="C29" t="str">
            <v>0016100006788003</v>
          </cell>
        </row>
        <row r="30">
          <cell r="B30" t="str">
            <v>Nguyễn Thanh Vũ</v>
          </cell>
          <cell r="C30" t="str">
            <v>0016100006752009</v>
          </cell>
        </row>
        <row r="31">
          <cell r="B31" t="str">
            <v>Dương Thị Hồng</v>
          </cell>
          <cell r="C31" t="str">
            <v>0016100006597003</v>
          </cell>
        </row>
        <row r="32">
          <cell r="B32" t="str">
            <v>Trần Minh Thông</v>
          </cell>
          <cell r="C32" t="str">
            <v>0016100006790008</v>
          </cell>
        </row>
        <row r="33">
          <cell r="B33" t="str">
            <v>Châu Văn Bảo</v>
          </cell>
          <cell r="C33" t="str">
            <v>0016100006674008</v>
          </cell>
        </row>
        <row r="34">
          <cell r="B34" t="str">
            <v>Tạ Minh Cường</v>
          </cell>
          <cell r="C34" t="str">
            <v>0016100006592001</v>
          </cell>
        </row>
        <row r="35">
          <cell r="B35" t="str">
            <v>Huỳnh Ngọc Mai</v>
          </cell>
          <cell r="C35" t="str">
            <v>0016100006617004</v>
          </cell>
        </row>
        <row r="36">
          <cell r="B36" t="str">
            <v>Võ Cường</v>
          </cell>
          <cell r="C36" t="str">
            <v>0016100006611006</v>
          </cell>
        </row>
        <row r="37">
          <cell r="B37" t="str">
            <v>Quách Minh Thử</v>
          </cell>
          <cell r="C37" t="str">
            <v>0016100006528001</v>
          </cell>
        </row>
        <row r="38">
          <cell r="B38" t="str">
            <v>Nguyễn Thùy Dương</v>
          </cell>
          <cell r="C38" t="str">
            <v>0016100006640006</v>
          </cell>
        </row>
        <row r="39">
          <cell r="B39" t="str">
            <v>Nguyễn Hồng Đức</v>
          </cell>
          <cell r="C39" t="str">
            <v>0016100006644001</v>
          </cell>
        </row>
        <row r="40">
          <cell r="B40" t="str">
            <v>Trần Công Tiến</v>
          </cell>
          <cell r="C40" t="str">
            <v>0016100006531002</v>
          </cell>
        </row>
        <row r="41">
          <cell r="B41" t="str">
            <v>Nguyễn Minh Đức</v>
          </cell>
          <cell r="C41" t="str">
            <v>0016100006585005</v>
          </cell>
        </row>
        <row r="42">
          <cell r="B42" t="str">
            <v>Nguyễn Minh Đức</v>
          </cell>
          <cell r="C42" t="str">
            <v>0016100006590009</v>
          </cell>
        </row>
        <row r="43">
          <cell r="B43" t="str">
            <v>Nguyễn Văn Yên</v>
          </cell>
          <cell r="C43" t="str">
            <v>0016100006530006</v>
          </cell>
        </row>
        <row r="44">
          <cell r="B44" t="str">
            <v>Nguyễn Thanh Vĩnh Phúc</v>
          </cell>
          <cell r="C44" t="str">
            <v>0016100006814004</v>
          </cell>
        </row>
        <row r="45">
          <cell r="B45" t="str">
            <v>Ngô Hoàng Anh</v>
          </cell>
          <cell r="C45" t="str">
            <v>0016100006593008</v>
          </cell>
        </row>
        <row r="46">
          <cell r="B46" t="str">
            <v>Nguyễn Anh Tăng</v>
          </cell>
          <cell r="C46" t="str">
            <v>0016100006504005</v>
          </cell>
        </row>
        <row r="47">
          <cell r="B47" t="str">
            <v>Nguyễn Thị Ngọc Hiền</v>
          </cell>
          <cell r="C47" t="str">
            <v>0016100006641002</v>
          </cell>
        </row>
        <row r="48">
          <cell r="B48" t="str">
            <v>Nguyễn Trần Thanh Nhàn</v>
          </cell>
          <cell r="C48" t="str">
            <v>0016100006582006</v>
          </cell>
        </row>
        <row r="49">
          <cell r="B49" t="str">
            <v>Tăng Cẩm Huê</v>
          </cell>
          <cell r="C49" t="str">
            <v>0016100006583002</v>
          </cell>
        </row>
        <row r="50">
          <cell r="B50" t="str">
            <v>Trần Hiếu Trinh</v>
          </cell>
          <cell r="C50" t="str">
            <v>0016100006642009</v>
          </cell>
        </row>
        <row r="51">
          <cell r="B51" t="str">
            <v>Nguyễn Thị Tố Nga</v>
          </cell>
          <cell r="C51" t="str">
            <v>0016100006609001</v>
          </cell>
        </row>
        <row r="52">
          <cell r="B52" t="str">
            <v>Lê Tiến Đạt</v>
          </cell>
          <cell r="C52" t="str">
            <v>0016100006616008</v>
          </cell>
        </row>
        <row r="53">
          <cell r="B53" t="str">
            <v>Đặng Đức Minh</v>
          </cell>
          <cell r="C53" t="str">
            <v>0016100006503009</v>
          </cell>
        </row>
        <row r="54">
          <cell r="B54" t="str">
            <v>Lê Thế Huân</v>
          </cell>
          <cell r="C54" t="str">
            <v>0016100006596007</v>
          </cell>
        </row>
        <row r="55">
          <cell r="B55" t="str">
            <v>Trần Trung Hiếu</v>
          </cell>
          <cell r="C55" t="str">
            <v>0016100006595008</v>
          </cell>
        </row>
        <row r="56">
          <cell r="B56" t="str">
            <v>Mạnh Lê Hoàn</v>
          </cell>
          <cell r="C56" t="str">
            <v>0016100006529008</v>
          </cell>
        </row>
        <row r="57">
          <cell r="B57" t="str">
            <v>Ngô Phong Cường</v>
          </cell>
          <cell r="C57" t="str">
            <v>0016100006555009</v>
          </cell>
        </row>
        <row r="58">
          <cell r="B58" t="str">
            <v>Bốc Minh Trí</v>
          </cell>
          <cell r="C58" t="str">
            <v>0016100006594004</v>
          </cell>
        </row>
        <row r="59">
          <cell r="B59" t="str">
            <v>Vũ Hạnh Chiêu</v>
          </cell>
          <cell r="C59" t="str">
            <v>0016100006591005</v>
          </cell>
        </row>
        <row r="60">
          <cell r="B60" t="str">
            <v>Nguyễn Thùy Linh</v>
          </cell>
          <cell r="C60" t="str">
            <v>0016100006581007</v>
          </cell>
        </row>
        <row r="61">
          <cell r="B61" t="str">
            <v>Trần Nguyên Bảo Trân</v>
          </cell>
          <cell r="C61" t="str">
            <v>0016100006643005</v>
          </cell>
        </row>
        <row r="62">
          <cell r="B62" t="str">
            <v>Đỗ Huỳnh Thanh Phong</v>
          </cell>
          <cell r="C62" t="str">
            <v>0016100006610007</v>
          </cell>
        </row>
        <row r="63">
          <cell r="B63" t="str">
            <v>Nguyễn Minh Đức Cường</v>
          </cell>
          <cell r="C63" t="str">
            <v>0016100006584009</v>
          </cell>
        </row>
        <row r="64">
          <cell r="B64" t="str">
            <v>Nguyễn Anh Tuấn</v>
          </cell>
          <cell r="C64" t="str">
            <v>0016100006823003</v>
          </cell>
        </row>
        <row r="65">
          <cell r="B65" t="str">
            <v>Võ Đắc Thịnh</v>
          </cell>
          <cell r="C65" t="str">
            <v>0016100006694009</v>
          </cell>
        </row>
        <row r="66">
          <cell r="B66" t="str">
            <v>Phan Anh Tuấn Kiệt</v>
          </cell>
          <cell r="C66" t="str">
            <v>0016100006634006</v>
          </cell>
        </row>
        <row r="67">
          <cell r="B67" t="str">
            <v>Nguyễn Hữu Mạnh</v>
          </cell>
          <cell r="C67" t="str">
            <v>0016100006632003</v>
          </cell>
        </row>
        <row r="68">
          <cell r="B68" t="str">
            <v>Đặng Thái Sơn</v>
          </cell>
          <cell r="C68" t="str">
            <v>0016100006744006</v>
          </cell>
        </row>
        <row r="69">
          <cell r="B69" t="str">
            <v>Nguyễn Phụ Thượng Lưu</v>
          </cell>
          <cell r="C69" t="str">
            <v>đang xin nghỉ</v>
          </cell>
        </row>
        <row r="70">
          <cell r="B70" t="str">
            <v>Triệu Phú Nguyên</v>
          </cell>
          <cell r="C70" t="str">
            <v>0016100006740008</v>
          </cell>
        </row>
        <row r="71">
          <cell r="B71" t="str">
            <v>Trần Minh Tuấn</v>
          </cell>
          <cell r="C71" t="str">
            <v>0016100006693002</v>
          </cell>
        </row>
        <row r="72">
          <cell r="B72" t="str">
            <v>Nguyễn Thái Bình</v>
          </cell>
          <cell r="C72" t="str">
            <v>0016100006695005</v>
          </cell>
        </row>
        <row r="73">
          <cell r="B73" t="str">
            <v>Nguyễn Thành Đức</v>
          </cell>
          <cell r="C73" t="str">
            <v>0016100006743007</v>
          </cell>
        </row>
        <row r="74">
          <cell r="B74" t="str">
            <v>Nguyễn Minh Thái</v>
          </cell>
          <cell r="C74" t="str">
            <v>0016100006742003</v>
          </cell>
        </row>
        <row r="75">
          <cell r="B75" t="str">
            <v>Kiều Trung Tín</v>
          </cell>
          <cell r="C75" t="str">
            <v>'0016100006821008</v>
          </cell>
        </row>
        <row r="76">
          <cell r="B76" t="str">
            <v>Trần Quốc Duy</v>
          </cell>
          <cell r="C76" t="str">
            <v>0016100006741007</v>
          </cell>
        </row>
        <row r="77">
          <cell r="B77" t="str">
            <v>Hà Quốc Bảo</v>
          </cell>
          <cell r="C77" t="str">
            <v>0016100006696001</v>
          </cell>
        </row>
        <row r="78">
          <cell r="B78" t="str">
            <v>Hoàng Phúc Bảo</v>
          </cell>
          <cell r="C78" t="str">
            <v>0016100006559004</v>
          </cell>
        </row>
        <row r="79">
          <cell r="B79" t="str">
            <v>Hồ Văn Hóa</v>
          </cell>
          <cell r="C79" t="str">
            <v>0016100006577002</v>
          </cell>
        </row>
        <row r="80">
          <cell r="B80" t="str">
            <v>Nguyễn Thanh Hùng</v>
          </cell>
          <cell r="C80" t="str">
            <v>0016100006697008</v>
          </cell>
        </row>
        <row r="81">
          <cell r="B81" t="str">
            <v>Phạm Nguyễn Đức Trung</v>
          </cell>
          <cell r="C81" t="str">
            <v>0016100006739002</v>
          </cell>
        </row>
        <row r="82">
          <cell r="B82" t="str">
            <v>Trương Việt Khánh Trang</v>
          </cell>
          <cell r="C82" t="str">
            <v>0016100006832002</v>
          </cell>
        </row>
        <row r="83">
          <cell r="B83" t="str">
            <v>Phạm Thị Thanh Thúy</v>
          </cell>
          <cell r="C83" t="str">
            <v>0016100006574003</v>
          </cell>
        </row>
        <row r="84">
          <cell r="B84" t="str">
            <v>Lâm Thị Phương Thùy</v>
          </cell>
          <cell r="C84" t="str">
            <v>0016100006547006</v>
          </cell>
        </row>
        <row r="85">
          <cell r="B85" t="str">
            <v>Nguyễn Bạch Cẩm Dung</v>
          </cell>
          <cell r="C85" t="str">
            <v>0016100006571004</v>
          </cell>
        </row>
        <row r="86">
          <cell r="B86" t="str">
            <v>Nguyễn Ngọc Thọ</v>
          </cell>
          <cell r="C86" t="str">
            <v>0016100006630008</v>
          </cell>
        </row>
        <row r="87">
          <cell r="B87" t="str">
            <v>Bùi Thị Ngọc Sương</v>
          </cell>
          <cell r="C87" t="str">
            <v>0016100006572008</v>
          </cell>
        </row>
        <row r="88">
          <cell r="B88" t="str">
            <v>Nguyễn Thị Hiền</v>
          </cell>
          <cell r="C88" t="str">
            <v>0016100006631007</v>
          </cell>
        </row>
        <row r="89">
          <cell r="B89" t="str">
            <v>Chế Vân Cầm</v>
          </cell>
          <cell r="C89" t="str">
            <v>0016100006573007</v>
          </cell>
        </row>
        <row r="90">
          <cell r="B90" t="str">
            <v>Trần Hồng Thảo</v>
          </cell>
          <cell r="C90" t="str">
            <v>0016100006570008</v>
          </cell>
        </row>
        <row r="91">
          <cell r="B91" t="str">
            <v>Đinh Đồng Hiệp</v>
          </cell>
          <cell r="C91" t="str">
            <v>0016100006587008</v>
          </cell>
        </row>
        <row r="92">
          <cell r="B92" t="str">
            <v>Đặng Thế Huân</v>
          </cell>
          <cell r="C92" t="str">
            <v>0016100006532009</v>
          </cell>
        </row>
        <row r="93">
          <cell r="B93" t="str">
            <v>Võ Anh Hào</v>
          </cell>
          <cell r="C93" t="str">
            <v>0016100006812001</v>
          </cell>
        </row>
        <row r="94">
          <cell r="B94" t="str">
            <v>Võ Phước Quang</v>
          </cell>
          <cell r="C94" t="str">
            <v>0016100006533005</v>
          </cell>
        </row>
        <row r="95">
          <cell r="B95" t="str">
            <v>Nguyễn Vũ Xuân Thì</v>
          </cell>
          <cell r="C95" t="str">
            <v>0016100006586001</v>
          </cell>
        </row>
        <row r="96">
          <cell r="B96" t="str">
            <v>Đỗ Trọng Quý</v>
          </cell>
          <cell r="C96" t="str">
            <v>0016100006556005</v>
          </cell>
        </row>
        <row r="97">
          <cell r="B97" t="str">
            <v>Phan Văn Hòa</v>
          </cell>
          <cell r="C97" t="str">
            <v>0016100006534001</v>
          </cell>
        </row>
        <row r="98">
          <cell r="B98" t="str">
            <v>Trần Đình Khoa</v>
          </cell>
          <cell r="C98" t="str">
            <v>0016100006557001</v>
          </cell>
        </row>
        <row r="99">
          <cell r="B99" t="str">
            <v>Hoàng Văn Viết</v>
          </cell>
          <cell r="C99" t="str">
            <v>0016100006558008</v>
          </cell>
        </row>
        <row r="100">
          <cell r="B100" t="str">
            <v>Nguyễn Ngọc Trí</v>
          </cell>
          <cell r="C100" t="str">
            <v>0016100006867008</v>
          </cell>
        </row>
        <row r="101">
          <cell r="B101" t="str">
            <v>Nguyễn Văn Minh</v>
          </cell>
          <cell r="C101" t="str">
            <v>0016100006508008</v>
          </cell>
        </row>
        <row r="102">
          <cell r="B102" t="str">
            <v>Nguyễn Vân Giang</v>
          </cell>
          <cell r="C102" t="str">
            <v>0016100006510005</v>
          </cell>
        </row>
        <row r="103">
          <cell r="B103" t="str">
            <v>Nguyễn Khoa</v>
          </cell>
          <cell r="C103" t="str">
            <v>0016100006509007</v>
          </cell>
        </row>
        <row r="104">
          <cell r="B104" t="str">
            <v>Vũ Thị Thái Linh</v>
          </cell>
          <cell r="C104" t="str">
            <v>0016100006738006</v>
          </cell>
        </row>
        <row r="105">
          <cell r="B105" t="str">
            <v>Trần Việt Khánh</v>
          </cell>
          <cell r="C105" t="str">
            <v>0016100006626003</v>
          </cell>
        </row>
        <row r="106">
          <cell r="B106" t="str">
            <v>Nguyễn Văn Đôn</v>
          </cell>
          <cell r="C106" t="str">
            <v>0016100006750006</v>
          </cell>
        </row>
        <row r="107">
          <cell r="B107" t="str">
            <v>Nguyễn Thị Thủy</v>
          </cell>
          <cell r="C107" t="str">
            <v>0016100006673001</v>
          </cell>
        </row>
        <row r="108">
          <cell r="B108" t="str">
            <v>Lê Quý Hưng Quốc</v>
          </cell>
          <cell r="C108" t="str">
            <v>0016100006629002</v>
          </cell>
        </row>
        <row r="109">
          <cell r="B109" t="str">
            <v>Võ Anh Trang</v>
          </cell>
          <cell r="C109" t="str">
            <v>0016100006627007</v>
          </cell>
        </row>
        <row r="110">
          <cell r="B110" t="str">
            <v>Nguyễn Nguyên Hoàng Ngọc Quyên</v>
          </cell>
          <cell r="C110" t="str">
            <v>0016100006612002</v>
          </cell>
        </row>
        <row r="111">
          <cell r="B111" t="str">
            <v>Lê Tất Đạt</v>
          </cell>
          <cell r="C111" t="str">
            <v>0016100006748001</v>
          </cell>
        </row>
        <row r="112">
          <cell r="B112" t="str">
            <v>Nguyễn Cao Phong</v>
          </cell>
          <cell r="C112" t="str">
            <v>0016100006774002</v>
          </cell>
        </row>
        <row r="113">
          <cell r="B113" t="str">
            <v>Dương Ngọc Vọng</v>
          </cell>
          <cell r="C113" t="str">
            <v>0016100006749008</v>
          </cell>
        </row>
        <row r="114">
          <cell r="B114" t="str">
            <v>Trần Vĩnh Xuyên</v>
          </cell>
          <cell r="C114" t="str">
            <v>0008100002629007</v>
          </cell>
        </row>
        <row r="115">
          <cell r="B115" t="str">
            <v>Nguyễn Thị Thu Hồng</v>
          </cell>
          <cell r="C115" t="str">
            <v>0016100006507004</v>
          </cell>
        </row>
        <row r="116">
          <cell r="B116" t="str">
            <v>Lê Phi Trường</v>
          </cell>
          <cell r="C116" t="str">
            <v>0016100006751002</v>
          </cell>
        </row>
        <row r="117">
          <cell r="B117" t="str">
            <v>Lê Hồng Thái</v>
          </cell>
          <cell r="C117" t="str">
            <v>0016100006795007</v>
          </cell>
        </row>
        <row r="118">
          <cell r="B118" t="str">
            <v>Đặng Ngọc Đoàn</v>
          </cell>
          <cell r="C118" t="str">
            <v>0016100006797002</v>
          </cell>
        </row>
        <row r="119">
          <cell r="B119" t="str">
            <v>Nguyễn Thị Khánh Thư</v>
          </cell>
          <cell r="C119" t="str">
            <v>0016100006809008</v>
          </cell>
        </row>
        <row r="120">
          <cell r="B120" t="str">
            <v>Bùi Văn Dũng</v>
          </cell>
          <cell r="C120" t="str">
            <v>0016100006816007</v>
          </cell>
        </row>
        <row r="121">
          <cell r="B121" t="str">
            <v>Đỗ Thị Hải Yến</v>
          </cell>
          <cell r="C121" t="str">
            <v>0016100006798009</v>
          </cell>
        </row>
        <row r="122">
          <cell r="B122" t="str">
            <v>Nguyễn Văn Danh</v>
          </cell>
          <cell r="C122" t="str">
            <v>0016100006628006</v>
          </cell>
        </row>
        <row r="123">
          <cell r="B123" t="str">
            <v>Mai Chiếm Tuấn</v>
          </cell>
          <cell r="C123" t="str">
            <v>0016100006762004</v>
          </cell>
        </row>
        <row r="124">
          <cell r="B124" t="str">
            <v>Nguyễn Sanh Cường</v>
          </cell>
          <cell r="C124" t="str">
            <v>0016100006791004</v>
          </cell>
        </row>
        <row r="125">
          <cell r="B125" t="str">
            <v>Nguyễn Ngọc Tuyên</v>
          </cell>
          <cell r="C125" t="str">
            <v>0016100006747005</v>
          </cell>
        </row>
        <row r="126">
          <cell r="B126" t="str">
            <v>Nguyễn Duy Đạt</v>
          </cell>
          <cell r="C126" t="str">
            <v>0016100006737007</v>
          </cell>
        </row>
        <row r="127">
          <cell r="B127" t="str">
            <v>Trần Kim Thu Liễu</v>
          </cell>
          <cell r="C127" t="str">
            <v>0016100006773006</v>
          </cell>
        </row>
        <row r="128">
          <cell r="B128" t="str">
            <v>Nguyễn Thị Huyền Nga</v>
          </cell>
          <cell r="C128" t="str">
            <v>0016100006615001</v>
          </cell>
        </row>
        <row r="129">
          <cell r="B129" t="str">
            <v>Phạm Thị Thu Nga</v>
          </cell>
          <cell r="C129" t="str">
            <v>0016100006810009</v>
          </cell>
        </row>
        <row r="130">
          <cell r="B130" t="str">
            <v>Lê Thái Hùng</v>
          </cell>
          <cell r="C130" t="str">
            <v>0016100006619007</v>
          </cell>
        </row>
        <row r="131">
          <cell r="B131" t="str">
            <v>Ngô Thanh Điền</v>
          </cell>
          <cell r="C131" t="str">
            <v>0016100006684003</v>
          </cell>
        </row>
        <row r="132">
          <cell r="B132" t="str">
            <v>Nguyễn Đức Thắng</v>
          </cell>
          <cell r="C132" t="str">
            <v>0016100006613009</v>
          </cell>
        </row>
        <row r="133">
          <cell r="B133" t="str">
            <v>Trương Thị Minh Hà</v>
          </cell>
          <cell r="C133" t="str">
            <v>nghỉ</v>
          </cell>
        </row>
        <row r="134">
          <cell r="B134" t="str">
            <v>Cao Thị Nga</v>
          </cell>
          <cell r="C134" t="str">
            <v>0016100006734008</v>
          </cell>
        </row>
        <row r="135">
          <cell r="B135" t="str">
            <v>Nguyễn Thanh Tú</v>
          </cell>
          <cell r="C135" t="str">
            <v>0016100006622008</v>
          </cell>
        </row>
        <row r="136">
          <cell r="B136" t="str">
            <v>Nguyễn Thị Cẩm Thạch</v>
          </cell>
          <cell r="C136" t="str">
            <v>0016100006753005</v>
          </cell>
        </row>
        <row r="137">
          <cell r="B137" t="str">
            <v>Võ Thị Hồng Lan</v>
          </cell>
          <cell r="C137" t="str">
            <v>0016100006704004</v>
          </cell>
        </row>
        <row r="138">
          <cell r="B138" t="str">
            <v>Nguyễn Văn Đông</v>
          </cell>
          <cell r="C138" t="str">
            <v>0016100006688009</v>
          </cell>
        </row>
        <row r="139">
          <cell r="B139" t="str">
            <v>Nguyễn Thị Bảo Trân</v>
          </cell>
          <cell r="C139" t="str">
            <v>0016100006801007</v>
          </cell>
        </row>
        <row r="140">
          <cell r="B140" t="str">
            <v>Đặng Thị Kiến Trúc</v>
          </cell>
          <cell r="C140" t="str">
            <v>0016100006620005</v>
          </cell>
        </row>
        <row r="141">
          <cell r="B141" t="str">
            <v>Vương Thanh Thủy</v>
          </cell>
          <cell r="C141" t="str">
            <v>0016100006735007</v>
          </cell>
        </row>
        <row r="142">
          <cell r="B142" t="str">
            <v>Nguyễn Thị Thu Tâm</v>
          </cell>
          <cell r="C142" t="str">
            <v>0016100006618008</v>
          </cell>
        </row>
        <row r="143">
          <cell r="B143" t="str">
            <v>Nguyễn Phú Tân</v>
          </cell>
          <cell r="C143" t="str">
            <v>0016100006701005</v>
          </cell>
        </row>
        <row r="144">
          <cell r="B144" t="str">
            <v>Nguyễn Huỳnh Mai Hạnh</v>
          </cell>
          <cell r="C144" t="str">
            <v>0016100006754001</v>
          </cell>
        </row>
        <row r="145">
          <cell r="B145" t="str">
            <v>Nguyễn Phương Hà</v>
          </cell>
          <cell r="C145" t="str">
            <v>0016100006775009</v>
          </cell>
        </row>
        <row r="146">
          <cell r="B146" t="str">
            <v>Trịnh Khắc Vũ</v>
          </cell>
          <cell r="C146" t="str">
            <v>0016100006625007</v>
          </cell>
        </row>
        <row r="147">
          <cell r="B147" t="str">
            <v>Trần Thị Ánh Tuyết</v>
          </cell>
          <cell r="C147" t="str">
            <v>0016100006623004</v>
          </cell>
        </row>
        <row r="148">
          <cell r="B148" t="str">
            <v>Nguyễn Mạnh Phương</v>
          </cell>
          <cell r="C148" t="str">
            <v>0016100006624008</v>
          </cell>
        </row>
        <row r="149">
          <cell r="B149" t="str">
            <v>Lê Văn Bình</v>
          </cell>
          <cell r="C149" t="str">
            <v>0016100006772007</v>
          </cell>
        </row>
        <row r="150">
          <cell r="B150" t="str">
            <v>Giang Phi Hùng</v>
          </cell>
          <cell r="C150" t="str">
            <v>0016100006686006</v>
          </cell>
        </row>
        <row r="151">
          <cell r="B151" t="str">
            <v>Lê Nguyễn Mỹ Trâm</v>
          </cell>
          <cell r="C151" t="str">
            <v>0016100006789007</v>
          </cell>
        </row>
        <row r="152">
          <cell r="B152" t="str">
            <v>Hà Như Mai</v>
          </cell>
          <cell r="C152" t="str">
            <v>0016100006732008</v>
          </cell>
        </row>
        <row r="153">
          <cell r="B153" t="str">
            <v>Nguyễn Thị Thanh Tú</v>
          </cell>
          <cell r="C153" t="str">
            <v>0016100006621001</v>
          </cell>
        </row>
        <row r="154">
          <cell r="B154" t="str">
            <v>Nguyễn Thị Thủy</v>
          </cell>
          <cell r="C154" t="str">
            <v>0016100006756004</v>
          </cell>
        </row>
        <row r="155">
          <cell r="B155" t="str">
            <v>Đinh Trần Phương Thảo</v>
          </cell>
          <cell r="C155" t="str">
            <v>0016100006687002</v>
          </cell>
        </row>
        <row r="156">
          <cell r="B156" t="str">
            <v>Nguyễn Thị Thu Hà</v>
          </cell>
          <cell r="C156" t="str">
            <v>0016100006683007</v>
          </cell>
        </row>
        <row r="157">
          <cell r="B157" t="str">
            <v>Phạm Thị Thu Hiền</v>
          </cell>
          <cell r="C157" t="str">
            <v>0016100006702001</v>
          </cell>
        </row>
        <row r="158">
          <cell r="B158" t="str">
            <v>Trần Thanh Trúc</v>
          </cell>
          <cell r="C158" t="str">
            <v>0016100006589008</v>
          </cell>
        </row>
        <row r="159">
          <cell r="B159" t="str">
            <v>Dương Đức Kiên</v>
          </cell>
          <cell r="C159" t="str">
            <v>0016100006700009</v>
          </cell>
        </row>
        <row r="160">
          <cell r="B160" t="str">
            <v>Nguyễn Văn Hậu</v>
          </cell>
          <cell r="C160" t="str">
            <v>0016100006722002</v>
          </cell>
        </row>
        <row r="161">
          <cell r="B161" t="str">
            <v>Nguyễn Trọng Nghĩa</v>
          </cell>
          <cell r="C161" t="str">
            <v>0016100006639008</v>
          </cell>
        </row>
        <row r="162">
          <cell r="B162" t="str">
            <v>Trịnh Hoàng Hiệp</v>
          </cell>
          <cell r="C162" t="str">
            <v>0016100006608005</v>
          </cell>
        </row>
        <row r="163">
          <cell r="B163" t="str">
            <v>Lưu Thị Thúy</v>
          </cell>
          <cell r="C163" t="str">
            <v>0016100006605006</v>
          </cell>
        </row>
        <row r="164">
          <cell r="B164" t="str">
            <v>Phạm Quỳnh Như</v>
          </cell>
          <cell r="C164" t="str">
            <v>0016100006603003</v>
          </cell>
        </row>
        <row r="165">
          <cell r="B165" t="str">
            <v>Lê Xuân Thủy</v>
          </cell>
          <cell r="C165" t="str">
            <v>0016100006607009</v>
          </cell>
        </row>
        <row r="166">
          <cell r="B166" t="str">
            <v>Phạm Thị Gia Tâm</v>
          </cell>
          <cell r="C166" t="str">
            <v>0016100006636009</v>
          </cell>
        </row>
        <row r="167">
          <cell r="B167" t="str">
            <v>Lê Thị Thu Thảo</v>
          </cell>
          <cell r="C167" t="str">
            <v>0016100006606002</v>
          </cell>
        </row>
        <row r="168">
          <cell r="B168" t="str">
            <v>Đào Anh Tuấn</v>
          </cell>
          <cell r="C168" t="str">
            <v>0016100006601008</v>
          </cell>
        </row>
        <row r="169">
          <cell r="B169" t="str">
            <v>Lữ Xuân Trang</v>
          </cell>
          <cell r="C169" t="str">
            <v>0016100006604007</v>
          </cell>
        </row>
        <row r="170">
          <cell r="B170" t="str">
            <v>Bùi Ánh Tuyết</v>
          </cell>
          <cell r="C170" t="str">
            <v>0016100006554002</v>
          </cell>
        </row>
        <row r="171">
          <cell r="B171" t="str">
            <v>Võ Thị Kim Thư</v>
          </cell>
          <cell r="C171" t="str">
            <v>0016100006637005</v>
          </cell>
        </row>
        <row r="172">
          <cell r="B172" t="str">
            <v>Phan Thị Huyền Trang</v>
          </cell>
          <cell r="C172" t="str">
            <v>đã nghỉ</v>
          </cell>
        </row>
        <row r="173">
          <cell r="B173" t="str">
            <v>Trần Thị Ngọc Dung</v>
          </cell>
          <cell r="C173" t="str">
            <v>0016100006602007</v>
          </cell>
        </row>
        <row r="174">
          <cell r="B174" t="str">
            <v>Nguyễn Mỹ Tiên</v>
          </cell>
          <cell r="C174" t="str">
            <v>0016100006638001</v>
          </cell>
        </row>
        <row r="175">
          <cell r="B175" t="str">
            <v>Nguyễn Ngọc Quỳnh</v>
          </cell>
          <cell r="C175" t="str">
            <v>0016100006730005</v>
          </cell>
        </row>
        <row r="176">
          <cell r="B176" t="str">
            <v>Lê Thị Hồng Vân</v>
          </cell>
          <cell r="C176" t="str">
            <v>0016100006777001</v>
          </cell>
        </row>
        <row r="177">
          <cell r="B177" t="str">
            <v>Đặng Thị Nhật Minh</v>
          </cell>
          <cell r="C177" t="str">
            <v>0016100006728008</v>
          </cell>
        </row>
        <row r="178">
          <cell r="B178" t="str">
            <v>Phan Thị Thùy Trang</v>
          </cell>
          <cell r="C178" t="str">
            <v>0016100006726008</v>
          </cell>
        </row>
        <row r="179">
          <cell r="B179" t="str">
            <v>Đinh Thị Huyên</v>
          </cell>
          <cell r="C179" t="str">
            <v>0016100006727004</v>
          </cell>
        </row>
        <row r="180">
          <cell r="B180" t="str">
            <v>Đỗ Thị Ngát</v>
          </cell>
          <cell r="C180" t="str">
            <v>0016100006778008</v>
          </cell>
        </row>
        <row r="181">
          <cell r="B181" t="str">
            <v>Nguyễn Anh Kiệt</v>
          </cell>
          <cell r="C181" t="str">
            <v>0016100006588004</v>
          </cell>
        </row>
        <row r="182">
          <cell r="B182" t="str">
            <v>Nguyễn Thị Dinh</v>
          </cell>
          <cell r="C182" t="str">
            <v>0016100006731001</v>
          </cell>
        </row>
        <row r="183">
          <cell r="B183" t="str">
            <v>Trần Thị Hồng Thu</v>
          </cell>
          <cell r="C183" t="str">
            <v>0016100006109009</v>
          </cell>
        </row>
        <row r="184">
          <cell r="B184" t="str">
            <v>Phạm Thị Vinh</v>
          </cell>
          <cell r="C184" t="str">
            <v>0016100006578009</v>
          </cell>
        </row>
        <row r="185">
          <cell r="B185" t="str">
            <v>Cao Thị Hồng Thắm</v>
          </cell>
          <cell r="C185" t="str">
            <v>0016100006645008</v>
          </cell>
        </row>
        <row r="186">
          <cell r="B186" t="str">
            <v>Lê Thị Mai Hường</v>
          </cell>
          <cell r="C186" t="str">
            <v>0016100006579005</v>
          </cell>
        </row>
        <row r="187">
          <cell r="B187" t="str">
            <v>Bùi Thành Dũng</v>
          </cell>
          <cell r="C187" t="str">
            <v>0016100006729007</v>
          </cell>
        </row>
        <row r="188">
          <cell r="B188" t="str">
            <v>Đỗ Thị Thơm</v>
          </cell>
          <cell r="C188" t="str">
            <v>0016100005288007</v>
          </cell>
        </row>
        <row r="189">
          <cell r="B189" t="str">
            <v>Hoàng Thị Trang</v>
          </cell>
          <cell r="C189" t="str">
            <v>0016100006646004</v>
          </cell>
        </row>
        <row r="190">
          <cell r="B190" t="str">
            <v>Trần Văn Lượng</v>
          </cell>
          <cell r="C190" t="str">
            <v>'0016100006822007</v>
          </cell>
        </row>
        <row r="191">
          <cell r="B191" t="str">
            <v>Hoàng Ngọc Cảnh</v>
          </cell>
          <cell r="C191" t="str">
            <v>0016100006780002</v>
          </cell>
        </row>
        <row r="192">
          <cell r="B192" t="str">
            <v>Hồ Minh Lợi</v>
          </cell>
          <cell r="C192" t="str">
            <v>0016100006781009</v>
          </cell>
        </row>
        <row r="193">
          <cell r="B193" t="str">
            <v>Phan Đức Long</v>
          </cell>
          <cell r="C193" t="str">
            <v>0016100006708007</v>
          </cell>
        </row>
        <row r="194">
          <cell r="B194" t="str">
            <v>Hà Nhật Thanh</v>
          </cell>
          <cell r="C194" t="str">
            <v>0016100006717009</v>
          </cell>
        </row>
        <row r="195">
          <cell r="B195" t="str">
            <v>Nguyễn Ngọc Hiệp</v>
          </cell>
          <cell r="C195" t="str">
            <v>0016100006783001</v>
          </cell>
        </row>
        <row r="196">
          <cell r="B196" t="str">
            <v>Nguyễn Tất Thắng</v>
          </cell>
          <cell r="C196" t="str">
            <v>0016100006715006</v>
          </cell>
        </row>
        <row r="197">
          <cell r="B197" t="str">
            <v>Trần Thị Thu Hà</v>
          </cell>
          <cell r="C197" t="str">
            <v>0016100006711008</v>
          </cell>
        </row>
        <row r="198">
          <cell r="B198" t="str">
            <v>Phạm Thị Lê Chi</v>
          </cell>
          <cell r="C198" t="str">
            <v>0016100006714007</v>
          </cell>
        </row>
        <row r="199">
          <cell r="B199" t="str">
            <v>Võ Thị Tuyết</v>
          </cell>
          <cell r="C199" t="str">
            <v>0016100006713003</v>
          </cell>
        </row>
        <row r="200">
          <cell r="B200" t="str">
            <v>Trần Văn Lý</v>
          </cell>
          <cell r="C200" t="str">
            <v>0016100006718005</v>
          </cell>
        </row>
        <row r="201">
          <cell r="B201" t="str">
            <v>Nguyễn Trung Dũng</v>
          </cell>
          <cell r="C201" t="str">
            <v>0016100006707003</v>
          </cell>
        </row>
        <row r="202">
          <cell r="B202" t="str">
            <v>Lê Thị Nữ</v>
          </cell>
          <cell r="C202" t="str">
            <v>0016100006709006</v>
          </cell>
        </row>
        <row r="203">
          <cell r="B203" t="str">
            <v>Bùi Hiền Lương</v>
          </cell>
          <cell r="C203" t="str">
            <v>0016100006784008</v>
          </cell>
        </row>
        <row r="204">
          <cell r="B204" t="str">
            <v>Bùi Thị Dương</v>
          </cell>
          <cell r="C204" t="str">
            <v>0016100006716002</v>
          </cell>
        </row>
        <row r="205">
          <cell r="B205" t="str">
            <v>Trịnh Tuấn Vũ</v>
          </cell>
          <cell r="C205" t="str">
            <v>0016100006712007</v>
          </cell>
        </row>
        <row r="206">
          <cell r="B206" t="str">
            <v>Nguyễn Thị Kim Anh</v>
          </cell>
          <cell r="C206" t="str">
            <v>0016100006719001</v>
          </cell>
        </row>
        <row r="207">
          <cell r="B207" t="str">
            <v>Huỳnh Văn Hiếu</v>
          </cell>
          <cell r="C207" t="str">
            <v>0016100006710004</v>
          </cell>
        </row>
        <row r="208">
          <cell r="B208" t="str">
            <v>Lê Thị Hà Giang</v>
          </cell>
          <cell r="C208" t="str">
            <v>0016100006720007</v>
          </cell>
        </row>
        <row r="209">
          <cell r="B209" t="str">
            <v>Nguyễn Thị Nhung</v>
          </cell>
          <cell r="C209" t="str">
            <v>0016100006782005</v>
          </cell>
        </row>
        <row r="210">
          <cell r="B210" t="str">
            <v>Bùi Đức Phước</v>
          </cell>
          <cell r="C210" t="str">
            <v>0016100006580003</v>
          </cell>
        </row>
        <row r="211">
          <cell r="B211" t="str">
            <v>Nguyễn Kính</v>
          </cell>
          <cell r="C211" t="str">
            <v>0016100006705008</v>
          </cell>
        </row>
        <row r="212">
          <cell r="B212" t="str">
            <v>Nguyễn Thị Kim Dung</v>
          </cell>
          <cell r="C212" t="str">
            <v>0016100006682008</v>
          </cell>
        </row>
        <row r="213">
          <cell r="B213" t="str">
            <v>Trần Thị Minh Thoa</v>
          </cell>
          <cell r="C213" t="str">
            <v>0016100006515007</v>
          </cell>
        </row>
        <row r="214">
          <cell r="B214" t="str">
            <v>Đỗ Thị Ngọc</v>
          </cell>
          <cell r="C214" t="str">
            <v>0016100006513004</v>
          </cell>
        </row>
        <row r="215">
          <cell r="B215" t="str">
            <v>Phạm Ngọc Long</v>
          </cell>
          <cell r="C215" t="str">
            <v>đã nghỉ</v>
          </cell>
        </row>
        <row r="216">
          <cell r="B216" t="str">
            <v>Lê Hửu Nhân</v>
          </cell>
          <cell r="C216" t="str">
            <v>0016100006517007</v>
          </cell>
        </row>
        <row r="217">
          <cell r="B217" t="str">
            <v>Phạm Lê Đông Hưng</v>
          </cell>
          <cell r="C217" t="str">
            <v>0016100006514008</v>
          </cell>
        </row>
        <row r="218">
          <cell r="B218" t="str">
            <v>Nguyễn Thị Hồng Thắm</v>
          </cell>
          <cell r="C218" t="str">
            <v>0016100006681004</v>
          </cell>
        </row>
        <row r="219">
          <cell r="B219" t="str">
            <v>Hồng Mộng Tuyết Dung</v>
          </cell>
          <cell r="C219" t="str">
            <v>0016100006512008</v>
          </cell>
        </row>
        <row r="220">
          <cell r="B220" t="str">
            <v>Trần Thị Thảo Vân</v>
          </cell>
          <cell r="C220" t="str">
            <v>0016100006506008</v>
          </cell>
        </row>
        <row r="221">
          <cell r="B221" t="str">
            <v>Nguyễn Thị Minh Thùy</v>
          </cell>
          <cell r="C221" t="str">
            <v>0016100006516003</v>
          </cell>
        </row>
        <row r="222">
          <cell r="B222" t="str">
            <v>Hà Phước Tuấn</v>
          </cell>
          <cell r="C222" t="str">
            <v>0016100006736003</v>
          </cell>
        </row>
        <row r="223">
          <cell r="B223" t="str">
            <v>Võ Thị Anh Đào</v>
          </cell>
          <cell r="C223" t="str">
            <v>0016100006776005</v>
          </cell>
        </row>
        <row r="224">
          <cell r="B224" t="str">
            <v>Nguyễn Chí Nhân</v>
          </cell>
          <cell r="C224" t="str">
            <v>0016100006689005</v>
          </cell>
        </row>
        <row r="225">
          <cell r="B225" t="str">
            <v>Nguyễn Thanh Sơn</v>
          </cell>
          <cell r="C225" t="str">
            <v>0016100006721006</v>
          </cell>
        </row>
        <row r="226">
          <cell r="B226" t="str">
            <v>Nguyễn Văn Sơn</v>
          </cell>
          <cell r="C226" t="str">
            <v>0016100006614005</v>
          </cell>
        </row>
        <row r="227">
          <cell r="B227" t="str">
            <v>Lương Minh Dũng</v>
          </cell>
          <cell r="C227" t="str">
            <v>0016100006792008</v>
          </cell>
        </row>
        <row r="228">
          <cell r="B228" t="str">
            <v>Nguyễn Thị Tuyết</v>
          </cell>
          <cell r="C228" t="str">
            <v>0016100006733004</v>
          </cell>
        </row>
        <row r="229">
          <cell r="B229" t="str">
            <v>Vũ Thị Thu Thủy</v>
          </cell>
          <cell r="C229" t="str">
            <v>0016100006685007</v>
          </cell>
        </row>
        <row r="230">
          <cell r="B230" t="str">
            <v>Nguyễn Yến Nhi</v>
          </cell>
          <cell r="C230" t="str">
            <v>0016100006703008</v>
          </cell>
        </row>
        <row r="231">
          <cell r="B231" t="str">
            <v>Nguyễn Ngọc Trang</v>
          </cell>
          <cell r="C231" t="str">
            <v>0016100006546007</v>
          </cell>
        </row>
        <row r="232">
          <cell r="B232" t="str">
            <v>Huỳnh Thị Cẩm Hoa</v>
          </cell>
          <cell r="C232" t="str">
            <v>0016100006568003</v>
          </cell>
        </row>
        <row r="233">
          <cell r="B233" t="str">
            <v>Trần Nhật Minh</v>
          </cell>
          <cell r="C233" t="str">
            <v>0016100006569007</v>
          </cell>
        </row>
        <row r="234">
          <cell r="B234" t="str">
            <v>Lê Tiến Dũng</v>
          </cell>
          <cell r="C234" t="str">
            <v>0016100006545003</v>
          </cell>
        </row>
        <row r="235">
          <cell r="B235" t="str">
            <v>Lê Quang Liêm</v>
          </cell>
          <cell r="C235" t="str">
            <v>0016100006806001</v>
          </cell>
        </row>
        <row r="236">
          <cell r="B236" t="str">
            <v>Nguyễn Văn Thành</v>
          </cell>
          <cell r="C236" t="str">
            <v>0016100006495006</v>
          </cell>
        </row>
        <row r="237">
          <cell r="B237" t="str">
            <v>Nguyễn Văn Lâm</v>
          </cell>
          <cell r="C237" t="str">
            <v>0016100006496002</v>
          </cell>
        </row>
        <row r="238">
          <cell r="B238" t="str">
            <v>Nguyễn Trọng Phú</v>
          </cell>
          <cell r="C238" t="str">
            <v>0016100006505001</v>
          </cell>
        </row>
        <row r="239">
          <cell r="B239" t="str">
            <v>Bùi Đặng Hoàng Tuấn</v>
          </cell>
          <cell r="C239" t="str">
            <v>0016100006679007</v>
          </cell>
        </row>
        <row r="240">
          <cell r="B240" t="str">
            <v>Võ Tấn Kiệt</v>
          </cell>
          <cell r="C240" t="str">
            <v>0016100006511001</v>
          </cell>
        </row>
        <row r="241">
          <cell r="B241" t="str">
            <v>Huỳnh Bá Triết</v>
          </cell>
          <cell r="C241" t="str">
            <v>0016100006494007</v>
          </cell>
        </row>
        <row r="242">
          <cell r="B242" t="str">
            <v>Đỗ Văn Trông</v>
          </cell>
          <cell r="C242" t="str">
            <v>0016100006564008</v>
          </cell>
        </row>
        <row r="243">
          <cell r="B243" t="str">
            <v>Giáp Văn Thịnh</v>
          </cell>
          <cell r="C243" t="str">
            <v>0016100006599006</v>
          </cell>
        </row>
        <row r="244">
          <cell r="B244" t="str">
            <v>Vũ Ngọc Quang</v>
          </cell>
          <cell r="C244" t="str">
            <v>0016100006807008</v>
          </cell>
        </row>
        <row r="245">
          <cell r="B245" t="str">
            <v>Dương Thị Thủy</v>
          </cell>
          <cell r="C245" t="str">
            <v>0016100006598007</v>
          </cell>
        </row>
        <row r="246">
          <cell r="B246" t="str">
            <v>Trần Huỳnh Minh Khang</v>
          </cell>
          <cell r="C246" t="str">
            <v>0016100006802006</v>
          </cell>
        </row>
        <row r="247">
          <cell r="B247" t="str">
            <v>Nguyễn Tiến Việt Dũng</v>
          </cell>
          <cell r="C247" t="str">
            <v>0016100006678003</v>
          </cell>
        </row>
        <row r="248">
          <cell r="B248" t="str">
            <v>Lê Hồng Anh Tuấn</v>
          </cell>
          <cell r="C248" t="str">
            <v>0016100006493003</v>
          </cell>
        </row>
        <row r="249">
          <cell r="B249" t="str">
            <v>Giáp Đức Nhận</v>
          </cell>
          <cell r="C249" t="str">
            <v>0016100006675004</v>
          </cell>
        </row>
        <row r="250">
          <cell r="B250" t="str">
            <v>Phạm Thị Lý</v>
          </cell>
          <cell r="C250" t="str">
            <v>0016100006804009</v>
          </cell>
        </row>
        <row r="251">
          <cell r="B251" t="str">
            <v>Trần Thị Kim Loan</v>
          </cell>
          <cell r="C251" t="str">
            <v>0016100006691007</v>
          </cell>
        </row>
        <row r="252">
          <cell r="B252" t="str">
            <v>Thi Thị Phím</v>
          </cell>
          <cell r="C252" t="str">
            <v>0016100006492007</v>
          </cell>
        </row>
        <row r="253">
          <cell r="B253" t="str">
            <v>Trang Thị Minh</v>
          </cell>
          <cell r="C253" t="str">
            <v>0016100006805005</v>
          </cell>
        </row>
        <row r="254">
          <cell r="B254" t="str">
            <v>Mai Thu Hương</v>
          </cell>
          <cell r="C254" t="str">
            <v>0016100006498005</v>
          </cell>
        </row>
        <row r="255">
          <cell r="B255" t="str">
            <v>Trần Thị Thu</v>
          </cell>
          <cell r="C255" t="str">
            <v>0016100006677007</v>
          </cell>
        </row>
        <row r="256">
          <cell r="B256" t="str">
            <v>Huỳnh Thị Thu Hương</v>
          </cell>
          <cell r="C256" t="str">
            <v>0016100006803002</v>
          </cell>
        </row>
        <row r="257">
          <cell r="B257" t="str">
            <v>Nguyễn Thị Vãng</v>
          </cell>
          <cell r="C257" t="str">
            <v>đã nghỉ</v>
          </cell>
        </row>
        <row r="258">
          <cell r="B258" t="str">
            <v>Nguyễn Lê Hồng Điệp</v>
          </cell>
          <cell r="C258" t="str">
            <v>0016100006755008</v>
          </cell>
        </row>
        <row r="259">
          <cell r="B259" t="str">
            <v>Huỳnh Thị Thu Nga</v>
          </cell>
          <cell r="C259" t="str">
            <v>0016100006785004</v>
          </cell>
        </row>
        <row r="260">
          <cell r="B260" t="str">
            <v>Thân Thị Quyết</v>
          </cell>
          <cell r="C260" t="str">
            <v>0016100006676008</v>
          </cell>
        </row>
        <row r="261">
          <cell r="B261" t="str">
            <v>Đỗ Thị Hồng</v>
          </cell>
          <cell r="C261" t="str">
            <v>0016100006497009</v>
          </cell>
        </row>
        <row r="262">
          <cell r="B262" t="str">
            <v>Lê Thị Thiện</v>
          </cell>
          <cell r="C262" t="str">
            <v>0016100006745002</v>
          </cell>
        </row>
        <row r="263">
          <cell r="B263" t="str">
            <v>Đỗ Thị Bích Thủy</v>
          </cell>
          <cell r="C263" t="str">
            <v>0016100006680008</v>
          </cell>
        </row>
        <row r="264">
          <cell r="B264" t="str">
            <v>Trần Thanh Quí</v>
          </cell>
          <cell r="C264" t="str">
            <v>0016100006746009</v>
          </cell>
        </row>
        <row r="265">
          <cell r="B265" t="str">
            <v>Tạ Quốc Tấn</v>
          </cell>
          <cell r="C265" t="str">
            <v>0016100006499001</v>
          </cell>
        </row>
        <row r="266">
          <cell r="B266" t="str">
            <v>Nguyễn Xuân Lợi</v>
          </cell>
          <cell r="C266" t="str">
            <v>0016100006600004</v>
          </cell>
        </row>
        <row r="267">
          <cell r="B267" t="str">
            <v>Ninh Đỗ Hiệp</v>
          </cell>
          <cell r="C267" t="str">
            <v>0016100006690003</v>
          </cell>
        </row>
        <row r="268">
          <cell r="B268" t="str">
            <v>Lâm Viết Dũng</v>
          </cell>
          <cell r="C268" t="str">
            <v>0016100006550007</v>
          </cell>
        </row>
        <row r="269">
          <cell r="B269" t="str">
            <v>Nguyễn Văn Chiến</v>
          </cell>
          <cell r="C269" t="str">
            <v>0016100006548002</v>
          </cell>
        </row>
        <row r="270">
          <cell r="B270" t="str">
            <v>Thân Thị Nhung</v>
          </cell>
          <cell r="C270" t="str">
            <v>0016100006549009</v>
          </cell>
        </row>
        <row r="271">
          <cell r="B271" t="str">
            <v>Huỳnh Thị Xuân Mai</v>
          </cell>
          <cell r="C271" t="str">
            <v>0016100006575007</v>
          </cell>
        </row>
        <row r="272">
          <cell r="B272" t="str">
            <v>Trần Thị Phương Oanh</v>
          </cell>
          <cell r="C272" t="str">
            <v>0016100006576006</v>
          </cell>
        </row>
        <row r="273">
          <cell r="B273" t="str">
            <v>Huỳnh Bá Thành</v>
          </cell>
          <cell r="C273" t="str">
            <v>0016100006667001</v>
          </cell>
        </row>
        <row r="274">
          <cell r="B274" t="str">
            <v>Đồng Anh Tuấn</v>
          </cell>
          <cell r="C274" t="str">
            <v>0016100006671009</v>
          </cell>
        </row>
        <row r="275">
          <cell r="B275" t="str">
            <v>Phan Ngọc Phát</v>
          </cell>
          <cell r="C275" t="str">
            <v>0016100006664002</v>
          </cell>
        </row>
        <row r="276">
          <cell r="B276" t="str">
            <v>Huỳnh Thanh Nhàn</v>
          </cell>
          <cell r="C276" t="str">
            <v>0016100006666005</v>
          </cell>
        </row>
        <row r="277">
          <cell r="B277" t="str">
            <v>Phạm Hữu Thành Phú</v>
          </cell>
          <cell r="C277" t="str">
            <v>0016100006651008</v>
          </cell>
        </row>
        <row r="278">
          <cell r="B278" t="str">
            <v>Lê Hùng Thanh</v>
          </cell>
          <cell r="C278" t="str">
            <v>0016100006672005</v>
          </cell>
        </row>
        <row r="279">
          <cell r="B279" t="str">
            <v>Phan Thị Ngọc Phượng</v>
          </cell>
          <cell r="C279" t="str">
            <v>0016100006635002</v>
          </cell>
        </row>
        <row r="280">
          <cell r="B280" t="str">
            <v>Trần Thị Ánh Phượng</v>
          </cell>
          <cell r="C280" t="str">
            <v>0016100006767006</v>
          </cell>
        </row>
        <row r="281">
          <cell r="B281" t="str">
            <v>Lưu Hoàng Hải Yến</v>
          </cell>
          <cell r="C281" t="str">
            <v>0016100006799005</v>
          </cell>
        </row>
        <row r="282">
          <cell r="B282" t="str">
            <v>Thái Thi My Sa</v>
          </cell>
          <cell r="C282" t="str">
            <v>0016100006768002</v>
          </cell>
        </row>
        <row r="283">
          <cell r="B283" t="str">
            <v>Nguyễn Cao Thắng</v>
          </cell>
          <cell r="C283" t="str">
            <v>0016100006770007</v>
          </cell>
        </row>
        <row r="284">
          <cell r="B284" t="str">
            <v>Lê Xuân Thiện</v>
          </cell>
          <cell r="C284" t="str">
            <v>0016100006766007</v>
          </cell>
        </row>
        <row r="285">
          <cell r="B285" t="str">
            <v>Nguyễn Thành Nam</v>
          </cell>
          <cell r="C285" t="str">
            <v>0016100006648007</v>
          </cell>
        </row>
        <row r="286">
          <cell r="B286" t="str">
            <v>Nguyễn Thị Hoa</v>
          </cell>
          <cell r="C286" t="str">
            <v>0016100006769009</v>
          </cell>
        </row>
        <row r="287">
          <cell r="B287" t="str">
            <v>Phạm Hữu Tấn</v>
          </cell>
          <cell r="C287" t="str">
            <v>0016100006670002</v>
          </cell>
        </row>
        <row r="288">
          <cell r="B288" t="str">
            <v>Nguyễn Thị Bích Liễu</v>
          </cell>
          <cell r="C288" t="str">
            <v>0016100006663006</v>
          </cell>
        </row>
        <row r="289">
          <cell r="B289" t="str">
            <v>Vũ Như Quỳnh</v>
          </cell>
          <cell r="C289" t="str">
            <v>0016100006771003</v>
          </cell>
        </row>
        <row r="290">
          <cell r="B290" t="str">
            <v>Nguyễn Văn Chì</v>
          </cell>
          <cell r="C290" t="str">
            <v>0016100006765003</v>
          </cell>
        </row>
        <row r="291">
          <cell r="B291" t="str">
            <v>Trần Văn Cu Anh</v>
          </cell>
          <cell r="C291" t="str">
            <v>0016100006649003</v>
          </cell>
        </row>
        <row r="292">
          <cell r="B292" t="str">
            <v>Nguyễn Tiến Hưng</v>
          </cell>
          <cell r="C292" t="str">
            <v>0016100006669004</v>
          </cell>
        </row>
        <row r="293">
          <cell r="B293" t="str">
            <v>Hồ Thị Tuyết</v>
          </cell>
          <cell r="C293" t="str">
            <v>0016100006662007</v>
          </cell>
        </row>
        <row r="294">
          <cell r="B294" t="str">
            <v>Nguyễn Hữu Xuân Vũ</v>
          </cell>
          <cell r="C294" t="str">
            <v>0016100006650001</v>
          </cell>
        </row>
        <row r="295">
          <cell r="B295" t="str">
            <v>Lê Hồng Phúc</v>
          </cell>
          <cell r="C295" t="str">
            <v>0016100006668008</v>
          </cell>
        </row>
        <row r="296">
          <cell r="B296" t="str">
            <v>Hồ Văn Sĩ</v>
          </cell>
          <cell r="C296" t="str">
            <v>0016100006538007</v>
          </cell>
        </row>
        <row r="297">
          <cell r="B297" t="str">
            <v>Nguyễn Thị Nhuận</v>
          </cell>
          <cell r="C297" t="str">
            <v>0016100006519002</v>
          </cell>
        </row>
        <row r="298">
          <cell r="B298" t="str">
            <v>Nguyễn Văn Tấn</v>
          </cell>
          <cell r="C298" t="str">
            <v>0016100006537008</v>
          </cell>
        </row>
        <row r="299">
          <cell r="B299" t="str">
            <v>Nguyễn Thị Thùy</v>
          </cell>
          <cell r="C299" t="str">
            <v>0016100006535008</v>
          </cell>
        </row>
        <row r="300">
          <cell r="B300" t="str">
            <v>Võ Thị Xuân Thơ</v>
          </cell>
          <cell r="C300" t="str">
            <v>0016100006527005</v>
          </cell>
        </row>
        <row r="301">
          <cell r="B301" t="str">
            <v>Huỳnh Thị Mai</v>
          </cell>
          <cell r="C301" t="str">
            <v>0016100006539003</v>
          </cell>
        </row>
        <row r="302">
          <cell r="B302" t="str">
            <v>Lương Xuân Thịnh</v>
          </cell>
          <cell r="C302" t="str">
            <v>0016100006540001</v>
          </cell>
        </row>
        <row r="303">
          <cell r="B303" t="str">
            <v>Vương Hội Khánh</v>
          </cell>
          <cell r="C303" t="str">
            <v>0016100006542004</v>
          </cell>
        </row>
        <row r="304">
          <cell r="B304" t="str">
            <v>Võ Thị Lệ Trân</v>
          </cell>
          <cell r="C304" t="str">
            <v>0016100006524006</v>
          </cell>
        </row>
        <row r="305">
          <cell r="B305" t="str">
            <v>Nguyễn Thị Hải Hà</v>
          </cell>
          <cell r="C305" t="str">
            <v>0016100006541008</v>
          </cell>
        </row>
        <row r="306">
          <cell r="B306" t="str">
            <v>Nguyễn Thị Tất</v>
          </cell>
          <cell r="C306" t="str">
            <v>0016100006522003</v>
          </cell>
        </row>
        <row r="307">
          <cell r="B307" t="str">
            <v>Nguyễn Việt Tiến</v>
          </cell>
          <cell r="C307" t="str">
            <v>0016100006523007</v>
          </cell>
        </row>
        <row r="308">
          <cell r="B308" t="str">
            <v>Phạm Huỳnh Kim Ngân</v>
          </cell>
          <cell r="C308" t="str">
            <v>0016100006520008</v>
          </cell>
        </row>
        <row r="309">
          <cell r="B309" t="str">
            <v>Huỳnh Thị Minh Ly</v>
          </cell>
          <cell r="C309" t="str">
            <v>0016100006518006</v>
          </cell>
        </row>
        <row r="310">
          <cell r="B310" t="str">
            <v>Nguyễn Thị Thanh Thảo</v>
          </cell>
          <cell r="C310" t="str">
            <v>0016100006521007</v>
          </cell>
        </row>
        <row r="311">
          <cell r="B311" t="str">
            <v>Giáp Thị Vượng</v>
          </cell>
          <cell r="C311" t="str">
            <v>0016100006526009</v>
          </cell>
        </row>
        <row r="312">
          <cell r="B312" t="str">
            <v>Võ Minh Phương</v>
          </cell>
          <cell r="C312" t="str">
            <v>0016100006536004</v>
          </cell>
        </row>
        <row r="313">
          <cell r="B313" t="str">
            <v>Sỹ Thị Chung</v>
          </cell>
          <cell r="C313" t="str">
            <v>0016100006525002</v>
          </cell>
        </row>
        <row r="314">
          <cell r="B314" t="str">
            <v>Nguyễn Thanh Lâm</v>
          </cell>
          <cell r="C314" t="str">
            <v>0016100006661003</v>
          </cell>
        </row>
        <row r="315">
          <cell r="B315" t="str">
            <v>Phạm Minh Nghĩa</v>
          </cell>
          <cell r="C315" t="str">
            <v>0016100006660007</v>
          </cell>
        </row>
        <row r="316">
          <cell r="B316" t="str">
            <v>Lê Minh Phong</v>
          </cell>
          <cell r="C316" t="str">
            <v>0016100006655003</v>
          </cell>
        </row>
        <row r="317">
          <cell r="B317" t="str">
            <v>Trương Thị Hồng</v>
          </cell>
          <cell r="C317" t="str">
            <v>0016100006657006</v>
          </cell>
        </row>
        <row r="318">
          <cell r="B318" t="str">
            <v>Phạm Huy Hoàng</v>
          </cell>
          <cell r="C318" t="str">
            <v>0016100006656007</v>
          </cell>
        </row>
        <row r="319">
          <cell r="B319" t="str">
            <v>Nguyễn Thị Thảo</v>
          </cell>
          <cell r="C319" t="str">
            <v>0016100006659009</v>
          </cell>
        </row>
        <row r="320">
          <cell r="B320" t="str">
            <v>Nguyễn Thị Thanh Hòa</v>
          </cell>
          <cell r="C320" t="str">
            <v>0016100006653008</v>
          </cell>
        </row>
        <row r="321">
          <cell r="B321" t="str">
            <v>Trần Quốc Định</v>
          </cell>
          <cell r="C321" t="str">
            <v>0016100006658002</v>
          </cell>
        </row>
        <row r="322">
          <cell r="B322" t="str">
            <v>Nguyễn Thị Ngọc Anh</v>
          </cell>
          <cell r="C322" t="str">
            <v>0016100006654007</v>
          </cell>
        </row>
        <row r="323">
          <cell r="B323" t="str">
            <v>Mai Nguyễn Hoàng Yến</v>
          </cell>
          <cell r="C323" t="str">
            <v>0016100006652004</v>
          </cell>
        </row>
        <row r="324">
          <cell r="B324" t="str">
            <v>Lương Thị Thắm</v>
          </cell>
          <cell r="C324" t="str">
            <v>0016100006551003</v>
          </cell>
        </row>
        <row r="325">
          <cell r="B325" t="str">
            <v>Đỗ Thị Tâm</v>
          </cell>
          <cell r="C325" t="str">
            <v>0016100006552007</v>
          </cell>
        </row>
        <row r="326">
          <cell r="B326" t="str">
            <v>Đỗ Công Thành</v>
          </cell>
          <cell r="C326" t="str">
            <v>0016100006553006</v>
          </cell>
        </row>
        <row r="327">
          <cell r="B327" t="str">
            <v>Nguyễn Ngọc Phương</v>
          </cell>
          <cell r="C327" t="str">
            <v>0016100006724005</v>
          </cell>
        </row>
        <row r="328">
          <cell r="B328" t="str">
            <v>Hồ Thị Khuyên</v>
          </cell>
          <cell r="C328" t="str">
            <v>0016100006723009</v>
          </cell>
        </row>
        <row r="329">
          <cell r="B329" t="str">
            <v>Đỗ Tuấn Việt</v>
          </cell>
          <cell r="C329" t="str">
            <v>0016100006500007</v>
          </cell>
        </row>
        <row r="330">
          <cell r="B330" t="str">
            <v>Nguyễn Hữu Thiện</v>
          </cell>
          <cell r="C330" t="str">
            <v>0016100006563001</v>
          </cell>
        </row>
        <row r="331">
          <cell r="B331" t="str">
            <v>Đặng Thu Hà</v>
          </cell>
          <cell r="C331" t="str">
            <v>0016100006633007</v>
          </cell>
        </row>
        <row r="332">
          <cell r="B332" t="str">
            <v>Nguyễn Tứ Cảnh</v>
          </cell>
          <cell r="C332" t="str">
            <v>0016100006501006</v>
          </cell>
        </row>
        <row r="333">
          <cell r="B333" t="str">
            <v>Trương Hữu Lộc</v>
          </cell>
          <cell r="C333" t="str">
            <v>0016100006562005</v>
          </cell>
        </row>
        <row r="334">
          <cell r="B334" t="str">
            <v>Trần Thị Diễm Thúy</v>
          </cell>
          <cell r="C334" t="str">
            <v>0016100006561009</v>
          </cell>
        </row>
        <row r="335">
          <cell r="B335" t="str">
            <v>Nguyễn Thị Trang</v>
          </cell>
          <cell r="C335" t="str">
            <v>0016100006560002</v>
          </cell>
        </row>
        <row r="336">
          <cell r="B336" t="str">
            <v>Hà Thị Hậu</v>
          </cell>
          <cell r="C336" t="str">
            <v>0016100006502002</v>
          </cell>
        </row>
        <row r="337">
          <cell r="B337" t="str">
            <v>Trang Thị Xuân Uyên</v>
          </cell>
          <cell r="C337" t="str">
            <v>0016100006567007</v>
          </cell>
        </row>
        <row r="338">
          <cell r="B338" t="str">
            <v>Vũ Thị Thanh Nhàn</v>
          </cell>
          <cell r="C338" t="str">
            <v>0016100006565004</v>
          </cell>
        </row>
        <row r="339">
          <cell r="B339" t="str">
            <v>Bùi Thị Lan Anh</v>
          </cell>
          <cell r="C339" t="str">
            <v>0016100006725001</v>
          </cell>
        </row>
        <row r="340">
          <cell r="B340" t="str">
            <v>Lê Thị Huyền</v>
          </cell>
          <cell r="C340" t="str">
            <v>0016100006566008</v>
          </cell>
        </row>
        <row r="341">
          <cell r="B341" t="str">
            <v>Lê Hồng Sơn</v>
          </cell>
          <cell r="C341" t="str">
            <v>0016100006665009</v>
          </cell>
        </row>
        <row r="342">
          <cell r="B342" t="str">
            <v>Nguyễn Thị Thu Trang</v>
          </cell>
          <cell r="C342" t="str">
            <v>0016100006692006</v>
          </cell>
        </row>
        <row r="343">
          <cell r="B343" t="str">
            <v>Nguyễn Thị Vân</v>
          </cell>
          <cell r="C343" t="str">
            <v>0016100006864001</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definedNames>
      <definedName name="VND"/>
    </defined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Bao cao So GDDT"/>
      <sheetName val="BC"/>
      <sheetName val="Bang dieu chinh BC T05.2022"/>
      <sheetName val="Sheet1"/>
      <sheetName val="Anh Tuyet"/>
    </sheetNames>
    <sheetDataSet>
      <sheetData sheetId="0"/>
      <sheetData sheetId="1"/>
      <sheetData sheetId="2">
        <row r="14">
          <cell r="D14" t="str">
            <v>Phạm Hữu Lộc</v>
          </cell>
          <cell r="E14" t="str">
            <v>Hiệu trưởng</v>
          </cell>
          <cell r="K14" t="str">
            <v>022874945</v>
          </cell>
          <cell r="L14" t="str">
            <v>1603215001126</v>
          </cell>
          <cell r="M14" t="str">
            <v>41200001203</v>
          </cell>
          <cell r="N14" t="str">
            <v>Giảng viên
(hạng III)</v>
          </cell>
          <cell r="O14" t="str">
            <v>V.07.01.03</v>
          </cell>
          <cell r="P14" t="str">
            <v>A1</v>
          </cell>
          <cell r="Q14">
            <v>9</v>
          </cell>
          <cell r="R14">
            <v>4.9800000000000004</v>
          </cell>
          <cell r="S14">
            <v>3.7648000000000001</v>
          </cell>
        </row>
        <row r="15">
          <cell r="D15" t="str">
            <v>Đinh Văn Đệ</v>
          </cell>
          <cell r="E15" t="str">
            <v>Phó Hiệu trưởng</v>
          </cell>
          <cell r="K15" t="str">
            <v>025372149</v>
          </cell>
          <cell r="L15" t="str">
            <v>1603215001371</v>
          </cell>
          <cell r="M15" t="str">
            <v>50200000021</v>
          </cell>
          <cell r="N15" t="str">
            <v>Giảng viên GDNN LT (hạng III)</v>
          </cell>
          <cell r="O15" t="str">
            <v>V.09.02.03</v>
          </cell>
          <cell r="P15" t="str">
            <v>A1</v>
          </cell>
          <cell r="Q15">
            <v>8</v>
          </cell>
          <cell r="R15">
            <v>4.9800000000000004</v>
          </cell>
          <cell r="S15">
            <v>2.1347999999999998</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Giảng viên GDNN LT (hạng III)</v>
          </cell>
          <cell r="O16" t="str">
            <v>01.003</v>
          </cell>
          <cell r="P16" t="str">
            <v>A1</v>
          </cell>
          <cell r="Q16">
            <v>8</v>
          </cell>
          <cell r="R16">
            <v>4.9800000000000004</v>
          </cell>
          <cell r="S16">
            <v>0.99879999999999991</v>
          </cell>
        </row>
        <row r="17">
          <cell r="D17" t="str">
            <v>Châu Văn Bảo</v>
          </cell>
          <cell r="E17" t="str">
            <v>Phó Hiệu trưởng</v>
          </cell>
          <cell r="K17" t="str">
            <v>025661153</v>
          </cell>
          <cell r="L17" t="str">
            <v>1603215001359</v>
          </cell>
          <cell r="M17" t="str">
            <v>50200000102</v>
          </cell>
          <cell r="N17" t="str">
            <v>Giảng viên GDNN LT (hạng III)</v>
          </cell>
          <cell r="O17" t="str">
            <v>V.09.02.03</v>
          </cell>
          <cell r="P17" t="str">
            <v>A1</v>
          </cell>
          <cell r="Q17">
            <v>6</v>
          </cell>
          <cell r="R17">
            <v>4.6500000000000004</v>
          </cell>
          <cell r="S17">
            <v>1.7164999999999999</v>
          </cell>
        </row>
        <row r="18">
          <cell r="D18" t="str">
            <v>Lâm Viết Dũng</v>
          </cell>
          <cell r="E18" t="str">
            <v>Trưởng phòng Tổ chức - Hành chính - Tổng hợp</v>
          </cell>
          <cell r="K18" t="str">
            <v>079076001426</v>
          </cell>
          <cell r="M18" t="str">
            <v>50800000104</v>
          </cell>
          <cell r="N18" t="str">
            <v>Giảng viên GDNN LT (hạng III)</v>
          </cell>
          <cell r="O18" t="str">
            <v>V.09.02.03</v>
          </cell>
          <cell r="P18" t="str">
            <v>A1</v>
          </cell>
          <cell r="Q18">
            <v>7</v>
          </cell>
          <cell r="R18">
            <v>4.9800000000000004</v>
          </cell>
          <cell r="S18">
            <v>1.536</v>
          </cell>
        </row>
        <row r="19">
          <cell r="D19" t="str">
            <v>Lê Quang Liêm</v>
          </cell>
          <cell r="E19" t="str">
            <v>Trưởng phòng Quản trị - Dịch vụ</v>
          </cell>
          <cell r="K19" t="str">
            <v>024891110</v>
          </cell>
          <cell r="L19" t="str">
            <v>1603215001365</v>
          </cell>
          <cell r="M19" t="str">
            <v>50200000160</v>
          </cell>
          <cell r="N19" t="str">
            <v>Giảng viên GDNN LT (hạng III)</v>
          </cell>
          <cell r="O19" t="str">
            <v>V.09.02.03</v>
          </cell>
          <cell r="P19" t="str">
            <v>A1</v>
          </cell>
          <cell r="Q19">
            <v>7</v>
          </cell>
          <cell r="R19">
            <v>4.9800000000000004</v>
          </cell>
          <cell r="S19">
            <v>1.5903</v>
          </cell>
        </row>
        <row r="20">
          <cell r="D20" t="str">
            <v>Nguyễn Văn Thành</v>
          </cell>
          <cell r="E20" t="str">
            <v>Phó Trưởng phòng Quản trị - Dịch vụ</v>
          </cell>
          <cell r="F20" t="str">
            <v>ĐH</v>
          </cell>
          <cell r="I20" t="str">
            <v>GV</v>
          </cell>
          <cell r="J20" t="str">
            <v>GV087</v>
          </cell>
          <cell r="K20" t="str">
            <v>079074000549</v>
          </cell>
          <cell r="L20" t="str">
            <v>1603205182190</v>
          </cell>
          <cell r="M20" t="str">
            <v>11100000723</v>
          </cell>
          <cell r="N20" t="str">
            <v>Giảng viên GDNN LT (hạng III)</v>
          </cell>
          <cell r="O20" t="str">
            <v>V.09.02.03</v>
          </cell>
          <cell r="P20" t="str">
            <v>A1</v>
          </cell>
          <cell r="Q20">
            <v>8</v>
          </cell>
          <cell r="R20">
            <v>4.9800000000000004</v>
          </cell>
          <cell r="S20">
            <v>1.7147999999999999</v>
          </cell>
        </row>
        <row r="21">
          <cell r="D21" t="str">
            <v>Phan Đức Long</v>
          </cell>
          <cell r="E21" t="str">
            <v>Tổ trưởng Tổ QL Ký túc xá SV</v>
          </cell>
          <cell r="F21" t="str">
            <v>ĐH</v>
          </cell>
          <cell r="H21" t="str">
            <v>GV</v>
          </cell>
          <cell r="I21" t="str">
            <v>GV</v>
          </cell>
          <cell r="J21" t="str">
            <v>GV094</v>
          </cell>
          <cell r="K21" t="str">
            <v>022688264</v>
          </cell>
          <cell r="L21" t="str">
            <v>1603205179180</v>
          </cell>
          <cell r="M21" t="str">
            <v>11100000789</v>
          </cell>
          <cell r="N21" t="str">
            <v>Giảng viên GDNN LT (hạng III)</v>
          </cell>
          <cell r="O21" t="str">
            <v>V.09.02.03</v>
          </cell>
          <cell r="P21" t="str">
            <v>A1</v>
          </cell>
          <cell r="Q21">
            <v>7</v>
          </cell>
          <cell r="R21">
            <v>4.9800000000000004</v>
          </cell>
          <cell r="S21">
            <v>1.296</v>
          </cell>
        </row>
        <row r="22">
          <cell r="D22" t="str">
            <v>Hà Nhật Thanh</v>
          </cell>
          <cell r="E22" t="str">
            <v>Nhân viên phòng Quản trị - Dịch vụ</v>
          </cell>
          <cell r="F22" t="str">
            <v>ĐH</v>
          </cell>
          <cell r="I22" t="str">
            <v>GV</v>
          </cell>
          <cell r="J22" t="str">
            <v>GV134</v>
          </cell>
          <cell r="K22" t="str">
            <v>139062000011</v>
          </cell>
          <cell r="L22" t="str">
            <v>1603205179150</v>
          </cell>
          <cell r="M22" t="str">
            <v>11100000741</v>
          </cell>
          <cell r="N22" t="str">
            <v>Cán sự</v>
          </cell>
          <cell r="O22" t="str">
            <v>01.004</v>
          </cell>
          <cell r="P22" t="str">
            <v>A0</v>
          </cell>
          <cell r="Q22">
            <v>10</v>
          </cell>
          <cell r="R22">
            <v>4.8899999999999997</v>
          </cell>
          <cell r="S22">
            <v>0.39119999999999999</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Bác sĩ (hạng III)</v>
          </cell>
          <cell r="O23" t="str">
            <v>V.08.01.03</v>
          </cell>
          <cell r="P23" t="str">
            <v>A1</v>
          </cell>
          <cell r="Q23">
            <v>6</v>
          </cell>
          <cell r="R23">
            <v>4.6500000000000004</v>
          </cell>
          <cell r="S23">
            <v>0.45</v>
          </cell>
        </row>
        <row r="24">
          <cell r="D24" t="str">
            <v>Nguyễn Kính</v>
          </cell>
          <cell r="E24" t="str">
            <v>TP. Kế hoạch - Tài chính</v>
          </cell>
          <cell r="K24" t="str">
            <v>023147526</v>
          </cell>
          <cell r="M24" t="str">
            <v>50800000800</v>
          </cell>
          <cell r="N24" t="str">
            <v>Kế toán viên</v>
          </cell>
          <cell r="O24" t="str">
            <v>06.031</v>
          </cell>
          <cell r="P24" t="str">
            <v>A1</v>
          </cell>
          <cell r="Q24">
            <v>9</v>
          </cell>
          <cell r="R24">
            <v>4.9800000000000004</v>
          </cell>
          <cell r="S24">
            <v>2.1930000000000001</v>
          </cell>
        </row>
        <row r="25">
          <cell r="D25" t="str">
            <v>Lê Xuân Thiện</v>
          </cell>
          <cell r="E25" t="str">
            <v>Trưởng phòng Thanh tra giáo dục - CT Sinh viên</v>
          </cell>
          <cell r="F25" t="str">
            <v>ĐH</v>
          </cell>
          <cell r="I25" t="str">
            <v>NV</v>
          </cell>
          <cell r="J25" t="str">
            <v>NV063</v>
          </cell>
          <cell r="K25" t="str">
            <v>048065000101</v>
          </cell>
          <cell r="L25" t="str">
            <v>1603205185958</v>
          </cell>
          <cell r="M25" t="str">
            <v>11100000742</v>
          </cell>
          <cell r="N25" t="str">
            <v>Chuyên viên</v>
          </cell>
          <cell r="O25" t="str">
            <v>01.003</v>
          </cell>
          <cell r="P25" t="str">
            <v>A1</v>
          </cell>
          <cell r="Q25">
            <v>8</v>
          </cell>
          <cell r="R25">
            <v>4.9800000000000004</v>
          </cell>
          <cell r="S25">
            <v>0.69900000000000007</v>
          </cell>
        </row>
        <row r="26">
          <cell r="D26" t="str">
            <v>Hồ Minh Lợi</v>
          </cell>
          <cell r="E26" t="str">
            <v>Phó trưởng phòng Thanh tra giáo dục - CT Sinh viên</v>
          </cell>
          <cell r="F26" t="str">
            <v>ĐH</v>
          </cell>
          <cell r="I26" t="str">
            <v>QL</v>
          </cell>
          <cell r="J26" t="str">
            <v>QL020</v>
          </cell>
          <cell r="K26" t="str">
            <v>001062010054</v>
          </cell>
          <cell r="L26" t="str">
            <v>1603205178809</v>
          </cell>
          <cell r="M26" t="str">
            <v>11100000704</v>
          </cell>
          <cell r="N26" t="str">
            <v>Chuyên viên</v>
          </cell>
          <cell r="O26" t="str">
            <v>01.003</v>
          </cell>
          <cell r="P26" t="str">
            <v>A1</v>
          </cell>
          <cell r="Q26">
            <v>9</v>
          </cell>
          <cell r="R26">
            <v>4.9800000000000004</v>
          </cell>
          <cell r="S26">
            <v>0.89779999999999993</v>
          </cell>
        </row>
        <row r="27">
          <cell r="D27" t="str">
            <v>Nguyễn Ngọc Hiệp</v>
          </cell>
          <cell r="E27" t="str">
            <v>Phó Trưởng phòng Thanh tra giáo dục - CT Sinh viên</v>
          </cell>
          <cell r="F27" t="str">
            <v>ĐH</v>
          </cell>
          <cell r="I27" t="str">
            <v>GV</v>
          </cell>
          <cell r="J27" t="str">
            <v>GV089</v>
          </cell>
          <cell r="K27" t="str">
            <v>022776286</v>
          </cell>
          <cell r="L27" t="str">
            <v>1603205179173</v>
          </cell>
          <cell r="M27" t="str">
            <v>11100000751</v>
          </cell>
          <cell r="N27" t="str">
            <v>Giảng viên GDNN LT (hạng III)</v>
          </cell>
          <cell r="O27" t="str">
            <v>V.09.02.03</v>
          </cell>
          <cell r="P27" t="str">
            <v>A1</v>
          </cell>
          <cell r="Q27">
            <v>8</v>
          </cell>
          <cell r="R27">
            <v>4.9800000000000004</v>
          </cell>
          <cell r="S27">
            <v>1.8264</v>
          </cell>
        </row>
        <row r="28">
          <cell r="D28" t="str">
            <v>Nguyễn Tất Thắng</v>
          </cell>
          <cell r="E28" t="str">
            <v>Nhân viên phòng Thanh tra giáo dục - CT Sinh viên</v>
          </cell>
          <cell r="F28" t="str">
            <v>ĐH</v>
          </cell>
          <cell r="I28" t="str">
            <v>NV</v>
          </cell>
          <cell r="J28" t="str">
            <v>NV109</v>
          </cell>
          <cell r="K28" t="str">
            <v>023181301</v>
          </cell>
          <cell r="L28" t="str">
            <v>1603205179109</v>
          </cell>
          <cell r="M28" t="str">
            <v>11100000772</v>
          </cell>
          <cell r="N28" t="str">
            <v>Chuyên viên</v>
          </cell>
          <cell r="O28" t="str">
            <v>01.003</v>
          </cell>
          <cell r="P28" t="str">
            <v>A1</v>
          </cell>
          <cell r="Q28">
            <v>5</v>
          </cell>
          <cell r="R28">
            <v>3.99</v>
          </cell>
          <cell r="S28">
            <v>0</v>
          </cell>
        </row>
        <row r="29">
          <cell r="D29" t="str">
            <v>Hồ Văn Sĩ</v>
          </cell>
          <cell r="E29" t="str">
            <v>Trưởng phòng Tuyển sinh - Đào tạo</v>
          </cell>
          <cell r="F29" t="str">
            <v>Th.S</v>
          </cell>
          <cell r="I29" t="str">
            <v>PPK</v>
          </cell>
          <cell r="J29" t="str">
            <v>PPK029</v>
          </cell>
          <cell r="K29" t="str">
            <v>022764854</v>
          </cell>
          <cell r="L29" t="str">
            <v>1603205185681</v>
          </cell>
          <cell r="M29" t="str">
            <v>11100000707</v>
          </cell>
          <cell r="N29" t="str">
            <v>Giảng viên GDNN LT (hạng III)</v>
          </cell>
          <cell r="O29" t="str">
            <v>V.09.02.03</v>
          </cell>
          <cell r="P29" t="str">
            <v>A1</v>
          </cell>
          <cell r="Q29">
            <v>8</v>
          </cell>
          <cell r="R29">
            <v>4.9800000000000004</v>
          </cell>
          <cell r="S29">
            <v>1.9484000000000001</v>
          </cell>
        </row>
        <row r="30">
          <cell r="D30" t="str">
            <v>Nguyễn Văn Tấn</v>
          </cell>
          <cell r="E30" t="str">
            <v>Phó TP Tuyển sinh - Đào tạo</v>
          </cell>
          <cell r="F30" t="str">
            <v>Th.S</v>
          </cell>
          <cell r="I30" t="str">
            <v>QL</v>
          </cell>
          <cell r="J30" t="str">
            <v>QL012</v>
          </cell>
          <cell r="K30" t="str">
            <v>020505708</v>
          </cell>
          <cell r="L30" t="str">
            <v>1603205185675</v>
          </cell>
          <cell r="M30" t="str">
            <v>11100000732</v>
          </cell>
          <cell r="N30" t="str">
            <v>Giảng viên GDNN LT (hạng III)</v>
          </cell>
          <cell r="O30" t="str">
            <v>V.09.02.03</v>
          </cell>
          <cell r="P30" t="str">
            <v>A1</v>
          </cell>
          <cell r="Q30">
            <v>9</v>
          </cell>
          <cell r="R30">
            <v>4.9800000000000004</v>
          </cell>
          <cell r="S30">
            <v>0.99739999999999995</v>
          </cell>
        </row>
        <row r="31">
          <cell r="D31" t="str">
            <v>Võ Thị Xuân Thơ</v>
          </cell>
          <cell r="E31" t="str">
            <v>Nhân viên phòng Tuyển sinh - Đào tạo</v>
          </cell>
          <cell r="F31" t="str">
            <v>ĐH</v>
          </cell>
          <cell r="G31" t="str">
            <v>x</v>
          </cell>
          <cell r="I31" t="str">
            <v>NV</v>
          </cell>
          <cell r="J31" t="str">
            <v>NV110</v>
          </cell>
          <cell r="K31" t="str">
            <v>024734659</v>
          </cell>
          <cell r="L31" t="str">
            <v>1603205185760</v>
          </cell>
          <cell r="M31" t="str">
            <v>11100000782</v>
          </cell>
          <cell r="N31" t="str">
            <v>Chuyên viên</v>
          </cell>
          <cell r="O31" t="str">
            <v>01.003</v>
          </cell>
          <cell r="P31" t="str">
            <v>A1</v>
          </cell>
          <cell r="Q31">
            <v>6</v>
          </cell>
          <cell r="R31">
            <v>4.32</v>
          </cell>
          <cell r="S31">
            <v>0</v>
          </cell>
        </row>
        <row r="32">
          <cell r="D32" t="str">
            <v>Nguyễn Chí Nhân</v>
          </cell>
          <cell r="E32" t="str">
            <v>Tưởng phòng Khảo thí và KĐCL</v>
          </cell>
          <cell r="F32" t="str">
            <v>ĐH</v>
          </cell>
          <cell r="I32" t="str">
            <v>PPK</v>
          </cell>
          <cell r="J32" t="str">
            <v>PPK034</v>
          </cell>
          <cell r="K32" t="str">
            <v>023176396</v>
          </cell>
          <cell r="L32" t="str">
            <v>1603205182184</v>
          </cell>
          <cell r="M32" t="str">
            <v>11100066861</v>
          </cell>
          <cell r="N32" t="str">
            <v>Giảng viên GDNN LT (hạng III)</v>
          </cell>
          <cell r="O32" t="str">
            <v>V.09.02.03</v>
          </cell>
          <cell r="P32" t="str">
            <v>A1</v>
          </cell>
          <cell r="Q32">
            <v>5</v>
          </cell>
          <cell r="R32">
            <v>4.32</v>
          </cell>
          <cell r="S32">
            <v>1.2608999999999999</v>
          </cell>
        </row>
        <row r="33">
          <cell r="D33" t="str">
            <v>Nguyễn Thanh Sơn</v>
          </cell>
          <cell r="E33" t="str">
            <v>Nhân viên phòng Khảo thí và ĐBCL</v>
          </cell>
          <cell r="F33" t="str">
            <v>ĐH</v>
          </cell>
          <cell r="K33" t="str">
            <v>020933341</v>
          </cell>
          <cell r="L33" t="str">
            <v>1603205303449</v>
          </cell>
          <cell r="M33" t="str">
            <v>11100122989</v>
          </cell>
          <cell r="N33" t="str">
            <v>Chuyên viên</v>
          </cell>
          <cell r="O33" t="str">
            <v>01.003</v>
          </cell>
          <cell r="P33" t="str">
            <v>A1</v>
          </cell>
          <cell r="Q33">
            <v>9</v>
          </cell>
          <cell r="R33">
            <v>4.9800000000000004</v>
          </cell>
          <cell r="S33">
            <v>0.89639999999999997</v>
          </cell>
        </row>
        <row r="34">
          <cell r="D34" t="str">
            <v>Nguyễn Tứ Cảnh</v>
          </cell>
          <cell r="E34" t="str">
            <v>Nhân viên Trung tâm Thư viện</v>
          </cell>
          <cell r="F34" t="str">
            <v>ĐH</v>
          </cell>
          <cell r="I34" t="str">
            <v>GV</v>
          </cell>
          <cell r="J34" t="str">
            <v>GV092</v>
          </cell>
          <cell r="K34" t="str">
            <v>020953956</v>
          </cell>
          <cell r="L34" t="str">
            <v>1603205179013</v>
          </cell>
          <cell r="M34" t="str">
            <v>11100000754</v>
          </cell>
          <cell r="N34" t="str">
            <v>Giảng viên (hạng III)</v>
          </cell>
          <cell r="O34" t="str">
            <v>V.07.01.03</v>
          </cell>
          <cell r="P34" t="str">
            <v>A1</v>
          </cell>
          <cell r="Q34">
            <v>8</v>
          </cell>
          <cell r="R34">
            <v>4.9800000000000004</v>
          </cell>
          <cell r="S34">
            <v>0</v>
          </cell>
        </row>
        <row r="35">
          <cell r="D35" t="str">
            <v>Nguyễn Trọng Nghĩa</v>
          </cell>
          <cell r="E35" t="str">
            <v>Trưởng khoa Kinh tế</v>
          </cell>
          <cell r="K35" t="str">
            <v>079072011875</v>
          </cell>
          <cell r="M35" t="str">
            <v>50800000001</v>
          </cell>
          <cell r="N35" t="str">
            <v>Giảng viên GDNN LT (hạng III)</v>
          </cell>
          <cell r="O35" t="str">
            <v>V.09.02.03</v>
          </cell>
          <cell r="P35" t="str">
            <v>A1</v>
          </cell>
          <cell r="Q35">
            <v>7</v>
          </cell>
          <cell r="R35">
            <v>4.6500000000000004</v>
          </cell>
          <cell r="S35">
            <v>1.2150000000000001</v>
          </cell>
        </row>
        <row r="36">
          <cell r="D36" t="str">
            <v>Phạm Thị Thanh Thúy</v>
          </cell>
          <cell r="E36" t="str">
            <v>Giảng viên khoa CN May - Thời trang</v>
          </cell>
          <cell r="G36" t="str">
            <v>x</v>
          </cell>
          <cell r="K36" t="str">
            <v>022931960</v>
          </cell>
          <cell r="L36" t="str">
            <v>1603205426614</v>
          </cell>
          <cell r="M36" t="str">
            <v>40900000624</v>
          </cell>
          <cell r="N36" t="str">
            <v>Giảng viên GDNN LT (hạng III)</v>
          </cell>
          <cell r="O36" t="str">
            <v>V.09.02.03</v>
          </cell>
          <cell r="P36" t="str">
            <v>A1</v>
          </cell>
          <cell r="Q36">
            <v>7</v>
          </cell>
          <cell r="R36">
            <v>4.9800000000000004</v>
          </cell>
          <cell r="S36">
            <v>0.996</v>
          </cell>
        </row>
        <row r="37">
          <cell r="D37" t="str">
            <v>Nguyễn Thị Nhuận</v>
          </cell>
          <cell r="E37" t="str">
            <v>Trưởng khoa Khoa học cơ bản</v>
          </cell>
          <cell r="F37" t="str">
            <v>ĐH</v>
          </cell>
          <cell r="G37" t="str">
            <v>x</v>
          </cell>
          <cell r="I37" t="str">
            <v>GV</v>
          </cell>
          <cell r="J37" t="str">
            <v>GV126</v>
          </cell>
          <cell r="K37" t="str">
            <v>023331855</v>
          </cell>
          <cell r="L37" t="str">
            <v>1603205186786</v>
          </cell>
          <cell r="M37" t="str">
            <v>11100000798</v>
          </cell>
          <cell r="N37" t="str">
            <v>Giảng viên GDNN LT (hạng III)</v>
          </cell>
          <cell r="O37" t="str">
            <v>V.09.02.03</v>
          </cell>
          <cell r="P37" t="str">
            <v>A1</v>
          </cell>
          <cell r="Q37">
            <v>6</v>
          </cell>
          <cell r="R37">
            <v>4.6500000000000004</v>
          </cell>
          <cell r="S37">
            <v>1.266</v>
          </cell>
        </row>
        <row r="38">
          <cell r="D38" t="str">
            <v>Nguyễn Thị Huyền Nga</v>
          </cell>
          <cell r="E38" t="str">
            <v>Giảng viên khoa KHCB</v>
          </cell>
          <cell r="F38" t="str">
            <v>ĐH</v>
          </cell>
          <cell r="G38" t="str">
            <v>x</v>
          </cell>
          <cell r="H38" t="str">
            <v>GV</v>
          </cell>
          <cell r="I38" t="str">
            <v>GV</v>
          </cell>
          <cell r="J38" t="str">
            <v>GV091</v>
          </cell>
          <cell r="K38" t="str">
            <v>040174000144</v>
          </cell>
          <cell r="L38" t="str">
            <v>1603205189784</v>
          </cell>
          <cell r="M38" t="str">
            <v>11100067878</v>
          </cell>
          <cell r="N38" t="str">
            <v>Giảng viên
(hạng III)</v>
          </cell>
          <cell r="O38" t="str">
            <v>V.07.01.03</v>
          </cell>
          <cell r="P38" t="str">
            <v>A1</v>
          </cell>
          <cell r="Q38">
            <v>8</v>
          </cell>
          <cell r="R38">
            <v>4.9800000000000004</v>
          </cell>
          <cell r="S38">
            <v>1.0955999999999999</v>
          </cell>
        </row>
        <row r="39">
          <cell r="D39" t="str">
            <v>Nguyễn Văn Đông</v>
          </cell>
          <cell r="E39" t="str">
            <v>Giảng viên khoa KHCB</v>
          </cell>
          <cell r="F39" t="str">
            <v>ĐH</v>
          </cell>
          <cell r="H39" t="str">
            <v>GV</v>
          </cell>
          <cell r="I39" t="str">
            <v>GV</v>
          </cell>
          <cell r="J39" t="str">
            <v>GV098</v>
          </cell>
          <cell r="K39" t="str">
            <v>023622113</v>
          </cell>
          <cell r="L39" t="str">
            <v>1603205189886</v>
          </cell>
          <cell r="M39" t="str">
            <v>11100000796</v>
          </cell>
          <cell r="N39" t="str">
            <v>Giảng viên
(hạng III)</v>
          </cell>
          <cell r="O39" t="str">
            <v>V.07.01.03</v>
          </cell>
          <cell r="P39" t="str">
            <v>A1</v>
          </cell>
          <cell r="Q39">
            <v>6</v>
          </cell>
          <cell r="R39">
            <v>4.6500000000000004</v>
          </cell>
          <cell r="S39">
            <v>0.88349999999999995</v>
          </cell>
        </row>
        <row r="40">
          <cell r="D40" t="str">
            <v>Nguyễn Thanh Tú</v>
          </cell>
          <cell r="E40" t="str">
            <v>Giảng viên khoa KHCB</v>
          </cell>
          <cell r="F40" t="str">
            <v>ĐH</v>
          </cell>
          <cell r="H40" t="str">
            <v>GV</v>
          </cell>
          <cell r="I40" t="str">
            <v>GV</v>
          </cell>
          <cell r="J40" t="str">
            <v>GV090</v>
          </cell>
          <cell r="K40" t="str">
            <v>079076002757</v>
          </cell>
          <cell r="L40" t="str">
            <v>1603205185580</v>
          </cell>
          <cell r="M40" t="str">
            <v>11100082588</v>
          </cell>
          <cell r="N40" t="str">
            <v>Giảng viên
(hạng III)</v>
          </cell>
          <cell r="O40" t="str">
            <v>V.07.01.03</v>
          </cell>
          <cell r="P40" t="str">
            <v>A1</v>
          </cell>
          <cell r="Q40">
            <v>8</v>
          </cell>
          <cell r="R40">
            <v>4.9800000000000004</v>
          </cell>
          <cell r="S40">
            <v>1.4601</v>
          </cell>
        </row>
        <row r="41">
          <cell r="D41" t="str">
            <v>Phạm Thị Thu Nga</v>
          </cell>
          <cell r="E41" t="str">
            <v>Phó Trưởng khoa KHCB</v>
          </cell>
          <cell r="F41" t="str">
            <v>Th.S</v>
          </cell>
          <cell r="G41" t="str">
            <v>x</v>
          </cell>
          <cell r="H41" t="str">
            <v>GV</v>
          </cell>
          <cell r="I41" t="str">
            <v>TT</v>
          </cell>
          <cell r="J41" t="str">
            <v>TT055</v>
          </cell>
          <cell r="K41" t="str">
            <v>040176000521</v>
          </cell>
          <cell r="L41" t="str">
            <v>1603205186372</v>
          </cell>
          <cell r="M41" t="str">
            <v>11100000799</v>
          </cell>
          <cell r="N41" t="str">
            <v>Giảng viên
(hạng III)</v>
          </cell>
          <cell r="O41" t="str">
            <v>V.07.01.03</v>
          </cell>
          <cell r="P41" t="str">
            <v>A1</v>
          </cell>
          <cell r="Q41">
            <v>6</v>
          </cell>
          <cell r="R41">
            <v>4.6500000000000004</v>
          </cell>
          <cell r="S41">
            <v>1.2999999999999998</v>
          </cell>
        </row>
        <row r="42">
          <cell r="D42" t="str">
            <v>Nguyễn Thị Cẩm Thạch</v>
          </cell>
          <cell r="E42" t="str">
            <v>Giảng viên khoa KHCB</v>
          </cell>
          <cell r="F42" t="str">
            <v>Th.S</v>
          </cell>
          <cell r="G42" t="str">
            <v>x</v>
          </cell>
          <cell r="H42" t="str">
            <v>GV</v>
          </cell>
          <cell r="I42" t="str">
            <v>GV</v>
          </cell>
          <cell r="J42" t="str">
            <v>GV093</v>
          </cell>
          <cell r="K42" t="str">
            <v>023837190</v>
          </cell>
          <cell r="L42" t="str">
            <v>1603205189965</v>
          </cell>
          <cell r="M42" t="str">
            <v>20500006963</v>
          </cell>
          <cell r="N42" t="str">
            <v>Giảng viên
(hạng III)</v>
          </cell>
          <cell r="O42" t="str">
            <v>V.07.01.03</v>
          </cell>
          <cell r="P42" t="str">
            <v>A1</v>
          </cell>
          <cell r="Q42">
            <v>8</v>
          </cell>
          <cell r="R42">
            <v>4.9800000000000004</v>
          </cell>
          <cell r="S42">
            <v>0.996</v>
          </cell>
        </row>
        <row r="43">
          <cell r="D43" t="str">
            <v>Nguyễn Đức Thắng</v>
          </cell>
          <cell r="E43" t="str">
            <v>Giảng viên khoa KHCB</v>
          </cell>
          <cell r="F43" t="str">
            <v>ĐH</v>
          </cell>
          <cell r="H43" t="str">
            <v>GV</v>
          </cell>
          <cell r="I43" t="str">
            <v>GV</v>
          </cell>
          <cell r="J43" t="str">
            <v>GV080</v>
          </cell>
          <cell r="K43" t="str">
            <v>021652916</v>
          </cell>
          <cell r="L43" t="str">
            <v>1603205190074</v>
          </cell>
          <cell r="M43" t="str">
            <v>11100000763</v>
          </cell>
          <cell r="N43" t="str">
            <v>Giảng viên GDNN LT (hạng III)</v>
          </cell>
          <cell r="O43" t="str">
            <v>V.09.02.03</v>
          </cell>
          <cell r="P43" t="str">
            <v>A1</v>
          </cell>
          <cell r="Q43">
            <v>9</v>
          </cell>
          <cell r="R43">
            <v>4.9800000000000004</v>
          </cell>
          <cell r="S43">
            <v>2.2509999999999999</v>
          </cell>
        </row>
        <row r="44">
          <cell r="D44" t="str">
            <v>Vương Thanh Thủy</v>
          </cell>
          <cell r="E44" t="str">
            <v>Giảng viên khoa KHCB</v>
          </cell>
          <cell r="F44" t="str">
            <v>Th.S</v>
          </cell>
          <cell r="G44" t="str">
            <v>x</v>
          </cell>
          <cell r="H44" t="str">
            <v>GV</v>
          </cell>
          <cell r="I44" t="str">
            <v>TT</v>
          </cell>
          <cell r="J44" t="str">
            <v>TT059</v>
          </cell>
          <cell r="K44" t="str">
            <v>001172012821</v>
          </cell>
          <cell r="L44" t="str">
            <v>1603205190147</v>
          </cell>
          <cell r="M44" t="str">
            <v>11100000801</v>
          </cell>
          <cell r="N44" t="str">
            <v>Giảng viên GDNN LT (hạng III)</v>
          </cell>
          <cell r="O44" t="str">
            <v>V.09.02.03</v>
          </cell>
          <cell r="P44" t="str">
            <v>A1</v>
          </cell>
          <cell r="Q44">
            <v>6</v>
          </cell>
          <cell r="R44">
            <v>4.32</v>
          </cell>
          <cell r="S44">
            <v>0.82079999999999997</v>
          </cell>
        </row>
        <row r="45">
          <cell r="D45" t="str">
            <v>Nguyễn Thị Bảo Trân</v>
          </cell>
          <cell r="E45" t="str">
            <v>Giảng viên khoa KHCB</v>
          </cell>
          <cell r="F45" t="str">
            <v>Th.S</v>
          </cell>
          <cell r="G45" t="str">
            <v>x</v>
          </cell>
          <cell r="H45" t="str">
            <v>GV</v>
          </cell>
          <cell r="I45" t="str">
            <v>GV</v>
          </cell>
          <cell r="J45" t="str">
            <v>GV104</v>
          </cell>
          <cell r="K45" t="str">
            <v>023334538</v>
          </cell>
          <cell r="L45" t="str">
            <v>1603205189936</v>
          </cell>
          <cell r="M45" t="str">
            <v>11100000737</v>
          </cell>
          <cell r="N45" t="str">
            <v>Giảng viên GDNN LT (hạng III)</v>
          </cell>
          <cell r="O45" t="str">
            <v>V.09.02.03</v>
          </cell>
          <cell r="P45" t="str">
            <v>A1</v>
          </cell>
          <cell r="Q45">
            <v>6</v>
          </cell>
          <cell r="R45">
            <v>4.32</v>
          </cell>
          <cell r="S45">
            <v>0.82079999999999997</v>
          </cell>
        </row>
        <row r="46">
          <cell r="D46" t="str">
            <v>Nguyễn Thị Thu Tâm</v>
          </cell>
          <cell r="E46" t="str">
            <v>Giảng viên khoa KHCB</v>
          </cell>
          <cell r="F46" t="str">
            <v>ĐH</v>
          </cell>
          <cell r="G46" t="str">
            <v>x</v>
          </cell>
          <cell r="H46" t="str">
            <v>GV</v>
          </cell>
          <cell r="I46" t="str">
            <v>GV</v>
          </cell>
          <cell r="J46" t="str">
            <v>GV101</v>
          </cell>
          <cell r="K46" t="str">
            <v>022848142</v>
          </cell>
          <cell r="L46" t="str">
            <v>1603205189920</v>
          </cell>
          <cell r="M46" t="str">
            <v>11100066702</v>
          </cell>
          <cell r="N46" t="str">
            <v>Giảng viên GDNN LT (hạng III)</v>
          </cell>
          <cell r="O46" t="str">
            <v>V.09.02.03</v>
          </cell>
          <cell r="P46" t="str">
            <v>A1</v>
          </cell>
          <cell r="Q46">
            <v>6</v>
          </cell>
          <cell r="R46">
            <v>4.32</v>
          </cell>
          <cell r="S46">
            <v>0.82079999999999997</v>
          </cell>
        </row>
        <row r="47">
          <cell r="D47" t="str">
            <v>Võ Thị Hồng Lan</v>
          </cell>
          <cell r="E47" t="str">
            <v>Giảng viên khoa KHCB</v>
          </cell>
          <cell r="F47" t="str">
            <v>ĐH</v>
          </cell>
          <cell r="G47" t="str">
            <v>x</v>
          </cell>
          <cell r="H47" t="str">
            <v>GV</v>
          </cell>
          <cell r="I47" t="str">
            <v>GV</v>
          </cell>
          <cell r="J47" t="str">
            <v>GV212</v>
          </cell>
          <cell r="K47" t="str">
            <v>024917765</v>
          </cell>
          <cell r="L47" t="str">
            <v>1603205218440</v>
          </cell>
          <cell r="M47" t="str">
            <v>11100091472</v>
          </cell>
          <cell r="N47" t="str">
            <v>Giảng viên GDNN LT (hạng III)</v>
          </cell>
          <cell r="O47" t="str">
            <v>V.09.02.03</v>
          </cell>
          <cell r="P47" t="str">
            <v>A1</v>
          </cell>
          <cell r="Q47">
            <v>7</v>
          </cell>
          <cell r="R47">
            <v>4.6500000000000004</v>
          </cell>
          <cell r="S47">
            <v>1.0229999999999999</v>
          </cell>
        </row>
        <row r="48">
          <cell r="D48" t="str">
            <v>Nguyễn Thị Dinh</v>
          </cell>
          <cell r="E48" t="str">
            <v>Giảng viên khoa Lý luận chính trị</v>
          </cell>
          <cell r="F48" t="str">
            <v>ĐH</v>
          </cell>
          <cell r="G48" t="str">
            <v>x</v>
          </cell>
          <cell r="H48" t="str">
            <v>GV</v>
          </cell>
          <cell r="I48" t="str">
            <v>GV</v>
          </cell>
          <cell r="J48" t="str">
            <v>GV097</v>
          </cell>
          <cell r="K48" t="str">
            <v>024106611</v>
          </cell>
          <cell r="L48" t="str">
            <v>1603205186468</v>
          </cell>
          <cell r="M48" t="str">
            <v>11100000795</v>
          </cell>
          <cell r="N48" t="str">
            <v>Giảng viên GDNN LT (hạng III)</v>
          </cell>
          <cell r="O48" t="str">
            <v>V.09.02.03</v>
          </cell>
          <cell r="P48" t="str">
            <v>A1</v>
          </cell>
          <cell r="Q48">
            <v>6</v>
          </cell>
          <cell r="R48">
            <v>4.32</v>
          </cell>
          <cell r="S48">
            <v>0.82079999999999997</v>
          </cell>
        </row>
        <row r="49">
          <cell r="D49" t="str">
            <v>Nguyễn Anh Kiệt</v>
          </cell>
          <cell r="E49" t="str">
            <v>Giảng viên khoa Lý luận chính trị</v>
          </cell>
          <cell r="F49" t="str">
            <v>ĐH</v>
          </cell>
          <cell r="H49" t="str">
            <v>GV</v>
          </cell>
          <cell r="I49" t="str">
            <v>TT</v>
          </cell>
          <cell r="J49" t="str">
            <v>TT058</v>
          </cell>
          <cell r="K49" t="str">
            <v>021513654</v>
          </cell>
          <cell r="L49" t="str">
            <v>1603205189913</v>
          </cell>
          <cell r="M49" t="str">
            <v>11100067051</v>
          </cell>
          <cell r="N49" t="str">
            <v>Giảng viên GDNN LT (hạng III)</v>
          </cell>
          <cell r="O49" t="str">
            <v>V.09.02.03</v>
          </cell>
          <cell r="P49" t="str">
            <v>A1</v>
          </cell>
          <cell r="Q49">
            <v>5</v>
          </cell>
          <cell r="R49">
            <v>4.32</v>
          </cell>
          <cell r="S49">
            <v>0.77759999999999996</v>
          </cell>
        </row>
        <row r="50">
          <cell r="D50" t="str">
            <v>Đặng Thị Nhật Minh</v>
          </cell>
          <cell r="E50" t="str">
            <v>Giảng viên khoa Lý luận chính trị</v>
          </cell>
          <cell r="F50" t="str">
            <v>Th.S</v>
          </cell>
          <cell r="G50" t="str">
            <v>x</v>
          </cell>
          <cell r="H50" t="str">
            <v>GV</v>
          </cell>
          <cell r="I50" t="str">
            <v>GV</v>
          </cell>
          <cell r="J50" t="str">
            <v>GV081</v>
          </cell>
          <cell r="K50" t="str">
            <v>079167006972</v>
          </cell>
          <cell r="L50" t="str">
            <v>1603205182530</v>
          </cell>
          <cell r="M50" t="str">
            <v>11100000714</v>
          </cell>
          <cell r="N50" t="str">
            <v>Giảng viên GDNN LT (hạng III)</v>
          </cell>
          <cell r="O50" t="str">
            <v>V.09.02.03</v>
          </cell>
          <cell r="P50" t="str">
            <v>A1</v>
          </cell>
          <cell r="Q50">
            <v>9</v>
          </cell>
          <cell r="R50">
            <v>4.9800000000000004</v>
          </cell>
          <cell r="S50">
            <v>1.8052999999999999</v>
          </cell>
        </row>
        <row r="51">
          <cell r="D51" t="str">
            <v>Nguyễn Vân Giang</v>
          </cell>
          <cell r="E51" t="str">
            <v>Giảng viên khoa CNTT</v>
          </cell>
          <cell r="F51" t="str">
            <v>Th.S</v>
          </cell>
          <cell r="G51" t="str">
            <v>x</v>
          </cell>
          <cell r="H51" t="str">
            <v>GV</v>
          </cell>
          <cell r="I51" t="str">
            <v>QL</v>
          </cell>
          <cell r="J51" t="str">
            <v>QL019</v>
          </cell>
          <cell r="K51" t="str">
            <v>022157496</v>
          </cell>
          <cell r="L51" t="str">
            <v>1603205185051</v>
          </cell>
          <cell r="M51" t="str">
            <v>11100000727</v>
          </cell>
          <cell r="N51" t="str">
            <v>Giảng viên GDNN LT (hạng III)</v>
          </cell>
          <cell r="O51" t="str">
            <v>V.09.02.02</v>
          </cell>
          <cell r="P51" t="str">
            <v>A2.2</v>
          </cell>
          <cell r="Q51">
            <v>7</v>
          </cell>
          <cell r="R51">
            <v>6.44</v>
          </cell>
          <cell r="S51">
            <v>1.9964</v>
          </cell>
        </row>
        <row r="52">
          <cell r="D52" t="str">
            <v>Đỗ Thị Phương Khanh</v>
          </cell>
          <cell r="E52" t="str">
            <v>Giảng viên khoa Cơ khí</v>
          </cell>
          <cell r="F52" t="str">
            <v>Th.S</v>
          </cell>
          <cell r="G52" t="str">
            <v>x</v>
          </cell>
          <cell r="H52" t="str">
            <v>GV</v>
          </cell>
          <cell r="I52" t="str">
            <v>TT</v>
          </cell>
          <cell r="J52" t="str">
            <v>TT052</v>
          </cell>
          <cell r="K52" t="str">
            <v>023044182</v>
          </cell>
          <cell r="L52" t="str">
            <v>1603205182126</v>
          </cell>
          <cell r="M52" t="str">
            <v>11100000750</v>
          </cell>
          <cell r="N52" t="str">
            <v>Giảng viên GDNN LT (hạng III)</v>
          </cell>
          <cell r="O52" t="str">
            <v>V.09.02.03</v>
          </cell>
          <cell r="P52" t="str">
            <v>A1</v>
          </cell>
          <cell r="Q52">
            <v>8</v>
          </cell>
          <cell r="R52">
            <v>4.9800000000000004</v>
          </cell>
          <cell r="S52">
            <v>1.3994</v>
          </cell>
        </row>
        <row r="53">
          <cell r="D53" t="str">
            <v>Trương Thị Phương Hồng</v>
          </cell>
          <cell r="E53" t="str">
            <v>Giảng viên khoa Cơ khí</v>
          </cell>
          <cell r="F53" t="str">
            <v>ĐH</v>
          </cell>
          <cell r="G53" t="str">
            <v>x</v>
          </cell>
          <cell r="H53" t="str">
            <v>GV</v>
          </cell>
          <cell r="I53" t="str">
            <v>TT</v>
          </cell>
          <cell r="J53" t="str">
            <v>TT053</v>
          </cell>
          <cell r="K53" t="str">
            <v>022813516</v>
          </cell>
          <cell r="L53" t="str">
            <v>1603205182211</v>
          </cell>
          <cell r="M53" t="str">
            <v>11100000755</v>
          </cell>
          <cell r="N53" t="str">
            <v>Giảng viên GDNN LT (hạng III)</v>
          </cell>
          <cell r="O53" t="str">
            <v>V.09.02.03</v>
          </cell>
          <cell r="P53" t="str">
            <v>A1</v>
          </cell>
          <cell r="Q53">
            <v>8</v>
          </cell>
          <cell r="R53">
            <v>4.9800000000000004</v>
          </cell>
          <cell r="S53">
            <v>1.3471000000000002</v>
          </cell>
        </row>
        <row r="54">
          <cell r="D54" t="str">
            <v>Phan Văn Thành</v>
          </cell>
          <cell r="E54" t="str">
            <v>Giảng viên khoa Cơ khí</v>
          </cell>
          <cell r="F54" t="str">
            <v>ĐH</v>
          </cell>
          <cell r="H54" t="str">
            <v>GV</v>
          </cell>
          <cell r="I54" t="str">
            <v>GV</v>
          </cell>
          <cell r="J54" t="str">
            <v>GV075</v>
          </cell>
          <cell r="K54" t="str">
            <v>021314535</v>
          </cell>
          <cell r="L54" t="str">
            <v>1603205249149</v>
          </cell>
          <cell r="M54" t="str">
            <v>11100000764</v>
          </cell>
          <cell r="N54" t="str">
            <v>Giảng viên GDNN LT (hạng III)</v>
          </cell>
          <cell r="O54" t="str">
            <v>V.09.02.03</v>
          </cell>
          <cell r="P54" t="str">
            <v>A1</v>
          </cell>
          <cell r="Q54">
            <v>9</v>
          </cell>
          <cell r="R54">
            <v>4.9800000000000004</v>
          </cell>
          <cell r="S54">
            <v>2.4481999999999999</v>
          </cell>
        </row>
        <row r="55">
          <cell r="D55" t="str">
            <v>Vũ Quang Khải</v>
          </cell>
          <cell r="E55" t="str">
            <v>Giảng viên khoa Cơ khí</v>
          </cell>
          <cell r="F55" t="str">
            <v>ĐH</v>
          </cell>
          <cell r="H55" t="str">
            <v>GV</v>
          </cell>
          <cell r="I55" t="str">
            <v>TT</v>
          </cell>
          <cell r="J55" t="str">
            <v>TT054</v>
          </cell>
          <cell r="K55" t="str">
            <v>022355188</v>
          </cell>
          <cell r="L55" t="str">
            <v>1603205189699</v>
          </cell>
          <cell r="M55" t="str">
            <v>11100000773</v>
          </cell>
          <cell r="N55" t="str">
            <v>Giảng viên GDNN LT (hạng III)</v>
          </cell>
          <cell r="O55" t="str">
            <v>V.09.02.03</v>
          </cell>
          <cell r="P55" t="str">
            <v>A1</v>
          </cell>
          <cell r="Q55">
            <v>8</v>
          </cell>
          <cell r="R55">
            <v>4.9800000000000004</v>
          </cell>
          <cell r="S55">
            <v>1.0955999999999999</v>
          </cell>
        </row>
        <row r="56">
          <cell r="D56" t="str">
            <v>Phan Thị Xuân Trang</v>
          </cell>
          <cell r="E56" t="str">
            <v>Giảng viên khoa Cơ khí</v>
          </cell>
          <cell r="F56" t="str">
            <v>ĐH</v>
          </cell>
          <cell r="G56" t="str">
            <v>x</v>
          </cell>
          <cell r="H56" t="str">
            <v>GV</v>
          </cell>
          <cell r="I56" t="str">
            <v>GV</v>
          </cell>
          <cell r="J56" t="str">
            <v>GV115</v>
          </cell>
          <cell r="K56" t="str">
            <v>024283935</v>
          </cell>
          <cell r="L56" t="str">
            <v>1603205185550</v>
          </cell>
          <cell r="M56" t="str">
            <v>11100000770</v>
          </cell>
          <cell r="N56" t="str">
            <v>Giảng viên GDNN LT (hạng III)</v>
          </cell>
          <cell r="O56" t="str">
            <v>V.09.02.03</v>
          </cell>
          <cell r="P56" t="str">
            <v>A1</v>
          </cell>
          <cell r="Q56">
            <v>8</v>
          </cell>
          <cell r="R56">
            <v>4.9800000000000004</v>
          </cell>
          <cell r="S56">
            <v>1.0458000000000001</v>
          </cell>
        </row>
        <row r="57">
          <cell r="D57" t="str">
            <v>Võ Minh Quang</v>
          </cell>
          <cell r="E57" t="str">
            <v>Giảng viên khoa Cơ khí</v>
          </cell>
          <cell r="F57" t="str">
            <v>CĐ</v>
          </cell>
          <cell r="I57" t="str">
            <v>GV</v>
          </cell>
          <cell r="J57" t="str">
            <v>GV136</v>
          </cell>
          <cell r="K57" t="str">
            <v>021722359</v>
          </cell>
          <cell r="L57" t="str">
            <v>1603205182228</v>
          </cell>
          <cell r="M57" t="str">
            <v>11100000738</v>
          </cell>
          <cell r="N57" t="str">
            <v>Giảng viên GDNN LT (hạng III)</v>
          </cell>
          <cell r="O57" t="str">
            <v>V.09.02.03</v>
          </cell>
          <cell r="P57" t="str">
            <v>A0</v>
          </cell>
          <cell r="Q57">
            <v>10</v>
          </cell>
          <cell r="R57">
            <v>4.9800000000000004</v>
          </cell>
          <cell r="S57">
            <v>1.9043999999999999</v>
          </cell>
        </row>
        <row r="58">
          <cell r="D58" t="str">
            <v>Nguyễn Thanh Vĩnh Phúc</v>
          </cell>
          <cell r="E58" t="str">
            <v>Giảng viên khoa Cơ khí</v>
          </cell>
          <cell r="F58" t="str">
            <v>ĐH</v>
          </cell>
          <cell r="I58" t="str">
            <v>NV</v>
          </cell>
          <cell r="J58" t="str">
            <v>NV084</v>
          </cell>
          <cell r="K58" t="str">
            <v>022102283</v>
          </cell>
          <cell r="L58" t="str">
            <v>1603205186140</v>
          </cell>
          <cell r="M58" t="str">
            <v>11100000748</v>
          </cell>
          <cell r="N58" t="str">
            <v>Giảng viên GDNN LT (hạng III)</v>
          </cell>
          <cell r="O58" t="str">
            <v>V.09.02.03</v>
          </cell>
          <cell r="P58" t="str">
            <v>A1</v>
          </cell>
          <cell r="Q58">
            <v>8</v>
          </cell>
          <cell r="R58">
            <v>4.9800000000000004</v>
          </cell>
          <cell r="S58">
            <v>1.0333999999999999</v>
          </cell>
        </row>
        <row r="59">
          <cell r="D59" t="str">
            <v>Nguyễn Văn Sơn</v>
          </cell>
          <cell r="E59" t="str">
            <v>Giảng viên khoa  Cơ khí</v>
          </cell>
          <cell r="F59" t="str">
            <v>ĐH</v>
          </cell>
          <cell r="I59" t="str">
            <v>GV</v>
          </cell>
          <cell r="J59" t="str">
            <v>GV135</v>
          </cell>
          <cell r="K59" t="str">
            <v>038065000896</v>
          </cell>
          <cell r="L59" t="str">
            <v>1603205185698</v>
          </cell>
          <cell r="M59" t="str">
            <v>11100000739</v>
          </cell>
          <cell r="N59" t="str">
            <v>Giảng viên GDNN LT (hạng III)</v>
          </cell>
          <cell r="O59" t="str">
            <v>V.09.02.03</v>
          </cell>
          <cell r="P59" t="str">
            <v>A1</v>
          </cell>
          <cell r="Q59">
            <v>9</v>
          </cell>
          <cell r="R59">
            <v>4.9800000000000004</v>
          </cell>
          <cell r="S59">
            <v>2.1309</v>
          </cell>
        </row>
        <row r="60">
          <cell r="D60" t="str">
            <v>Tạ Minh Cường</v>
          </cell>
          <cell r="E60" t="str">
            <v>Trưởng khoa Công nghệ Điện - Điện tử</v>
          </cell>
          <cell r="F60" t="str">
            <v>ĐH</v>
          </cell>
          <cell r="H60" t="str">
            <v>GV</v>
          </cell>
          <cell r="I60" t="str">
            <v>TT</v>
          </cell>
          <cell r="J60" t="str">
            <v>TT056</v>
          </cell>
          <cell r="K60" t="str">
            <v>024257826</v>
          </cell>
          <cell r="L60" t="str">
            <v>1603205182517</v>
          </cell>
          <cell r="M60" t="str">
            <v>11100000713</v>
          </cell>
          <cell r="N60" t="str">
            <v>Giảng viên GDNN LT (hạng III)</v>
          </cell>
          <cell r="O60" t="str">
            <v>V.09.02.03</v>
          </cell>
          <cell r="P60" t="str">
            <v>A1</v>
          </cell>
          <cell r="Q60">
            <v>6</v>
          </cell>
          <cell r="R60">
            <v>4.32</v>
          </cell>
          <cell r="S60">
            <v>1.7379</v>
          </cell>
        </row>
        <row r="61">
          <cell r="D61" t="str">
            <v>Phạm Minh Nghĩa</v>
          </cell>
          <cell r="E61" t="str">
            <v>Phó Trưởng khoa Điện - Điện tử</v>
          </cell>
          <cell r="F61" t="str">
            <v>ĐH</v>
          </cell>
          <cell r="H61" t="str">
            <v>GV</v>
          </cell>
          <cell r="I61" t="str">
            <v>PPK</v>
          </cell>
          <cell r="J61" t="str">
            <v>PPK028</v>
          </cell>
          <cell r="K61" t="str">
            <v>079064008054</v>
          </cell>
          <cell r="L61" t="str">
            <v>1603205178896</v>
          </cell>
          <cell r="M61" t="str">
            <v>11100000702</v>
          </cell>
          <cell r="N61" t="str">
            <v>Giảng viên GDNN LT (hạng III)</v>
          </cell>
          <cell r="O61" t="str">
            <v>V.09.02.03</v>
          </cell>
          <cell r="P61" t="str">
            <v>A1</v>
          </cell>
          <cell r="Q61">
            <v>9</v>
          </cell>
          <cell r="R61">
            <v>4.9800000000000004</v>
          </cell>
          <cell r="S61">
            <v>2.9759000000000002</v>
          </cell>
        </row>
        <row r="62">
          <cell r="D62" t="str">
            <v>Huỳnh Ngọc Mai</v>
          </cell>
          <cell r="E62" t="str">
            <v>Phó Trưởng khoa Điện - Điện tử</v>
          </cell>
          <cell r="F62" t="str">
            <v>Th.S</v>
          </cell>
          <cell r="H62" t="str">
            <v>GV</v>
          </cell>
          <cell r="I62" t="str">
            <v>TT</v>
          </cell>
          <cell r="J62" t="str">
            <v>TT050</v>
          </cell>
          <cell r="K62" t="str">
            <v>023230246</v>
          </cell>
          <cell r="L62" t="str">
            <v>1603205179042</v>
          </cell>
          <cell r="M62" t="str">
            <v>11100000722</v>
          </cell>
          <cell r="N62" t="str">
            <v>Giảng viên GDNN LT (hạng III)</v>
          </cell>
          <cell r="O62" t="str">
            <v>V.09.02.03</v>
          </cell>
          <cell r="P62" t="str">
            <v>A1</v>
          </cell>
          <cell r="Q62">
            <v>9</v>
          </cell>
          <cell r="R62">
            <v>4.9800000000000004</v>
          </cell>
          <cell r="S62">
            <v>1.9997</v>
          </cell>
        </row>
        <row r="63">
          <cell r="D63" t="str">
            <v>Nguyễn Văn Yên</v>
          </cell>
          <cell r="E63" t="str">
            <v>Giảng viên khoa Điện - Điện tử</v>
          </cell>
          <cell r="F63" t="str">
            <v>ĐH</v>
          </cell>
          <cell r="H63" t="str">
            <v>GV</v>
          </cell>
          <cell r="I63" t="str">
            <v>PPK</v>
          </cell>
          <cell r="J63" t="str">
            <v>PPK030</v>
          </cell>
          <cell r="K63" t="str">
            <v>079073005167</v>
          </cell>
          <cell r="L63" t="str">
            <v>1603205182371</v>
          </cell>
          <cell r="M63" t="str">
            <v>11100000708</v>
          </cell>
          <cell r="N63" t="str">
            <v>Giảng viên GDNN LT (hạng III)</v>
          </cell>
          <cell r="O63" t="str">
            <v>V.09.02.03</v>
          </cell>
          <cell r="P63" t="str">
            <v>A1</v>
          </cell>
          <cell r="Q63">
            <v>8</v>
          </cell>
          <cell r="R63">
            <v>4.9800000000000004</v>
          </cell>
          <cell r="S63">
            <v>1.0458000000000001</v>
          </cell>
        </row>
        <row r="64">
          <cell r="D64" t="str">
            <v>Nguyễn Minh Đức</v>
          </cell>
          <cell r="E64" t="str">
            <v>Giảng viên khoa  Điện - Điện tử</v>
          </cell>
          <cell r="F64" t="str">
            <v>ĐH</v>
          </cell>
          <cell r="H64" t="str">
            <v>GV</v>
          </cell>
          <cell r="I64" t="str">
            <v>GV</v>
          </cell>
          <cell r="J64" t="str">
            <v>GV088</v>
          </cell>
          <cell r="K64" t="str">
            <v>022209365</v>
          </cell>
          <cell r="L64" t="str">
            <v>1603205182496</v>
          </cell>
          <cell r="M64" t="str">
            <v>11100000719</v>
          </cell>
          <cell r="N64" t="str">
            <v>Giảng viên GDNN LT (hạng III)</v>
          </cell>
          <cell r="O64" t="str">
            <v>V.09.02.03</v>
          </cell>
          <cell r="P64" t="str">
            <v>A1</v>
          </cell>
          <cell r="Q64">
            <v>8</v>
          </cell>
          <cell r="R64">
            <v>4.9800000000000004</v>
          </cell>
          <cell r="S64">
            <v>1.0955999999999999</v>
          </cell>
        </row>
        <row r="65">
          <cell r="D65" t="str">
            <v>Nguyễn Anh Tăng</v>
          </cell>
          <cell r="E65" t="str">
            <v>Giảng viên khoa  Điện - Điện tử</v>
          </cell>
          <cell r="F65" t="str">
            <v>Th.S</v>
          </cell>
          <cell r="H65" t="str">
            <v>GV</v>
          </cell>
          <cell r="I65" t="str">
            <v>GV</v>
          </cell>
          <cell r="J65" t="str">
            <v>GV096</v>
          </cell>
          <cell r="K65" t="str">
            <v>023624194</v>
          </cell>
          <cell r="L65" t="str">
            <v>1603205182438</v>
          </cell>
          <cell r="M65" t="str">
            <v>11100000787</v>
          </cell>
          <cell r="N65" t="str">
            <v>Giảng viên GDNN LT (hạng III)</v>
          </cell>
          <cell r="O65" t="str">
            <v>V.09.02.03</v>
          </cell>
          <cell r="P65" t="str">
            <v>A1</v>
          </cell>
          <cell r="Q65">
            <v>6</v>
          </cell>
          <cell r="R65">
            <v>4.6500000000000004</v>
          </cell>
          <cell r="S65">
            <v>0.88349999999999995</v>
          </cell>
        </row>
        <row r="66">
          <cell r="D66" t="str">
            <v>Lê Thế Huân</v>
          </cell>
          <cell r="E66" t="str">
            <v>Giảng viên khoa  Điện - Điện tử</v>
          </cell>
          <cell r="F66" t="str">
            <v>ĐH</v>
          </cell>
          <cell r="H66" t="str">
            <v>GV</v>
          </cell>
          <cell r="I66" t="str">
            <v>GV</v>
          </cell>
          <cell r="J66" t="str">
            <v>GV114</v>
          </cell>
          <cell r="K66" t="str">
            <v>021710558</v>
          </cell>
          <cell r="L66" t="str">
            <v>1603205182450</v>
          </cell>
          <cell r="M66" t="str">
            <v>11100000777</v>
          </cell>
          <cell r="N66" t="str">
            <v>Giảng viên GDNN LT (hạng III)</v>
          </cell>
          <cell r="O66" t="str">
            <v>V.09.02.03</v>
          </cell>
          <cell r="P66" t="str">
            <v>A1</v>
          </cell>
          <cell r="Q66">
            <v>5</v>
          </cell>
          <cell r="R66">
            <v>3.99</v>
          </cell>
          <cell r="S66">
            <v>0.67830000000000001</v>
          </cell>
        </row>
        <row r="67">
          <cell r="D67" t="str">
            <v>Trần Trung Hiếu</v>
          </cell>
          <cell r="E67" t="str">
            <v>Giảng viên khoa  Điện - Điện tử</v>
          </cell>
          <cell r="F67" t="str">
            <v>ĐH</v>
          </cell>
          <cell r="H67" t="str">
            <v>GV</v>
          </cell>
          <cell r="I67" t="str">
            <v>GV</v>
          </cell>
          <cell r="J67" t="str">
            <v>GV108</v>
          </cell>
          <cell r="K67" t="str">
            <v>023172993</v>
          </cell>
          <cell r="L67" t="str">
            <v>1603205182480</v>
          </cell>
          <cell r="M67" t="str">
            <v>20500004676</v>
          </cell>
          <cell r="N67" t="str">
            <v>Giảng viên GDNN LT (hạng III)</v>
          </cell>
          <cell r="O67" t="str">
            <v>V.09.02.03</v>
          </cell>
          <cell r="P67" t="str">
            <v>A1</v>
          </cell>
          <cell r="Q67">
            <v>5</v>
          </cell>
          <cell r="R67">
            <v>4.32</v>
          </cell>
          <cell r="S67">
            <v>0.77759999999999996</v>
          </cell>
        </row>
        <row r="68">
          <cell r="D68" t="str">
            <v>Mạnh Lê Hoàn</v>
          </cell>
          <cell r="E68" t="str">
            <v>Giảng viên khoa  Điện - Điện tử</v>
          </cell>
          <cell r="F68" t="str">
            <v>ĐH</v>
          </cell>
          <cell r="H68" t="str">
            <v>GV</v>
          </cell>
          <cell r="I68" t="str">
            <v>GV</v>
          </cell>
          <cell r="J68" t="str">
            <v>GV119</v>
          </cell>
          <cell r="K68" t="str">
            <v>023205612</v>
          </cell>
          <cell r="L68" t="str">
            <v>1603205182473</v>
          </cell>
          <cell r="M68" t="str">
            <v>11100075983</v>
          </cell>
          <cell r="N68" t="str">
            <v>Giảng viên GDNN LT (hạng III)</v>
          </cell>
          <cell r="O68" t="str">
            <v>V.09.02.03</v>
          </cell>
          <cell r="P68" t="str">
            <v>A1</v>
          </cell>
          <cell r="Q68">
            <v>5</v>
          </cell>
          <cell r="R68">
            <v>3.99</v>
          </cell>
          <cell r="S68">
            <v>0.67830000000000001</v>
          </cell>
        </row>
        <row r="69">
          <cell r="D69" t="str">
            <v>Ngô Hoàng Anh</v>
          </cell>
          <cell r="E69" t="str">
            <v>Giảng viên khoa  Điện - Điện tử</v>
          </cell>
          <cell r="F69" t="str">
            <v>Th.S</v>
          </cell>
          <cell r="H69" t="str">
            <v>GV</v>
          </cell>
          <cell r="I69" t="str">
            <v>GV</v>
          </cell>
          <cell r="J69" t="str">
            <v>GV099</v>
          </cell>
          <cell r="K69" t="str">
            <v>024951998</v>
          </cell>
          <cell r="L69" t="str">
            <v>1603205185596</v>
          </cell>
          <cell r="M69" t="str">
            <v>11100000797</v>
          </cell>
          <cell r="N69" t="str">
            <v>Giảng viên GDNN LT (hạng III)</v>
          </cell>
          <cell r="O69" t="str">
            <v>V.09.02.03</v>
          </cell>
          <cell r="P69" t="str">
            <v>A1</v>
          </cell>
          <cell r="Q69">
            <v>6</v>
          </cell>
          <cell r="R69">
            <v>4.32</v>
          </cell>
          <cell r="S69">
            <v>0.82079999999999997</v>
          </cell>
        </row>
        <row r="70">
          <cell r="D70" t="str">
            <v>Nguyễn Hồng Đức</v>
          </cell>
          <cell r="E70" t="str">
            <v>Giảng viên khoa  Điện - Điện tử</v>
          </cell>
          <cell r="F70" t="str">
            <v>ĐH</v>
          </cell>
          <cell r="H70" t="str">
            <v>GV</v>
          </cell>
          <cell r="I70" t="str">
            <v>GV</v>
          </cell>
          <cell r="J70" t="str">
            <v>GV082</v>
          </cell>
          <cell r="K70" t="str">
            <v>022228240</v>
          </cell>
          <cell r="L70" t="str">
            <v>1603205179007</v>
          </cell>
          <cell r="M70" t="str">
            <v>11100000747</v>
          </cell>
          <cell r="N70" t="str">
            <v>Giảng viên GDNN LT (hạng III)</v>
          </cell>
          <cell r="O70" t="str">
            <v>V.09.02.03</v>
          </cell>
          <cell r="P70" t="str">
            <v>A1</v>
          </cell>
          <cell r="Q70">
            <v>9</v>
          </cell>
          <cell r="R70">
            <v>4.9800000000000004</v>
          </cell>
          <cell r="S70">
            <v>2.1414</v>
          </cell>
        </row>
        <row r="71">
          <cell r="D71" t="str">
            <v>Trần Công Tiến</v>
          </cell>
          <cell r="E71" t="str">
            <v>Giảng viên khoa Điện - Điện tử</v>
          </cell>
          <cell r="F71" t="str">
            <v>ĐH</v>
          </cell>
          <cell r="H71" t="str">
            <v>GV</v>
          </cell>
          <cell r="I71" t="str">
            <v>TT</v>
          </cell>
          <cell r="J71" t="str">
            <v>TT051</v>
          </cell>
          <cell r="K71" t="str">
            <v>079072000577</v>
          </cell>
          <cell r="L71" t="str">
            <v>1603205178917</v>
          </cell>
          <cell r="M71" t="str">
            <v>11100000716</v>
          </cell>
          <cell r="N71" t="str">
            <v>Giảng viên GDNN LT (hạng III)</v>
          </cell>
          <cell r="O71" t="str">
            <v>V.09.02.03</v>
          </cell>
          <cell r="P71" t="str">
            <v>A1</v>
          </cell>
          <cell r="Q71">
            <v>9</v>
          </cell>
          <cell r="R71">
            <v>4.9800000000000004</v>
          </cell>
          <cell r="S71">
            <v>1.5656999999999999</v>
          </cell>
        </row>
        <row r="72">
          <cell r="D72" t="str">
            <v>Võ Cường</v>
          </cell>
          <cell r="E72" t="str">
            <v>Trưởng BM khoa Điện - Điện tử</v>
          </cell>
          <cell r="F72" t="str">
            <v>ĐH</v>
          </cell>
          <cell r="H72" t="str">
            <v>GV</v>
          </cell>
          <cell r="I72" t="str">
            <v>TT</v>
          </cell>
          <cell r="J72" t="str">
            <v>TT057</v>
          </cell>
          <cell r="K72" t="str">
            <v>079066001159</v>
          </cell>
          <cell r="L72" t="str">
            <v>1603205179036</v>
          </cell>
          <cell r="M72" t="str">
            <v>11100000775</v>
          </cell>
          <cell r="N72" t="str">
            <v>Giảng viên GDNN LT (hạng III)</v>
          </cell>
          <cell r="O72" t="str">
            <v>V.09.02.03</v>
          </cell>
          <cell r="P72" t="str">
            <v>A1</v>
          </cell>
          <cell r="Q72">
            <v>6</v>
          </cell>
          <cell r="R72">
            <v>4.6500000000000004</v>
          </cell>
          <cell r="S72">
            <v>1.1320000000000001</v>
          </cell>
        </row>
        <row r="73">
          <cell r="D73" t="str">
            <v>Nguyễn Trần Thanh Nhàn</v>
          </cell>
          <cell r="E73" t="str">
            <v>Giảng viên khoa Điện - Điện tử</v>
          </cell>
          <cell r="F73" t="str">
            <v>ĐH</v>
          </cell>
          <cell r="G73" t="str">
            <v>x</v>
          </cell>
          <cell r="H73" t="str">
            <v>GV</v>
          </cell>
          <cell r="I73" t="str">
            <v>GV</v>
          </cell>
          <cell r="J73" t="str">
            <v>GV105</v>
          </cell>
          <cell r="K73" t="str">
            <v>023273100</v>
          </cell>
          <cell r="L73" t="str">
            <v>1603205178923</v>
          </cell>
          <cell r="M73" t="str">
            <v>11100000793</v>
          </cell>
          <cell r="N73" t="str">
            <v>Giảng viên GDNN LT (hạng III)</v>
          </cell>
          <cell r="O73" t="str">
            <v>V.09.02.03</v>
          </cell>
          <cell r="P73" t="str">
            <v>A1</v>
          </cell>
          <cell r="Q73">
            <v>5</v>
          </cell>
          <cell r="R73">
            <v>4.32</v>
          </cell>
          <cell r="S73">
            <v>0.77759999999999996</v>
          </cell>
        </row>
        <row r="74">
          <cell r="D74" t="str">
            <v>Tăng Cẩm Huê</v>
          </cell>
          <cell r="E74" t="str">
            <v>Giảng viên khoa  Điện - Điện tử</v>
          </cell>
          <cell r="F74" t="str">
            <v>ĐH</v>
          </cell>
          <cell r="G74" t="str">
            <v>x</v>
          </cell>
          <cell r="H74" t="str">
            <v>GV</v>
          </cell>
          <cell r="I74" t="str">
            <v>GV</v>
          </cell>
          <cell r="J74" t="str">
            <v>GV106</v>
          </cell>
          <cell r="K74" t="str">
            <v>023179583</v>
          </cell>
          <cell r="L74" t="str">
            <v>1603205178975</v>
          </cell>
          <cell r="M74" t="str">
            <v>11100000774</v>
          </cell>
          <cell r="N74" t="str">
            <v>Giảng viên GDNN LT (hạng III)</v>
          </cell>
          <cell r="O74" t="str">
            <v>V.09.02.03</v>
          </cell>
          <cell r="P74" t="str">
            <v>A1</v>
          </cell>
          <cell r="Q74">
            <v>5</v>
          </cell>
          <cell r="R74">
            <v>4.32</v>
          </cell>
          <cell r="S74">
            <v>0.77759999999999996</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Giảng viên GDNN LT (hạng III)</v>
          </cell>
          <cell r="O75" t="str">
            <v>V.09.02.03</v>
          </cell>
          <cell r="P75" t="str">
            <v>A1</v>
          </cell>
          <cell r="Q75">
            <v>6</v>
          </cell>
          <cell r="R75">
            <v>4.32</v>
          </cell>
          <cell r="S75">
            <v>0.73440000000000005</v>
          </cell>
        </row>
        <row r="76">
          <cell r="D76" t="str">
            <v>Nguyễn Thị Tố Nga</v>
          </cell>
          <cell r="E76" t="str">
            <v>Giảng viên khoa  Điện - Điện tử</v>
          </cell>
          <cell r="F76" t="str">
            <v>ĐH</v>
          </cell>
          <cell r="G76" t="str">
            <v>x</v>
          </cell>
          <cell r="H76" t="str">
            <v>GV</v>
          </cell>
          <cell r="I76" t="str">
            <v>GV</v>
          </cell>
          <cell r="J76" t="str">
            <v>GV111</v>
          </cell>
          <cell r="K76" t="str">
            <v>025602565</v>
          </cell>
          <cell r="L76" t="str">
            <v>1603205178969</v>
          </cell>
          <cell r="M76" t="str">
            <v>11100000779</v>
          </cell>
          <cell r="N76" t="str">
            <v>Giảng viên GDNN LT (hạng III)</v>
          </cell>
          <cell r="O76" t="str">
            <v>V.09.02.03</v>
          </cell>
          <cell r="P76" t="str">
            <v>A1</v>
          </cell>
          <cell r="Q76">
            <v>5</v>
          </cell>
          <cell r="R76">
            <v>4.32</v>
          </cell>
          <cell r="S76">
            <v>0.73440000000000005</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Giảng viên GDNN LT (hạng III)</v>
          </cell>
          <cell r="O77" t="str">
            <v>V.09.02.03</v>
          </cell>
          <cell r="P77" t="str">
            <v>A1</v>
          </cell>
          <cell r="Q77">
            <v>6</v>
          </cell>
          <cell r="R77">
            <v>4.32</v>
          </cell>
          <cell r="S77">
            <v>0.73440000000000005</v>
          </cell>
        </row>
        <row r="78">
          <cell r="D78" t="str">
            <v>Đặng Đức Minh</v>
          </cell>
          <cell r="E78" t="str">
            <v>Giảng viên khoa  Điện - Điện tử</v>
          </cell>
          <cell r="F78" t="str">
            <v>ĐH</v>
          </cell>
          <cell r="H78" t="str">
            <v>GV</v>
          </cell>
          <cell r="I78" t="str">
            <v>TT</v>
          </cell>
          <cell r="J78" t="str">
            <v>TT060</v>
          </cell>
          <cell r="K78" t="str">
            <v>022765460</v>
          </cell>
          <cell r="L78" t="str">
            <v>1603205179020</v>
          </cell>
          <cell r="M78" t="str">
            <v>11100000783</v>
          </cell>
          <cell r="N78" t="str">
            <v>Giảng viên GDNN LT (hạng III)</v>
          </cell>
          <cell r="O78" t="str">
            <v>V.09.02.03</v>
          </cell>
          <cell r="P78" t="str">
            <v>A1</v>
          </cell>
          <cell r="Q78">
            <v>5</v>
          </cell>
          <cell r="R78">
            <v>4.32</v>
          </cell>
          <cell r="S78">
            <v>0.73440000000000005</v>
          </cell>
        </row>
        <row r="79">
          <cell r="D79" t="str">
            <v>Nguyễn Thị Ngọc Hiền</v>
          </cell>
          <cell r="E79" t="str">
            <v>Giảng viên khoa  Điện - Điện tử</v>
          </cell>
          <cell r="F79" t="str">
            <v>ĐH</v>
          </cell>
          <cell r="G79" t="str">
            <v>x</v>
          </cell>
          <cell r="H79" t="str">
            <v>GV</v>
          </cell>
          <cell r="I79" t="str">
            <v>GV</v>
          </cell>
          <cell r="J79" t="str">
            <v>GV113</v>
          </cell>
          <cell r="K79" t="str">
            <v>024346476</v>
          </cell>
          <cell r="L79" t="str">
            <v>1603205178900</v>
          </cell>
          <cell r="M79" t="str">
            <v>11100000786</v>
          </cell>
          <cell r="N79" t="str">
            <v>Giảng viên GDNN LT (hạng III)</v>
          </cell>
          <cell r="O79" t="str">
            <v>V.09.02.03</v>
          </cell>
          <cell r="P79" t="str">
            <v>A1</v>
          </cell>
          <cell r="Q79">
            <v>5</v>
          </cell>
          <cell r="R79">
            <v>4.32</v>
          </cell>
          <cell r="S79">
            <v>0.73440000000000005</v>
          </cell>
        </row>
        <row r="80">
          <cell r="D80" t="str">
            <v>Võ Đắc Thịnh</v>
          </cell>
          <cell r="E80" t="str">
            <v>Phó Trưởng khoa Động lực</v>
          </cell>
          <cell r="F80" t="str">
            <v>ĐH</v>
          </cell>
          <cell r="H80" t="str">
            <v>GV</v>
          </cell>
          <cell r="I80" t="str">
            <v>PPK</v>
          </cell>
          <cell r="J80" t="str">
            <v>PPK035</v>
          </cell>
          <cell r="K80" t="str">
            <v>079079003245</v>
          </cell>
          <cell r="L80" t="str">
            <v>1603205178692</v>
          </cell>
          <cell r="M80" t="str">
            <v>11100000776</v>
          </cell>
          <cell r="N80" t="str">
            <v>Giảng viên GDNN LT (hạng III)</v>
          </cell>
          <cell r="O80" t="str">
            <v>V.09.02.03</v>
          </cell>
          <cell r="P80" t="str">
            <v>A1</v>
          </cell>
          <cell r="Q80">
            <v>6</v>
          </cell>
          <cell r="R80">
            <v>4.6500000000000004</v>
          </cell>
          <cell r="S80">
            <v>1.25</v>
          </cell>
        </row>
        <row r="81">
          <cell r="D81" t="str">
            <v>Đặng Thế Huân</v>
          </cell>
          <cell r="E81" t="str">
            <v>Giảng viên khoa Nhiệt - Lạnh</v>
          </cell>
          <cell r="F81" t="str">
            <v>ĐH</v>
          </cell>
          <cell r="H81" t="str">
            <v>GV</v>
          </cell>
          <cell r="I81" t="str">
            <v>PPK</v>
          </cell>
          <cell r="J81" t="str">
            <v>PPK033</v>
          </cell>
          <cell r="K81" t="str">
            <v>022293675</v>
          </cell>
          <cell r="L81" t="str">
            <v>1603205182690</v>
          </cell>
          <cell r="M81" t="str">
            <v>11100000705</v>
          </cell>
          <cell r="N81" t="str">
            <v>Giảng viên GDNN LT (hạng III)</v>
          </cell>
          <cell r="O81" t="str">
            <v>V.09.02.03</v>
          </cell>
          <cell r="P81" t="str">
            <v>A1</v>
          </cell>
          <cell r="Q81">
            <v>6</v>
          </cell>
          <cell r="R81">
            <v>4.32</v>
          </cell>
          <cell r="S81">
            <v>0.82079999999999997</v>
          </cell>
        </row>
        <row r="82">
          <cell r="D82" t="str">
            <v>Võ Anh Hào</v>
          </cell>
          <cell r="E82" t="str">
            <v>Giảng viên khoa  Nhiệt - Lạnh</v>
          </cell>
          <cell r="F82" t="str">
            <v>ĐH</v>
          </cell>
          <cell r="H82" t="str">
            <v>GV</v>
          </cell>
          <cell r="I82" t="str">
            <v>GV</v>
          </cell>
          <cell r="J82" t="str">
            <v>GV100</v>
          </cell>
          <cell r="K82" t="str">
            <v>022843958</v>
          </cell>
          <cell r="L82" t="str">
            <v>1603205182660</v>
          </cell>
          <cell r="M82" t="str">
            <v>11100066939</v>
          </cell>
          <cell r="N82" t="str">
            <v>Giảng viên GDNN LT (hạng III)</v>
          </cell>
          <cell r="O82" t="str">
            <v>V.09.02.03</v>
          </cell>
          <cell r="P82" t="str">
            <v>A1</v>
          </cell>
          <cell r="Q82">
            <v>6</v>
          </cell>
          <cell r="R82">
            <v>4.32</v>
          </cell>
          <cell r="S82">
            <v>0.77759999999999996</v>
          </cell>
        </row>
        <row r="83">
          <cell r="D83" t="str">
            <v>Nguyễn Vũ Xuân Thì</v>
          </cell>
          <cell r="E83" t="str">
            <v>Giảng viên khoa Nhiệt - Lạnh</v>
          </cell>
          <cell r="F83" t="str">
            <v>ĐH</v>
          </cell>
          <cell r="H83" t="str">
            <v>GV</v>
          </cell>
          <cell r="I83" t="str">
            <v>GV</v>
          </cell>
          <cell r="K83" t="str">
            <v>079071003963</v>
          </cell>
          <cell r="L83" t="str">
            <v>1603205246186</v>
          </cell>
          <cell r="M83" t="str">
            <v>11100122860</v>
          </cell>
          <cell r="N83" t="str">
            <v>Giảng viên GDNN LT (hạng III)</v>
          </cell>
          <cell r="O83" t="str">
            <v>V.09.02.03</v>
          </cell>
          <cell r="P83" t="str">
            <v>A1</v>
          </cell>
          <cell r="Q83">
            <v>7</v>
          </cell>
          <cell r="R83">
            <v>4.9800000000000004</v>
          </cell>
          <cell r="S83">
            <v>0.996</v>
          </cell>
        </row>
        <row r="84">
          <cell r="D84" t="str">
            <v>CỘNG BIÊN CHẾ</v>
          </cell>
          <cell r="G84">
            <v>23</v>
          </cell>
          <cell r="H84">
            <v>44</v>
          </cell>
          <cell r="R84">
            <v>331.1599999999998</v>
          </cell>
          <cell r="S84">
            <v>85.670100000000005</v>
          </cell>
        </row>
        <row r="85">
          <cell r="D85" t="str">
            <v>B. HỢP ĐỒNG LÀM VIỆC LẦN ĐẦU</v>
          </cell>
        </row>
        <row r="86">
          <cell r="D86" t="str">
            <v>Lâm Thị Phương Thảo</v>
          </cell>
          <cell r="E86" t="str">
            <v>Giảng viên khoa KHCB</v>
          </cell>
          <cell r="L86" t="str">
            <v>1603205637004</v>
          </cell>
          <cell r="N86" t="str">
            <v>Giảng viên GDNN LT (hạng III)</v>
          </cell>
          <cell r="O86" t="str">
            <v>V.09.02.03</v>
          </cell>
          <cell r="R86">
            <v>1.9890000000000001</v>
          </cell>
        </row>
        <row r="87">
          <cell r="D87" t="str">
            <v>Trình Minh Phong</v>
          </cell>
          <cell r="E87" t="str">
            <v>Giảng viên khoa xây dựng</v>
          </cell>
          <cell r="L87" t="str">
            <v>1603205634954</v>
          </cell>
          <cell r="N87" t="str">
            <v>Giảng viên GDNN LT (hạng III)</v>
          </cell>
          <cell r="O87" t="str">
            <v>V.09.02.03</v>
          </cell>
          <cell r="R87">
            <v>2.2690000000000001</v>
          </cell>
        </row>
        <row r="88">
          <cell r="D88" t="str">
            <v>Nguyễn Thanh Dũng</v>
          </cell>
          <cell r="E88" t="str">
            <v>Giảng viên khoa Nhiệt - Lạnh</v>
          </cell>
          <cell r="K88">
            <v>212686412</v>
          </cell>
          <cell r="L88" t="str">
            <v>1603205668355</v>
          </cell>
          <cell r="N88" t="str">
            <v>Giảng viên GDNN LT (hạng III)</v>
          </cell>
          <cell r="O88" t="str">
            <v>V.09.02.03</v>
          </cell>
          <cell r="R88">
            <v>2.2690000000000001</v>
          </cell>
        </row>
        <row r="89">
          <cell r="D89" t="str">
            <v>Võ Quốc Duy</v>
          </cell>
          <cell r="E89" t="str">
            <v>Giảng viên khoa Động lực</v>
          </cell>
          <cell r="K89">
            <v>261375031</v>
          </cell>
          <cell r="L89" t="str">
            <v>1603205668440</v>
          </cell>
          <cell r="N89" t="str">
            <v>Giảng viên GDNN LT (hạng III)</v>
          </cell>
          <cell r="O89" t="str">
            <v>V.09.02.03</v>
          </cell>
          <cell r="R89">
            <v>1.9890000000000001</v>
          </cell>
        </row>
        <row r="90">
          <cell r="D90" t="str">
            <v>Võ Hoài Sơn</v>
          </cell>
          <cell r="E90" t="str">
            <v>Giảng viên khoa Cơ khí</v>
          </cell>
          <cell r="K90">
            <v>261105998</v>
          </cell>
          <cell r="L90" t="str">
            <v>1603205668384</v>
          </cell>
          <cell r="N90" t="str">
            <v>Giảng viên GDNN LT (hạng III)</v>
          </cell>
          <cell r="O90" t="str">
            <v>V.09.02.03</v>
          </cell>
          <cell r="R90">
            <v>1.9890000000000001</v>
          </cell>
        </row>
        <row r="91">
          <cell r="D91" t="str">
            <v>Trần Ngọc Tuấn</v>
          </cell>
          <cell r="E91" t="str">
            <v>Giảng viên khoa Xây dựng</v>
          </cell>
          <cell r="K91">
            <v>273529511</v>
          </cell>
          <cell r="L91" t="str">
            <v>1603205668361</v>
          </cell>
          <cell r="N91" t="str">
            <v>Giảng viên GDNN LT (hạng III)</v>
          </cell>
          <cell r="O91" t="str">
            <v>V.09.02.03</v>
          </cell>
          <cell r="R91">
            <v>1.9890000000000001</v>
          </cell>
        </row>
        <row r="92">
          <cell r="D92" t="str">
            <v>Nguyễn Hoàng Vinh</v>
          </cell>
          <cell r="E92" t="str">
            <v>Giảng viên khoa Động lực</v>
          </cell>
          <cell r="L92" t="str">
            <v>1603205634948</v>
          </cell>
          <cell r="N92" t="str">
            <v>Giảng viên GDNN LT (hạng III)</v>
          </cell>
          <cell r="O92" t="str">
            <v>V.09.02.03</v>
          </cell>
          <cell r="R92">
            <v>1.9890000000000001</v>
          </cell>
        </row>
        <row r="93">
          <cell r="D93" t="str">
            <v>Nguyễn Thiện Bình</v>
          </cell>
          <cell r="E93" t="str">
            <v>Giảng viên khoa KHCB</v>
          </cell>
          <cell r="N93" t="str">
            <v>Giảng viên GDNN LT (hạng III)</v>
          </cell>
          <cell r="O93" t="str">
            <v>V.09.02.03</v>
          </cell>
          <cell r="R93">
            <v>1.9890000000000001</v>
          </cell>
        </row>
        <row r="94">
          <cell r="D94" t="str">
            <v>Lê Thị Thúy Oanh</v>
          </cell>
          <cell r="E94" t="str">
            <v>Giảng viên khoa Kinh tế</v>
          </cell>
          <cell r="N94" t="str">
            <v>Giảng viên GDNN LT (hạng III)</v>
          </cell>
          <cell r="O94" t="str">
            <v>V.09.02.03</v>
          </cell>
          <cell r="R94">
            <v>1.9890000000000001</v>
          </cell>
        </row>
        <row r="95">
          <cell r="D95" t="str">
            <v>Giang Văn Tiến</v>
          </cell>
          <cell r="E95" t="str">
            <v>Giảng viên khoa Động lực</v>
          </cell>
          <cell r="L95" t="str">
            <v>1603205670783</v>
          </cell>
          <cell r="N95" t="str">
            <v>Giảng viên GDNN LT (hạng III)</v>
          </cell>
          <cell r="O95" t="str">
            <v>V.09.02.03</v>
          </cell>
          <cell r="R95">
            <v>2.2690000000000001</v>
          </cell>
        </row>
        <row r="96">
          <cell r="D96" t="str">
            <v>Hồ Gia Bảo</v>
          </cell>
          <cell r="E96" t="str">
            <v>Giảng viên khoa Kinh tế</v>
          </cell>
          <cell r="L96" t="str">
            <v>1603205670790</v>
          </cell>
          <cell r="N96" t="str">
            <v>Giảng viên GDNN LT (hạng III)</v>
          </cell>
          <cell r="O96" t="str">
            <v>V.09.02.03</v>
          </cell>
          <cell r="R96">
            <v>1.9890000000000001</v>
          </cell>
        </row>
        <row r="97">
          <cell r="D97" t="str">
            <v>Nguyễn Hoàng Thanh Ngân</v>
          </cell>
          <cell r="E97" t="str">
            <v>Giảng viên khoa Kinh tế</v>
          </cell>
          <cell r="L97" t="str">
            <v>1603205670804</v>
          </cell>
          <cell r="N97" t="str">
            <v>Giảng viên GDNN LT (hạng III)</v>
          </cell>
          <cell r="O97" t="str">
            <v>V.09.02.03</v>
          </cell>
          <cell r="R97">
            <v>1.9890000000000001</v>
          </cell>
        </row>
        <row r="98">
          <cell r="D98" t="str">
            <v>Đỗ Hoàng Duy</v>
          </cell>
          <cell r="E98" t="str">
            <v>Giảng viên khoa Động lực</v>
          </cell>
          <cell r="L98" t="str">
            <v>1603205634960</v>
          </cell>
          <cell r="N98" t="str">
            <v>Giảng viên GDNN LT (hạng III)</v>
          </cell>
          <cell r="O98" t="str">
            <v>V.09.02.03</v>
          </cell>
          <cell r="R98">
            <v>1.9890000000000001</v>
          </cell>
        </row>
        <row r="99">
          <cell r="D99" t="str">
            <v xml:space="preserve"> CỘNG HỢP ĐỒNG LV LẦN ĐẦU</v>
          </cell>
          <cell r="R99">
            <v>26.697000000000006</v>
          </cell>
        </row>
        <row r="100">
          <cell r="D100" t="str">
            <v>C. HỢP ĐỒNG LÀM VIỆC CÓ THỜI HẠN</v>
          </cell>
        </row>
        <row r="101">
          <cell r="D101" t="str">
            <v>D. HỢP ĐỒNG LÀM VIỆC KHÔNG THỜI HẠN</v>
          </cell>
        </row>
        <row r="102">
          <cell r="D102" t="str">
            <v>Lưu Hoàng Hải Yến</v>
          </cell>
          <cell r="E102" t="str">
            <v>Phó phòng Tổ chức - Hành chính - Tổng hợp</v>
          </cell>
          <cell r="K102" t="str">
            <v>080185000458</v>
          </cell>
          <cell r="N102" t="str">
            <v>Chuyên viên</v>
          </cell>
          <cell r="O102" t="str">
            <v>01.003</v>
          </cell>
          <cell r="R102">
            <v>3.33</v>
          </cell>
          <cell r="S102">
            <v>0.35</v>
          </cell>
        </row>
        <row r="103">
          <cell r="D103" t="str">
            <v>Huỳnh Thị Minh Ly</v>
          </cell>
          <cell r="E103" t="str">
            <v>Phó phòng Tổ chức - Hành chính - Tổng hợp</v>
          </cell>
          <cell r="N103" t="str">
            <v>Giảng viên GDNN LT (hạng III)</v>
          </cell>
          <cell r="O103" t="str">
            <v>V.09.02.03</v>
          </cell>
          <cell r="R103">
            <v>2.67</v>
          </cell>
        </row>
        <row r="104">
          <cell r="D104" t="str">
            <v>Nguyễn Văn Chì</v>
          </cell>
          <cell r="E104" t="str">
            <v>Nhân viên phòng Tổ chức - Hành chính - Tổng hợp</v>
          </cell>
          <cell r="I104" t="str">
            <v>NV</v>
          </cell>
          <cell r="K104" t="str">
            <v>025310266</v>
          </cell>
          <cell r="L104">
            <v>1603205280047</v>
          </cell>
          <cell r="M104" t="str">
            <v>40700000887</v>
          </cell>
          <cell r="N104" t="str">
            <v>Lưu trữ viên
(hạng III)</v>
          </cell>
          <cell r="O104" t="str">
            <v>V.01.02.02</v>
          </cell>
          <cell r="P104" t="str">
            <v>A1</v>
          </cell>
          <cell r="Q104">
            <v>3</v>
          </cell>
          <cell r="R104">
            <v>3.33</v>
          </cell>
          <cell r="S104">
            <v>0</v>
          </cell>
        </row>
        <row r="105">
          <cell r="D105" t="str">
            <v>Nguyễn Thị Vân</v>
          </cell>
          <cell r="E105" t="str">
            <v>Nhân viên phòng Tổ chức - Hành chính - Tổng hợp</v>
          </cell>
          <cell r="K105" t="str">
            <v>025575045</v>
          </cell>
          <cell r="N105" t="str">
            <v>Lưu trữ viên
(hạng III)</v>
          </cell>
          <cell r="O105" t="str">
            <v>V.01.02.02</v>
          </cell>
          <cell r="P105" t="str">
            <v>III</v>
          </cell>
          <cell r="Q105">
            <v>1</v>
          </cell>
          <cell r="R105">
            <v>2.1</v>
          </cell>
        </row>
        <row r="106">
          <cell r="D106" t="str">
            <v>Phan Thị Ngọc Phượng</v>
          </cell>
          <cell r="E106" t="str">
            <v>Nhân viên phòng Tổ chức - Hành chính - Tổng hợp</v>
          </cell>
          <cell r="F106" t="str">
            <v>TC</v>
          </cell>
          <cell r="G106" t="str">
            <v>x</v>
          </cell>
          <cell r="I106" t="str">
            <v>NV</v>
          </cell>
          <cell r="J106" t="str">
            <v>NV188</v>
          </cell>
          <cell r="K106" t="str">
            <v>023547031</v>
          </cell>
          <cell r="L106" t="str">
            <v>1603205186162</v>
          </cell>
          <cell r="M106" t="str">
            <v>11100082854</v>
          </cell>
          <cell r="N106" t="str">
            <v>Chuyên viên</v>
          </cell>
          <cell r="O106" t="str">
            <v>01.003</v>
          </cell>
          <cell r="P106" t="str">
            <v>B</v>
          </cell>
          <cell r="Q106">
            <v>6</v>
          </cell>
          <cell r="R106">
            <v>3.66</v>
          </cell>
          <cell r="S106">
            <v>0</v>
          </cell>
        </row>
        <row r="107">
          <cell r="D107" t="str">
            <v>Trần Thị Ánh Phượng</v>
          </cell>
          <cell r="E107" t="str">
            <v>Nhân viên phòng Tổ chức - Hành chính - Tổng hợp</v>
          </cell>
          <cell r="F107" t="str">
            <v>TC</v>
          </cell>
          <cell r="G107" t="str">
            <v>x</v>
          </cell>
          <cell r="I107" t="str">
            <v>NV</v>
          </cell>
          <cell r="K107" t="str">
            <v>024306087</v>
          </cell>
          <cell r="L107" t="str">
            <v>1603205246134</v>
          </cell>
          <cell r="M107" t="str">
            <v>11100115699</v>
          </cell>
          <cell r="N107" t="str">
            <v>Chuyên viên</v>
          </cell>
          <cell r="O107" t="str">
            <v>01.003</v>
          </cell>
          <cell r="P107" t="str">
            <v>B</v>
          </cell>
          <cell r="Q107">
            <v>6</v>
          </cell>
          <cell r="R107">
            <v>3.33</v>
          </cell>
          <cell r="S107">
            <v>0</v>
          </cell>
        </row>
        <row r="108">
          <cell r="D108" t="str">
            <v>Thân Thị Nhung</v>
          </cell>
          <cell r="E108" t="str">
            <v>Nhân viên phòng Tổ chức - Hành chính - Tổng hợp</v>
          </cell>
          <cell r="G108" t="str">
            <v>x</v>
          </cell>
          <cell r="I108" t="str">
            <v>NV</v>
          </cell>
          <cell r="K108" t="str">
            <v>025877702</v>
          </cell>
          <cell r="L108">
            <v>1603205360856</v>
          </cell>
          <cell r="M108" t="str">
            <v>40700000683</v>
          </cell>
          <cell r="N108" t="str">
            <v>Chuyên viên</v>
          </cell>
          <cell r="O108" t="str">
            <v>01.003</v>
          </cell>
          <cell r="P108" t="str">
            <v>A0</v>
          </cell>
          <cell r="Q108">
            <v>1</v>
          </cell>
          <cell r="R108">
            <v>3</v>
          </cell>
          <cell r="S108">
            <v>0</v>
          </cell>
        </row>
        <row r="109">
          <cell r="D109" t="str">
            <v>Trần Thị Phương Oanh</v>
          </cell>
          <cell r="E109" t="str">
            <v>Nhân viên phòng Tổ chức - Hành chính - Tổng hợp</v>
          </cell>
          <cell r="F109" t="str">
            <v>ĐH</v>
          </cell>
          <cell r="G109" t="str">
            <v>x</v>
          </cell>
          <cell r="I109" t="str">
            <v>NV</v>
          </cell>
          <cell r="J109" t="str">
            <v>NV202</v>
          </cell>
          <cell r="K109" t="str">
            <v>023681257</v>
          </cell>
          <cell r="L109" t="str">
            <v>1603205178794</v>
          </cell>
          <cell r="M109" t="str">
            <v>11100071604</v>
          </cell>
          <cell r="N109" t="str">
            <v>Cán sự</v>
          </cell>
          <cell r="O109" t="str">
            <v>01.004</v>
          </cell>
          <cell r="P109" t="str">
            <v>B</v>
          </cell>
          <cell r="Q109">
            <v>6</v>
          </cell>
          <cell r="R109">
            <v>3.34</v>
          </cell>
          <cell r="S109">
            <v>0</v>
          </cell>
        </row>
        <row r="110">
          <cell r="D110" t="str">
            <v>Vũ Như Quỳnh</v>
          </cell>
          <cell r="E110" t="str">
            <v>Nhân viên phòng Tổ chức - Hành chính - Tổng hợp</v>
          </cell>
          <cell r="F110" t="str">
            <v>ĐH</v>
          </cell>
          <cell r="G110" t="str">
            <v>x</v>
          </cell>
          <cell r="I110" t="str">
            <v>NV</v>
          </cell>
          <cell r="J110" t="str">
            <v>NV189</v>
          </cell>
          <cell r="K110" t="str">
            <v>031181011700</v>
          </cell>
          <cell r="L110" t="str">
            <v>1603205186127</v>
          </cell>
          <cell r="M110" t="str">
            <v>11100082861</v>
          </cell>
          <cell r="N110" t="str">
            <v>Kế toán viên</v>
          </cell>
          <cell r="O110" t="str">
            <v>06.031</v>
          </cell>
          <cell r="P110" t="str">
            <v>A1</v>
          </cell>
          <cell r="Q110">
            <v>3</v>
          </cell>
          <cell r="R110">
            <v>3.66</v>
          </cell>
          <cell r="S110">
            <v>0</v>
          </cell>
        </row>
        <row r="111">
          <cell r="D111" t="str">
            <v>Nguyễn Thị Bích Liễu</v>
          </cell>
          <cell r="E111" t="str">
            <v>Nhân viên phòng Tổ chức - Hành chính - Tổng hợp</v>
          </cell>
          <cell r="G111" t="str">
            <v>x</v>
          </cell>
          <cell r="K111" t="str">
            <v>024419690</v>
          </cell>
          <cell r="L111" t="str">
            <v>1603205249292</v>
          </cell>
          <cell r="M111" t="str">
            <v>40400000515</v>
          </cell>
          <cell r="N111" t="str">
            <v>Kỹ thuật viên (hạng IV)</v>
          </cell>
          <cell r="O111" t="str">
            <v>V.05.02.08</v>
          </cell>
          <cell r="P111" t="str">
            <v>B</v>
          </cell>
          <cell r="Q111">
            <v>3</v>
          </cell>
          <cell r="R111">
            <v>3.26</v>
          </cell>
          <cell r="S111">
            <v>0</v>
          </cell>
        </row>
        <row r="112">
          <cell r="D112" t="str">
            <v>Ninh Đỗ Hiệp</v>
          </cell>
          <cell r="E112" t="str">
            <v>Nhân viên phòng Quản trị - Dịch vụ</v>
          </cell>
          <cell r="F112" t="str">
            <v>TC</v>
          </cell>
          <cell r="I112" t="str">
            <v>NV</v>
          </cell>
          <cell r="K112" t="str">
            <v>025211587</v>
          </cell>
          <cell r="L112" t="str">
            <v>1603205245965</v>
          </cell>
          <cell r="M112" t="str">
            <v>11100115706</v>
          </cell>
          <cell r="N112" t="str">
            <v>Chuyên viên</v>
          </cell>
          <cell r="O112" t="str">
            <v>01.003</v>
          </cell>
          <cell r="P112" t="str">
            <v>A1</v>
          </cell>
          <cell r="Q112">
            <v>2</v>
          </cell>
          <cell r="R112">
            <v>3.33</v>
          </cell>
          <cell r="S112">
            <v>0</v>
          </cell>
        </row>
        <row r="113">
          <cell r="D113" t="str">
            <v>Nguyễn Trọng Phú</v>
          </cell>
          <cell r="E113" t="str">
            <v>Tổ trưởng tổ sửa chữa cơ bản - P.QTDV</v>
          </cell>
          <cell r="F113" t="str">
            <v>CĐ</v>
          </cell>
          <cell r="I113" t="str">
            <v>NV</v>
          </cell>
          <cell r="J113" t="str">
            <v>NV195</v>
          </cell>
          <cell r="K113" t="str">
            <v>024783702</v>
          </cell>
          <cell r="L113" t="str">
            <v>1603205185935</v>
          </cell>
          <cell r="M113" t="str">
            <v>11100083294</v>
          </cell>
          <cell r="N113" t="str">
            <v>Cán sự</v>
          </cell>
          <cell r="O113" t="str">
            <v>01.004</v>
          </cell>
          <cell r="P113" t="str">
            <v>A0</v>
          </cell>
          <cell r="Q113">
            <v>3</v>
          </cell>
          <cell r="R113">
            <v>3.34</v>
          </cell>
          <cell r="S113">
            <v>0.25</v>
          </cell>
        </row>
        <row r="114">
          <cell r="D114" t="str">
            <v>Lê Hồng Anh Tuấn</v>
          </cell>
          <cell r="E114" t="str">
            <v>Nhân viên phòng Quản trị - Dịch vụ</v>
          </cell>
          <cell r="I114" t="str">
            <v>NV</v>
          </cell>
          <cell r="K114" t="str">
            <v>024698782</v>
          </cell>
          <cell r="L114">
            <v>1603205348129</v>
          </cell>
          <cell r="M114" t="str">
            <v>40900000037</v>
          </cell>
          <cell r="N114" t="str">
            <v>Cán sự</v>
          </cell>
          <cell r="O114" t="str">
            <v>01.004</v>
          </cell>
          <cell r="P114" t="str">
            <v>A0</v>
          </cell>
          <cell r="Q114">
            <v>1</v>
          </cell>
          <cell r="R114">
            <v>3.03</v>
          </cell>
          <cell r="S114">
            <v>0</v>
          </cell>
        </row>
        <row r="115">
          <cell r="D115" t="str">
            <v>Nguyễn Tiến Việt Dũng</v>
          </cell>
          <cell r="E115" t="str">
            <v>Nhân viên phòng Quản trị - Dịch vụ</v>
          </cell>
          <cell r="I115" t="str">
            <v>NV</v>
          </cell>
          <cell r="K115" t="str">
            <v>024647632</v>
          </cell>
          <cell r="L115">
            <v>1603205357238</v>
          </cell>
          <cell r="M115" t="str">
            <v>40800000301</v>
          </cell>
          <cell r="N115" t="str">
            <v>Cán sự</v>
          </cell>
          <cell r="O115" t="str">
            <v>01.004</v>
          </cell>
          <cell r="P115" t="str">
            <v>A0</v>
          </cell>
          <cell r="Q115">
            <v>1</v>
          </cell>
          <cell r="R115">
            <v>3.03</v>
          </cell>
          <cell r="S115">
            <v>0</v>
          </cell>
        </row>
        <row r="116">
          <cell r="D116" t="str">
            <v>Bùi Đặng Hoàng Tuấn</v>
          </cell>
          <cell r="E116" t="str">
            <v>Nhân viên Phòng Quản trị - Dịch vụ</v>
          </cell>
          <cell r="I116" t="str">
            <v>NV</v>
          </cell>
          <cell r="K116" t="str">
            <v>079086004027</v>
          </cell>
          <cell r="L116">
            <v>1603205302590</v>
          </cell>
          <cell r="M116" t="str">
            <v>40800000327</v>
          </cell>
          <cell r="N116" t="str">
            <v>Cán sự</v>
          </cell>
          <cell r="O116" t="str">
            <v>01.004</v>
          </cell>
          <cell r="P116" t="str">
            <v>A0</v>
          </cell>
          <cell r="Q116">
            <v>2</v>
          </cell>
          <cell r="R116">
            <v>3.03</v>
          </cell>
          <cell r="S116">
            <v>0</v>
          </cell>
        </row>
        <row r="117">
          <cell r="D117" t="str">
            <v>Nguyễn Cao Thắng</v>
          </cell>
          <cell r="E117" t="str">
            <v>Nhân viên phòng Quản trị - Dịch vụ</v>
          </cell>
          <cell r="K117" t="str">
            <v>079084013225</v>
          </cell>
          <cell r="N117" t="str">
            <v>Kỹ sư (hạng III)</v>
          </cell>
          <cell r="O117" t="str">
            <v>V.05.02.07</v>
          </cell>
          <cell r="R117">
            <v>3</v>
          </cell>
          <cell r="S117">
            <v>0</v>
          </cell>
        </row>
        <row r="118">
          <cell r="D118" t="str">
            <v>Võ Tấn Kiệt</v>
          </cell>
          <cell r="E118" t="str">
            <v>Nhân viên phòng Quản trị - Dịch vụ</v>
          </cell>
          <cell r="N118" t="str">
            <v>Kỹ sư (hạng III)</v>
          </cell>
          <cell r="O118" t="str">
            <v>V.05.02.07</v>
          </cell>
          <cell r="R118">
            <v>2.34</v>
          </cell>
        </row>
        <row r="119">
          <cell r="D119" t="str">
            <v>Giáp Văn Thịnh</v>
          </cell>
          <cell r="E119" t="str">
            <v>Nhân viên phòng Quản trị - Dịch vụ</v>
          </cell>
          <cell r="F119" t="str">
            <v>TC</v>
          </cell>
          <cell r="I119" t="str">
            <v>NV</v>
          </cell>
          <cell r="K119" t="str">
            <v>024683154</v>
          </cell>
          <cell r="L119" t="str">
            <v>1603205246157</v>
          </cell>
          <cell r="M119" t="str">
            <v>11100115709</v>
          </cell>
          <cell r="N119" t="str">
            <v>Kỹ thuật viên (hạng IV)</v>
          </cell>
          <cell r="O119" t="str">
            <v>V.05.02.08</v>
          </cell>
          <cell r="P119" t="str">
            <v>B</v>
          </cell>
          <cell r="Q119">
            <v>6</v>
          </cell>
          <cell r="R119">
            <v>3.26</v>
          </cell>
          <cell r="S119">
            <v>0</v>
          </cell>
        </row>
        <row r="120">
          <cell r="D120" t="str">
            <v>Vũ Ngọc Quang</v>
          </cell>
          <cell r="E120" t="str">
            <v>Nhân viên phòng Quản trị - Dịch vụ</v>
          </cell>
          <cell r="F120" t="str">
            <v>TC</v>
          </cell>
          <cell r="I120" t="str">
            <v>NV</v>
          </cell>
          <cell r="J120" t="str">
            <v>NV194</v>
          </cell>
          <cell r="K120" t="str">
            <v>079084001864</v>
          </cell>
          <cell r="L120" t="str">
            <v>1603205185912</v>
          </cell>
          <cell r="M120" t="str">
            <v>11100083308</v>
          </cell>
          <cell r="N120" t="str">
            <v>Kỹ thuật viên (hạng IV)</v>
          </cell>
          <cell r="O120" t="str">
            <v>V.05.02.08</v>
          </cell>
          <cell r="P120" t="str">
            <v>B</v>
          </cell>
          <cell r="Q120">
            <v>6</v>
          </cell>
          <cell r="R120">
            <v>3.06</v>
          </cell>
          <cell r="S120">
            <v>0</v>
          </cell>
        </row>
        <row r="121">
          <cell r="D121" t="str">
            <v>Bùi Thị Dương</v>
          </cell>
          <cell r="E121" t="str">
            <v>Nhân viên phòng Quản trị - Dịch vụ</v>
          </cell>
          <cell r="F121" t="str">
            <v>TC</v>
          </cell>
          <cell r="G121" t="str">
            <v>x</v>
          </cell>
          <cell r="I121" t="str">
            <v>NV</v>
          </cell>
          <cell r="K121" t="str">
            <v>040178000738</v>
          </cell>
          <cell r="L121">
            <v>1603205182619</v>
          </cell>
          <cell r="M121" t="str">
            <v>11100115717</v>
          </cell>
          <cell r="N121" t="str">
            <v>Cán sự</v>
          </cell>
          <cell r="O121" t="str">
            <v>01.004</v>
          </cell>
          <cell r="P121" t="str">
            <v>B</v>
          </cell>
          <cell r="Q121">
            <v>7</v>
          </cell>
          <cell r="R121">
            <v>3.46</v>
          </cell>
          <cell r="S121">
            <v>0</v>
          </cell>
        </row>
        <row r="122">
          <cell r="D122" t="str">
            <v>Bùi Thị Lan Anh</v>
          </cell>
          <cell r="E122" t="str">
            <v>Nhân viên Trung tâm Y tế</v>
          </cell>
          <cell r="F122" t="str">
            <v>TC</v>
          </cell>
          <cell r="G122" t="str">
            <v>x</v>
          </cell>
          <cell r="I122" t="str">
            <v>NV</v>
          </cell>
          <cell r="K122" t="str">
            <v>025154407</v>
          </cell>
          <cell r="L122">
            <v>1603205247426</v>
          </cell>
          <cell r="M122" t="str">
            <v>11100115711</v>
          </cell>
          <cell r="N122" t="str">
            <v>Y sĩ (hạng IV)</v>
          </cell>
          <cell r="O122" t="str">
            <v>V.08.03.07</v>
          </cell>
          <cell r="P122" t="str">
            <v>B</v>
          </cell>
          <cell r="Q122">
            <v>7</v>
          </cell>
          <cell r="R122">
            <v>3.46</v>
          </cell>
          <cell r="S122">
            <v>0</v>
          </cell>
        </row>
        <row r="123">
          <cell r="D123" t="str">
            <v>Nguyễn Thị Kim Dung</v>
          </cell>
          <cell r="E123" t="str">
            <v>Phó Trưởng phòng Khảo thí và Đảm bảo chất lượng</v>
          </cell>
          <cell r="F123" t="str">
            <v>ĐH</v>
          </cell>
          <cell r="G123" t="str">
            <v>x</v>
          </cell>
          <cell r="I123" t="str">
            <v>NV</v>
          </cell>
          <cell r="J123" t="str">
            <v>NV203</v>
          </cell>
          <cell r="K123" t="str">
            <v>035179002848</v>
          </cell>
          <cell r="L123" t="str">
            <v>1603205182336</v>
          </cell>
          <cell r="M123" t="str">
            <v>11100071598</v>
          </cell>
          <cell r="N123" t="str">
            <v>Kế toán viên</v>
          </cell>
          <cell r="O123" t="str">
            <v>06.031</v>
          </cell>
          <cell r="P123" t="str">
            <v>A1</v>
          </cell>
          <cell r="Q123">
            <v>5</v>
          </cell>
          <cell r="R123">
            <v>3.99</v>
          </cell>
          <cell r="S123">
            <v>0.35</v>
          </cell>
        </row>
        <row r="124">
          <cell r="D124" t="str">
            <v>Võ Thị Lệ Trân</v>
          </cell>
          <cell r="E124" t="str">
            <v>Nhân viên phòng Kế hoạch - Tài chính</v>
          </cell>
          <cell r="G124" t="str">
            <v>x</v>
          </cell>
          <cell r="K124" t="str">
            <v>025408857</v>
          </cell>
          <cell r="M124" t="str">
            <v>50700000428</v>
          </cell>
          <cell r="N124" t="str">
            <v>Kế toán viên</v>
          </cell>
          <cell r="O124" t="str">
            <v>06.031</v>
          </cell>
          <cell r="P124" t="str">
            <v>A1</v>
          </cell>
          <cell r="Q124">
            <v>2</v>
          </cell>
          <cell r="R124">
            <v>3.33</v>
          </cell>
          <cell r="S124">
            <v>0</v>
          </cell>
        </row>
        <row r="125">
          <cell r="D125" t="str">
            <v>Trần Thị Minh Thoa</v>
          </cell>
          <cell r="E125" t="str">
            <v>Nhân viên phòng Kế hoạch - Tài chính</v>
          </cell>
          <cell r="F125" t="str">
            <v>TC</v>
          </cell>
          <cell r="G125" t="str">
            <v>x</v>
          </cell>
          <cell r="K125" t="str">
            <v>025197968</v>
          </cell>
          <cell r="L125">
            <v>1603205178873</v>
          </cell>
          <cell r="M125" t="str">
            <v>11100121674</v>
          </cell>
          <cell r="N125" t="str">
            <v>Kế toán viên trung cấp</v>
          </cell>
          <cell r="O125" t="str">
            <v>06.032</v>
          </cell>
          <cell r="P125" t="str">
            <v>B</v>
          </cell>
          <cell r="Q125">
            <v>7</v>
          </cell>
          <cell r="R125">
            <v>3.34</v>
          </cell>
          <cell r="S125">
            <v>0</v>
          </cell>
        </row>
        <row r="126">
          <cell r="D126" t="str">
            <v>Hồng Mộng Tuyết Dung</v>
          </cell>
          <cell r="E126" t="str">
            <v>Nhân viên phòng Kế hoạch - Tài chính</v>
          </cell>
          <cell r="F126" t="str">
            <v>ĐH</v>
          </cell>
          <cell r="G126" t="str">
            <v>x</v>
          </cell>
          <cell r="I126" t="str">
            <v>NV</v>
          </cell>
          <cell r="K126" t="str">
            <v>022527163</v>
          </cell>
          <cell r="L126" t="str">
            <v>1603205203183</v>
          </cell>
          <cell r="M126" t="str">
            <v>11100115722</v>
          </cell>
          <cell r="N126" t="str">
            <v>Chuyên viên</v>
          </cell>
          <cell r="O126" t="str">
            <v>01.003</v>
          </cell>
          <cell r="P126" t="str">
            <v>A1</v>
          </cell>
          <cell r="Q126">
            <v>4</v>
          </cell>
          <cell r="R126">
            <v>3.66</v>
          </cell>
          <cell r="S126">
            <v>0</v>
          </cell>
        </row>
        <row r="127">
          <cell r="D127" t="str">
            <v>Nguyễn Thị Hồng Thắm</v>
          </cell>
          <cell r="E127" t="str">
            <v>Nhân viên phòng Kế hoạch - Tài chính</v>
          </cell>
          <cell r="G127" t="str">
            <v>x</v>
          </cell>
          <cell r="K127" t="str">
            <v>025796369</v>
          </cell>
          <cell r="L127">
            <v>1603205372861</v>
          </cell>
          <cell r="M127" t="str">
            <v>40700000691</v>
          </cell>
          <cell r="N127" t="str">
            <v>Chuyên viên</v>
          </cell>
          <cell r="O127" t="str">
            <v>01.003</v>
          </cell>
          <cell r="P127" t="str">
            <v>B</v>
          </cell>
          <cell r="Q127">
            <v>1</v>
          </cell>
          <cell r="R127">
            <v>2.67</v>
          </cell>
          <cell r="S127">
            <v>0</v>
          </cell>
        </row>
        <row r="128">
          <cell r="D128" t="str">
            <v>Lương Xuân Thịnh</v>
          </cell>
          <cell r="E128" t="str">
            <v>Phó Trưởng Phòng Tuyển sinh - Đào tạo</v>
          </cell>
          <cell r="K128" t="str">
            <v>051091000077</v>
          </cell>
          <cell r="N128" t="str">
            <v>Kỹ sư (hạng III)</v>
          </cell>
          <cell r="O128" t="str">
            <v>V.05.02.07</v>
          </cell>
          <cell r="R128">
            <v>2.67</v>
          </cell>
          <cell r="S128">
            <v>0.35</v>
          </cell>
        </row>
        <row r="129">
          <cell r="D129" t="str">
            <v>Huỳnh Thị Mai</v>
          </cell>
          <cell r="E129" t="str">
            <v>Phó TP Tuyển sinh - Đào tạo</v>
          </cell>
          <cell r="F129" t="str">
            <v>ĐH</v>
          </cell>
          <cell r="G129" t="str">
            <v>x</v>
          </cell>
          <cell r="I129" t="str">
            <v>GV</v>
          </cell>
          <cell r="J129" t="str">
            <v>GV146</v>
          </cell>
          <cell r="K129" t="str">
            <v>024673300</v>
          </cell>
          <cell r="L129" t="str">
            <v>1603205185652</v>
          </cell>
          <cell r="M129" t="str">
            <v>11100083384</v>
          </cell>
          <cell r="N129" t="str">
            <v>Giảng viên GDNN LT (hạng III)</v>
          </cell>
          <cell r="O129" t="str">
            <v>V.09.02.03</v>
          </cell>
          <cell r="P129" t="str">
            <v>A1</v>
          </cell>
          <cell r="Q129">
            <v>4</v>
          </cell>
          <cell r="R129">
            <v>3.99</v>
          </cell>
          <cell r="S129">
            <v>0.74059999999999993</v>
          </cell>
        </row>
        <row r="130">
          <cell r="D130" t="str">
            <v>Mai Nguyễn Hoàng Yến</v>
          </cell>
          <cell r="E130" t="str">
            <v>Nhân viên phòng Tuyển sinh - Đào tạo</v>
          </cell>
          <cell r="G130" t="str">
            <v>x</v>
          </cell>
          <cell r="I130" t="str">
            <v>NV</v>
          </cell>
          <cell r="K130" t="str">
            <v>023124949</v>
          </cell>
          <cell r="L130" t="str">
            <v>1603205357194</v>
          </cell>
          <cell r="M130" t="str">
            <v>40800000380</v>
          </cell>
          <cell r="N130" t="str">
            <v>Chuyên viên</v>
          </cell>
          <cell r="O130" t="str">
            <v>01.003</v>
          </cell>
          <cell r="P130" t="str">
            <v>A1</v>
          </cell>
          <cell r="Q130">
            <v>2</v>
          </cell>
          <cell r="R130">
            <v>3.33</v>
          </cell>
          <cell r="S130">
            <v>0</v>
          </cell>
        </row>
        <row r="131">
          <cell r="D131" t="str">
            <v>Nguyễn Thị Hải Hà</v>
          </cell>
          <cell r="E131" t="str">
            <v>Nhân viên phòng Tuyển sinh - Đào tạo</v>
          </cell>
          <cell r="F131" t="str">
            <v>ĐH</v>
          </cell>
          <cell r="G131" t="str">
            <v>x</v>
          </cell>
          <cell r="I131" t="str">
            <v>NV</v>
          </cell>
          <cell r="K131" t="str">
            <v>023660331</v>
          </cell>
          <cell r="L131">
            <v>1603205182178</v>
          </cell>
          <cell r="M131" t="str">
            <v>11100115720</v>
          </cell>
          <cell r="N131" t="str">
            <v>Chuyên viên</v>
          </cell>
          <cell r="O131" t="str">
            <v>01.003</v>
          </cell>
          <cell r="P131" t="str">
            <v>A0</v>
          </cell>
          <cell r="Q131">
            <v>3</v>
          </cell>
          <cell r="R131">
            <v>3.66</v>
          </cell>
          <cell r="S131">
            <v>0</v>
          </cell>
        </row>
        <row r="132">
          <cell r="D132" t="str">
            <v>Nguyễn Thị Thanh Thảo</v>
          </cell>
          <cell r="E132" t="str">
            <v>Nhân viên phòng Tuyển sinh - Đào tạo</v>
          </cell>
          <cell r="F132" t="str">
            <v>ĐH</v>
          </cell>
          <cell r="G132" t="str">
            <v>x</v>
          </cell>
          <cell r="I132" t="str">
            <v>NV</v>
          </cell>
          <cell r="K132" t="str">
            <v>026005827</v>
          </cell>
          <cell r="L132">
            <v>1603205182394</v>
          </cell>
          <cell r="M132" t="str">
            <v>11100115707</v>
          </cell>
          <cell r="N132" t="str">
            <v>Chuyên viên</v>
          </cell>
          <cell r="O132" t="str">
            <v>01.003</v>
          </cell>
          <cell r="P132" t="str">
            <v>A1</v>
          </cell>
          <cell r="Q132">
            <v>4</v>
          </cell>
          <cell r="R132">
            <v>3.66</v>
          </cell>
          <cell r="S132">
            <v>0</v>
          </cell>
        </row>
        <row r="133">
          <cell r="D133" t="str">
            <v>Thái Thị My Sa</v>
          </cell>
          <cell r="E133" t="str">
            <v>Nhân viên phòng Tuyển sinh - Đào tạo</v>
          </cell>
          <cell r="K133" t="str">
            <v>197178714</v>
          </cell>
          <cell r="N133" t="str">
            <v>Chuyên viên</v>
          </cell>
          <cell r="O133" t="str">
            <v>01.003</v>
          </cell>
          <cell r="R133">
            <v>3.33</v>
          </cell>
          <cell r="S133">
            <v>0</v>
          </cell>
        </row>
        <row r="134">
          <cell r="D134" t="str">
            <v>Giáp Thị Vượng</v>
          </cell>
          <cell r="E134" t="str">
            <v>Nhân viên phòng Tuyển sinh - Đào tạo</v>
          </cell>
          <cell r="F134" t="str">
            <v>ĐH</v>
          </cell>
          <cell r="G134" t="str">
            <v>x</v>
          </cell>
          <cell r="I134" t="str">
            <v>NV</v>
          </cell>
          <cell r="K134" t="str">
            <v>024683155</v>
          </cell>
          <cell r="L134" t="str">
            <v>1603205246090</v>
          </cell>
          <cell r="M134" t="str">
            <v>11100115705</v>
          </cell>
          <cell r="N134" t="str">
            <v>Chuyên viên</v>
          </cell>
          <cell r="O134" t="str">
            <v>01.003</v>
          </cell>
          <cell r="P134" t="str">
            <v>B</v>
          </cell>
          <cell r="Q134">
            <v>4</v>
          </cell>
          <cell r="R134">
            <v>3.33</v>
          </cell>
          <cell r="S134">
            <v>0</v>
          </cell>
        </row>
        <row r="135">
          <cell r="D135" t="str">
            <v>Huỳnh Thị Cẩm Hoa</v>
          </cell>
          <cell r="E135" t="str">
            <v>Nhân viên phòng Tuyển sinh - Đào tạo</v>
          </cell>
          <cell r="K135" t="str">
            <v>023790449</v>
          </cell>
          <cell r="N135" t="str">
            <v>Chuyên viên</v>
          </cell>
          <cell r="O135" t="str">
            <v>01.003</v>
          </cell>
          <cell r="Q135">
            <v>3</v>
          </cell>
          <cell r="R135">
            <v>3.33</v>
          </cell>
        </row>
        <row r="136">
          <cell r="D136" t="str">
            <v>Nguyễn Thị Thùy</v>
          </cell>
          <cell r="E136" t="str">
            <v>Nhân viên phòng Tuyển sinh - Đào tạo</v>
          </cell>
          <cell r="G136" t="str">
            <v>x</v>
          </cell>
          <cell r="K136" t="str">
            <v>024985581</v>
          </cell>
          <cell r="M136" t="str">
            <v>50700000362</v>
          </cell>
          <cell r="N136" t="str">
            <v>Cán sự</v>
          </cell>
          <cell r="O136" t="str">
            <v>01.004</v>
          </cell>
          <cell r="P136" t="str">
            <v>B</v>
          </cell>
          <cell r="Q136">
            <v>8</v>
          </cell>
          <cell r="R136">
            <v>3.66</v>
          </cell>
          <cell r="S136">
            <v>0</v>
          </cell>
        </row>
        <row r="137">
          <cell r="D137" t="str">
            <v>Trần Thị Thu Hà</v>
          </cell>
          <cell r="E137" t="str">
            <v>Nhân viên phòng Thanh tra giáo dục - CT Sinh viên</v>
          </cell>
          <cell r="F137" t="str">
            <v>ĐH</v>
          </cell>
          <cell r="G137" t="str">
            <v>x</v>
          </cell>
          <cell r="H137" t="str">
            <v>GV</v>
          </cell>
          <cell r="I137" t="str">
            <v>GV</v>
          </cell>
          <cell r="J137" t="str">
            <v>GV139</v>
          </cell>
          <cell r="K137" t="str">
            <v>023444718</v>
          </cell>
          <cell r="L137" t="str">
            <v>1603205186179</v>
          </cell>
          <cell r="M137" t="str">
            <v>11100071600</v>
          </cell>
          <cell r="N137" t="str">
            <v>Chuyên viên</v>
          </cell>
          <cell r="O137" t="str">
            <v>01.003</v>
          </cell>
          <cell r="P137" t="str">
            <v>A1</v>
          </cell>
          <cell r="Q137">
            <v>4</v>
          </cell>
          <cell r="R137">
            <v>3.99</v>
          </cell>
          <cell r="S137">
            <v>0</v>
          </cell>
        </row>
        <row r="138">
          <cell r="D138" t="str">
            <v>Nguyễn Thị Ngọc Anh</v>
          </cell>
          <cell r="E138" t="str">
            <v>Nhân viên phòng Thanh tra Giáo dục - CT Sinh viên</v>
          </cell>
          <cell r="G138" t="str">
            <v>x</v>
          </cell>
          <cell r="K138" t="str">
            <v>020155632</v>
          </cell>
          <cell r="M138" t="str">
            <v>50700000360</v>
          </cell>
          <cell r="N138" t="str">
            <v>Chuyên viên</v>
          </cell>
          <cell r="O138" t="str">
            <v>01.003</v>
          </cell>
          <cell r="P138" t="str">
            <v>A1</v>
          </cell>
          <cell r="Q138">
            <v>5</v>
          </cell>
          <cell r="R138">
            <v>4.32</v>
          </cell>
          <cell r="S138">
            <v>0</v>
          </cell>
        </row>
        <row r="139">
          <cell r="D139" t="str">
            <v>Phạm Thị Lê Chi</v>
          </cell>
          <cell r="E139" t="str">
            <v>Nhân viên phòng Thanh tra giáo dục - CT Sinh viên</v>
          </cell>
          <cell r="F139" t="str">
            <v>ĐH</v>
          </cell>
          <cell r="G139" t="str">
            <v>x</v>
          </cell>
          <cell r="H139" t="str">
            <v>NV</v>
          </cell>
          <cell r="I139" t="str">
            <v>GV</v>
          </cell>
          <cell r="J139" t="str">
            <v>GV252</v>
          </cell>
          <cell r="K139" t="str">
            <v>250443735</v>
          </cell>
          <cell r="L139" t="str">
            <v>1603205250618</v>
          </cell>
          <cell r="M139" t="str">
            <v>11100110014</v>
          </cell>
          <cell r="N139" t="str">
            <v>Chuyên viên</v>
          </cell>
          <cell r="O139" t="str">
            <v>01.003</v>
          </cell>
          <cell r="P139" t="str">
            <v>A1</v>
          </cell>
          <cell r="Q139">
            <v>3</v>
          </cell>
          <cell r="R139">
            <v>3.33</v>
          </cell>
          <cell r="S139">
            <v>0</v>
          </cell>
        </row>
        <row r="140">
          <cell r="D140" t="str">
            <v>Nguyễn Thị Kim Anh</v>
          </cell>
          <cell r="E140" t="str">
            <v>Nhân viên phòng Thanh tra Giáo dục - CT Sinh viên</v>
          </cell>
          <cell r="F140" t="str">
            <v>ĐH</v>
          </cell>
          <cell r="G140" t="str">
            <v>x</v>
          </cell>
          <cell r="I140" t="str">
            <v>NV</v>
          </cell>
          <cell r="K140" t="str">
            <v>025240565</v>
          </cell>
          <cell r="L140">
            <v>1603205189653</v>
          </cell>
          <cell r="M140" t="str">
            <v>11100115721</v>
          </cell>
          <cell r="N140" t="str">
            <v>Chuyên viên</v>
          </cell>
          <cell r="O140" t="str">
            <v>01.003</v>
          </cell>
          <cell r="P140" t="str">
            <v>A1</v>
          </cell>
          <cell r="Q140">
            <v>4</v>
          </cell>
          <cell r="R140">
            <v>3.99</v>
          </cell>
          <cell r="S140">
            <v>0</v>
          </cell>
        </row>
        <row r="141">
          <cell r="D141" t="str">
            <v>Mai Thu Hương</v>
          </cell>
          <cell r="E141" t="str">
            <v>Nhân viên phòng Thanh tra Giáo dục - CT Sinh viên</v>
          </cell>
          <cell r="G141" t="str">
            <v>x</v>
          </cell>
          <cell r="K141" t="str">
            <v>036186004635</v>
          </cell>
          <cell r="M141" t="str">
            <v>50700000433</v>
          </cell>
          <cell r="N141" t="str">
            <v>Kế toán viên</v>
          </cell>
          <cell r="O141" t="str">
            <v>06.031</v>
          </cell>
          <cell r="P141" t="str">
            <v>A1</v>
          </cell>
          <cell r="Q141">
            <v>3</v>
          </cell>
          <cell r="R141">
            <v>3.33</v>
          </cell>
          <cell r="S141">
            <v>0</v>
          </cell>
        </row>
        <row r="142">
          <cell r="D142" t="str">
            <v>Lương Minh Dũng</v>
          </cell>
          <cell r="E142" t="str">
            <v>Nhân viên phòng Khảo thí và ĐBCL</v>
          </cell>
          <cell r="I142" t="str">
            <v>NV</v>
          </cell>
          <cell r="K142" t="str">
            <v>079089006525</v>
          </cell>
          <cell r="L142">
            <v>1603205286752</v>
          </cell>
          <cell r="M142" t="str">
            <v>40800000245</v>
          </cell>
          <cell r="N142" t="str">
            <v>Kỹ sư (hạng III)</v>
          </cell>
          <cell r="O142" t="str">
            <v>V.05.02.07</v>
          </cell>
          <cell r="P142" t="str">
            <v>A1</v>
          </cell>
          <cell r="Q142">
            <v>3</v>
          </cell>
          <cell r="R142">
            <v>3.33</v>
          </cell>
          <cell r="S142">
            <v>0</v>
          </cell>
        </row>
        <row r="143">
          <cell r="D143" t="str">
            <v>Trương Thị Hồng</v>
          </cell>
          <cell r="E143" t="str">
            <v>Nhân viên phòng Khảo thí và ĐBCL</v>
          </cell>
          <cell r="N143" t="str">
            <v>Giảng viên
(hạng III)</v>
          </cell>
          <cell r="O143" t="str">
            <v>V.07.01.03</v>
          </cell>
          <cell r="R143">
            <v>2.67</v>
          </cell>
        </row>
        <row r="144">
          <cell r="D144" t="str">
            <v>Nguyễn Thị Tuyết</v>
          </cell>
          <cell r="E144" t="str">
            <v>Nhân viên phòng Khảo thí và ĐBCL</v>
          </cell>
          <cell r="G144" t="str">
            <v>x</v>
          </cell>
          <cell r="K144" t="str">
            <v>025442983</v>
          </cell>
          <cell r="M144" t="str">
            <v>50700000482</v>
          </cell>
          <cell r="N144" t="str">
            <v>Chuyên viên</v>
          </cell>
          <cell r="O144" t="str">
            <v>01.003</v>
          </cell>
          <cell r="P144" t="str">
            <v>A0</v>
          </cell>
          <cell r="Q144">
            <v>1</v>
          </cell>
          <cell r="R144">
            <v>3.33</v>
          </cell>
          <cell r="S144">
            <v>0</v>
          </cell>
        </row>
        <row r="145">
          <cell r="D145" t="str">
            <v>Vũ Thị Thu Thủy</v>
          </cell>
          <cell r="E145" t="str">
            <v>Nhân viên phòng Khảo thí và ĐBCL</v>
          </cell>
          <cell r="F145" t="str">
            <v>TC</v>
          </cell>
          <cell r="G145" t="str">
            <v>x</v>
          </cell>
          <cell r="I145" t="str">
            <v>NV</v>
          </cell>
          <cell r="K145" t="str">
            <v>030186001391</v>
          </cell>
          <cell r="L145">
            <v>1603205182575</v>
          </cell>
          <cell r="M145" t="str">
            <v>11100115710</v>
          </cell>
          <cell r="N145" t="str">
            <v>Chuyên viên</v>
          </cell>
          <cell r="O145" t="str">
            <v>01.003</v>
          </cell>
          <cell r="P145" t="str">
            <v>B</v>
          </cell>
          <cell r="Q145">
            <v>6</v>
          </cell>
          <cell r="R145">
            <v>3.33</v>
          </cell>
          <cell r="S145">
            <v>0</v>
          </cell>
        </row>
        <row r="146">
          <cell r="D146" t="str">
            <v>Nguyễn Thành Nam</v>
          </cell>
          <cell r="E146" t="str">
            <v>Trưởng phòng KHCN &amp; HTQT</v>
          </cell>
          <cell r="K146" t="str">
            <v>024858065</v>
          </cell>
          <cell r="M146" t="str">
            <v>60400000280</v>
          </cell>
          <cell r="N146" t="str">
            <v>Giảng viên
(hạng III)</v>
          </cell>
          <cell r="O146" t="str">
            <v>V.07.01.03</v>
          </cell>
          <cell r="P146" t="str">
            <v>A1</v>
          </cell>
          <cell r="Q146">
            <v>5</v>
          </cell>
          <cell r="R146">
            <v>4.32</v>
          </cell>
          <cell r="S146">
            <v>1.2608999999999999</v>
          </cell>
        </row>
        <row r="147">
          <cell r="D147" t="str">
            <v>Nguyễn Văn Chiến</v>
          </cell>
          <cell r="E147" t="str">
            <v>Trưởng TT Quan hệ doanh nghiệp</v>
          </cell>
          <cell r="I147" t="str">
            <v>NV</v>
          </cell>
          <cell r="K147" t="str">
            <v>250411489</v>
          </cell>
          <cell r="L147" t="str">
            <v>1603205341369</v>
          </cell>
          <cell r="M147" t="str">
            <v>40800000177</v>
          </cell>
          <cell r="N147" t="str">
            <v>Kỹ sư (hạng III)</v>
          </cell>
          <cell r="O147" t="str">
            <v>V.05.02.07</v>
          </cell>
          <cell r="P147" t="str">
            <v>A1</v>
          </cell>
          <cell r="Q147">
            <v>5</v>
          </cell>
          <cell r="R147">
            <v>4.32</v>
          </cell>
          <cell r="S147">
            <v>0.45</v>
          </cell>
        </row>
        <row r="148">
          <cell r="D148" t="str">
            <v>Nguyễn Thùy Dương</v>
          </cell>
          <cell r="E148" t="str">
            <v>Nhân viên TT Quan hệ doanh nghiệp</v>
          </cell>
          <cell r="G148" t="str">
            <v>x</v>
          </cell>
          <cell r="J148" t="str">
            <v>711A74605287</v>
          </cell>
          <cell r="K148" t="str">
            <v>025638694</v>
          </cell>
          <cell r="L148" t="str">
            <v>1603205356140</v>
          </cell>
          <cell r="M148" t="str">
            <v>21000001676</v>
          </cell>
          <cell r="N148" t="str">
            <v>Giáo viên Trung học</v>
          </cell>
          <cell r="O148" t="str">
            <v>15.113</v>
          </cell>
          <cell r="P148" t="str">
            <v>A1</v>
          </cell>
          <cell r="Q148">
            <v>4</v>
          </cell>
          <cell r="R148">
            <v>3.99</v>
          </cell>
          <cell r="S148">
            <v>0</v>
          </cell>
        </row>
        <row r="149">
          <cell r="D149" t="str">
            <v>Nguyễn Hữu Thiện</v>
          </cell>
          <cell r="E149" t="str">
            <v>Trưởng Trung tâm Điều hành và quản lý dữ liệu</v>
          </cell>
          <cell r="F149" t="str">
            <v>ĐH</v>
          </cell>
          <cell r="I149" t="str">
            <v>NV</v>
          </cell>
          <cell r="J149" t="str">
            <v>NV208</v>
          </cell>
          <cell r="K149" t="str">
            <v>023809591</v>
          </cell>
          <cell r="L149" t="str">
            <v>1603205185147</v>
          </cell>
          <cell r="M149" t="str">
            <v>11100083326</v>
          </cell>
          <cell r="N149" t="str">
            <v>Giảng viên GDNN LT (hạng III)</v>
          </cell>
          <cell r="O149" t="str">
            <v>V.09.02.03</v>
          </cell>
          <cell r="P149" t="str">
            <v>A1</v>
          </cell>
          <cell r="Q149">
            <v>3</v>
          </cell>
          <cell r="R149">
            <v>3.33</v>
          </cell>
          <cell r="S149">
            <v>0.79020000000000001</v>
          </cell>
        </row>
        <row r="150">
          <cell r="D150" t="str">
            <v>Vương Hội Khánh</v>
          </cell>
          <cell r="E150" t="str">
            <v>Nhân viên Trung tâm Điều hành và quản lý dữ liệu</v>
          </cell>
          <cell r="K150" t="str">
            <v>079085002906</v>
          </cell>
          <cell r="L150" t="str">
            <v>1603205254263</v>
          </cell>
          <cell r="M150" t="str">
            <v>40400000575</v>
          </cell>
          <cell r="N150" t="str">
            <v>Kỹ thuật viên (hạng IV)</v>
          </cell>
          <cell r="O150" t="str">
            <v>V.05.02.08</v>
          </cell>
          <cell r="P150" t="str">
            <v>B</v>
          </cell>
          <cell r="Q150">
            <v>3</v>
          </cell>
          <cell r="R150">
            <v>3.06</v>
          </cell>
          <cell r="S150">
            <v>0</v>
          </cell>
        </row>
        <row r="151">
          <cell r="D151" t="str">
            <v>Trương Hữu Lộc</v>
          </cell>
          <cell r="E151" t="str">
            <v>Nhân viên Trung tâm Điều hành và quản lý dữ liệu</v>
          </cell>
          <cell r="I151" t="str">
            <v>NV</v>
          </cell>
          <cell r="K151" t="str">
            <v>025326360</v>
          </cell>
          <cell r="M151" t="str">
            <v>40800000361</v>
          </cell>
          <cell r="N151" t="str">
            <v>Chuyên viên</v>
          </cell>
          <cell r="O151" t="str">
            <v>01.003</v>
          </cell>
          <cell r="P151" t="str">
            <v>A1</v>
          </cell>
          <cell r="Q151">
            <v>3</v>
          </cell>
          <cell r="R151">
            <v>3.66</v>
          </cell>
          <cell r="S151">
            <v>0</v>
          </cell>
        </row>
        <row r="152">
          <cell r="D152" t="str">
            <v>Trịnh Hoàng Hiệp</v>
          </cell>
          <cell r="E152" t="str">
            <v>Phó Trưởng Trung tâm thư viện</v>
          </cell>
          <cell r="K152" t="str">
            <v>022962107</v>
          </cell>
          <cell r="M152" t="str">
            <v>60300000100</v>
          </cell>
          <cell r="N152" t="str">
            <v>Giảng viên GDNN LT (hạng III)</v>
          </cell>
          <cell r="O152" t="str">
            <v>V.09.02.03</v>
          </cell>
          <cell r="P152" t="str">
            <v>A1</v>
          </cell>
          <cell r="Q152">
            <v>4</v>
          </cell>
          <cell r="R152">
            <v>3.66</v>
          </cell>
          <cell r="S152">
            <v>0.95150000000000001</v>
          </cell>
        </row>
        <row r="153">
          <cell r="D153" t="str">
            <v>Đặng Thu Hà</v>
          </cell>
          <cell r="E153" t="str">
            <v>Nhân viên Trung tâm Thư viện</v>
          </cell>
          <cell r="G153" t="str">
            <v>x</v>
          </cell>
          <cell r="K153" t="str">
            <v>025548580</v>
          </cell>
          <cell r="L153" t="str">
            <v>1603205246400</v>
          </cell>
          <cell r="M153" t="str">
            <v>40400000544</v>
          </cell>
          <cell r="N153" t="str">
            <v>Thư viện viên (hạng 3)</v>
          </cell>
          <cell r="O153" t="str">
            <v>V.10.02.06</v>
          </cell>
          <cell r="P153" t="str">
            <v>A1</v>
          </cell>
          <cell r="Q153">
            <v>2</v>
          </cell>
          <cell r="R153">
            <v>3</v>
          </cell>
          <cell r="S153">
            <v>0</v>
          </cell>
        </row>
        <row r="154">
          <cell r="D154" t="str">
            <v>Trần Thị Diễm Thúy</v>
          </cell>
          <cell r="E154" t="str">
            <v>Nhân viên Trung tâm Thư viện</v>
          </cell>
          <cell r="G154" t="str">
            <v>x</v>
          </cell>
          <cell r="I154" t="str">
            <v>NV</v>
          </cell>
          <cell r="K154" t="str">
            <v>310895348</v>
          </cell>
          <cell r="L154">
            <v>1603205185623</v>
          </cell>
          <cell r="M154" t="str">
            <v>40700000674</v>
          </cell>
          <cell r="N154" t="str">
            <v>Chuyên viên</v>
          </cell>
          <cell r="O154" t="str">
            <v>01.003</v>
          </cell>
          <cell r="P154" t="str">
            <v>A1</v>
          </cell>
          <cell r="Q154">
            <v>2</v>
          </cell>
          <cell r="R154">
            <v>3</v>
          </cell>
          <cell r="S154">
            <v>0</v>
          </cell>
        </row>
        <row r="155">
          <cell r="D155" t="str">
            <v>Đỗ Thị Tâm</v>
          </cell>
          <cell r="E155" t="str">
            <v>Nhân viên TT Dạy nghề Lý Tự Trọng</v>
          </cell>
          <cell r="F155" t="str">
            <v>TC</v>
          </cell>
          <cell r="G155" t="str">
            <v>x</v>
          </cell>
          <cell r="I155" t="str">
            <v>NV</v>
          </cell>
          <cell r="J155" t="str">
            <v>NV204</v>
          </cell>
          <cell r="K155" t="str">
            <v>025530360</v>
          </cell>
          <cell r="L155" t="str">
            <v>1603205179059</v>
          </cell>
          <cell r="M155" t="str">
            <v>11100083302</v>
          </cell>
          <cell r="N155" t="str">
            <v>Cán sự</v>
          </cell>
          <cell r="O155" t="str">
            <v>01.004</v>
          </cell>
          <cell r="P155" t="str">
            <v>B</v>
          </cell>
          <cell r="Q155">
            <v>6</v>
          </cell>
          <cell r="R155">
            <v>3.06</v>
          </cell>
          <cell r="S155">
            <v>0</v>
          </cell>
        </row>
        <row r="156">
          <cell r="D156" t="str">
            <v>Phạm Quang Vũ</v>
          </cell>
          <cell r="E156" t="str">
            <v>Phó Trưởng khoa Xây dựng</v>
          </cell>
          <cell r="K156" t="str">
            <v>240895328</v>
          </cell>
          <cell r="N156" t="str">
            <v>Giảng viên GDNN LT (hạng III)</v>
          </cell>
          <cell r="O156" t="str">
            <v>V.09.02.03</v>
          </cell>
          <cell r="R156">
            <v>3.33</v>
          </cell>
          <cell r="S156">
            <v>0.75479999999999992</v>
          </cell>
        </row>
        <row r="157">
          <cell r="D157" t="str">
            <v>Phạm Quỳnh Như</v>
          </cell>
          <cell r="E157" t="str">
            <v>Trưởng BM khoa Kinh tế</v>
          </cell>
          <cell r="G157" t="str">
            <v>x</v>
          </cell>
          <cell r="K157" t="str">
            <v>054182000015</v>
          </cell>
          <cell r="M157" t="str">
            <v>60200000731</v>
          </cell>
          <cell r="N157" t="str">
            <v>Giảng viên GDNN LT (hạng III)</v>
          </cell>
          <cell r="O157" t="str">
            <v>V.09.02.03</v>
          </cell>
          <cell r="P157" t="str">
            <v>A1</v>
          </cell>
          <cell r="Q157">
            <v>3</v>
          </cell>
          <cell r="R157">
            <v>3.66</v>
          </cell>
          <cell r="S157">
            <v>0.68009999999999993</v>
          </cell>
        </row>
        <row r="158">
          <cell r="D158" t="str">
            <v>Lữ Xuân Trang</v>
          </cell>
          <cell r="E158" t="str">
            <v>Trưởng BM khoa Kinh tế</v>
          </cell>
          <cell r="G158" t="str">
            <v>x</v>
          </cell>
          <cell r="K158" t="str">
            <v>025791269</v>
          </cell>
          <cell r="M158" t="str">
            <v>60200000588</v>
          </cell>
          <cell r="N158" t="str">
            <v>Giảng viên GDNN LT (hạng III)</v>
          </cell>
          <cell r="O158" t="str">
            <v>V.09.02.03</v>
          </cell>
          <cell r="P158" t="str">
            <v>A1</v>
          </cell>
          <cell r="Q158">
            <v>3</v>
          </cell>
          <cell r="R158">
            <v>3.33</v>
          </cell>
          <cell r="S158">
            <v>0.64379999999999993</v>
          </cell>
        </row>
        <row r="159">
          <cell r="D159" t="str">
            <v>Lê Thị Thu Thảo</v>
          </cell>
          <cell r="E159" t="str">
            <v>Giảng viên khoa Kinh tế</v>
          </cell>
          <cell r="G159" t="str">
            <v>x</v>
          </cell>
          <cell r="K159" t="str">
            <v>285085296</v>
          </cell>
          <cell r="M159" t="str">
            <v>60300000171</v>
          </cell>
          <cell r="N159" t="str">
            <v>Giảng viên GDNN LT (hạng III)</v>
          </cell>
          <cell r="O159" t="str">
            <v>V.09.02.03</v>
          </cell>
          <cell r="P159" t="str">
            <v>A1</v>
          </cell>
          <cell r="Q159">
            <v>2</v>
          </cell>
          <cell r="R159">
            <v>3</v>
          </cell>
          <cell r="S159">
            <v>0.15</v>
          </cell>
        </row>
        <row r="160">
          <cell r="D160" t="str">
            <v>Bùi Ánh Tuyết</v>
          </cell>
          <cell r="E160" t="str">
            <v>Giảng viên khoa Kinh tế</v>
          </cell>
          <cell r="G160" t="str">
            <v>x</v>
          </cell>
          <cell r="K160" t="str">
            <v>034189004248</v>
          </cell>
          <cell r="M160" t="str">
            <v>60300000125</v>
          </cell>
          <cell r="N160" t="str">
            <v>Giảng viên GDNN LT (hạng III)</v>
          </cell>
          <cell r="O160" t="str">
            <v>V.09.02.03</v>
          </cell>
          <cell r="P160" t="str">
            <v>A1</v>
          </cell>
          <cell r="Q160">
            <v>2</v>
          </cell>
          <cell r="R160">
            <v>3.33</v>
          </cell>
          <cell r="S160">
            <v>0.2331</v>
          </cell>
        </row>
        <row r="161">
          <cell r="D161" t="str">
            <v>Võ Thị Kim Thư</v>
          </cell>
          <cell r="E161" t="str">
            <v>Giảng viên khoa Kinh tế</v>
          </cell>
          <cell r="G161" t="str">
            <v>x</v>
          </cell>
          <cell r="K161" t="str">
            <v>024383666</v>
          </cell>
          <cell r="M161">
            <v>51200000905</v>
          </cell>
          <cell r="N161" t="str">
            <v>Giảng viên GDNN LT (hạng III)</v>
          </cell>
          <cell r="O161" t="str">
            <v>V.09.02.03</v>
          </cell>
          <cell r="P161" t="str">
            <v>A1</v>
          </cell>
          <cell r="Q161">
            <v>1</v>
          </cell>
          <cell r="R161">
            <v>2.67</v>
          </cell>
          <cell r="S161">
            <v>0.13350000000000001</v>
          </cell>
        </row>
        <row r="162">
          <cell r="D162" t="str">
            <v>Lưu Thị Thúy</v>
          </cell>
          <cell r="E162" t="str">
            <v>Giảng viên khoa Kinh tế</v>
          </cell>
          <cell r="G162" t="str">
            <v>x</v>
          </cell>
          <cell r="K162" t="str">
            <v>025180149</v>
          </cell>
          <cell r="M162" t="str">
            <v>60200000517</v>
          </cell>
          <cell r="N162" t="str">
            <v>Giảng viên GDNN LT (hạng III)</v>
          </cell>
          <cell r="O162" t="str">
            <v>V.09.02.03</v>
          </cell>
          <cell r="P162" t="str">
            <v>A1</v>
          </cell>
          <cell r="Q162">
            <v>3</v>
          </cell>
          <cell r="R162">
            <v>3.33</v>
          </cell>
          <cell r="S162">
            <v>0.53280000000000005</v>
          </cell>
        </row>
        <row r="163">
          <cell r="D163" t="str">
            <v>Nguyễn Thị Minh Thùy</v>
          </cell>
          <cell r="E163" t="str">
            <v>Giảng viên khoa Kinh tế</v>
          </cell>
          <cell r="N163" t="str">
            <v>Giảng viên GDNN LT (hạng III)</v>
          </cell>
          <cell r="O163" t="str">
            <v>V.09.02.03</v>
          </cell>
          <cell r="R163">
            <v>2.67</v>
          </cell>
        </row>
        <row r="164">
          <cell r="D164" t="str">
            <v>Nguyễn Mỹ Tiên</v>
          </cell>
          <cell r="E164" t="str">
            <v>Giảng viên khoa Kinh tế</v>
          </cell>
          <cell r="K164" t="str">
            <v>385523828</v>
          </cell>
          <cell r="N164" t="str">
            <v>Giảng viên GDNN LT (hạng III)</v>
          </cell>
          <cell r="O164" t="str">
            <v>V.09.02.03</v>
          </cell>
          <cell r="Q164">
            <v>2</v>
          </cell>
          <cell r="R164">
            <v>3</v>
          </cell>
        </row>
        <row r="165">
          <cell r="D165" t="str">
            <v>Nguyễn Thị Thùy Tiên</v>
          </cell>
          <cell r="E165" t="str">
            <v>Giảng viên khoa Kinh tế</v>
          </cell>
          <cell r="N165" t="str">
            <v>Giảng viên GDNN LT (hạng III)</v>
          </cell>
          <cell r="O165" t="str">
            <v>V.09.02.03</v>
          </cell>
          <cell r="R165">
            <v>2.67</v>
          </cell>
        </row>
        <row r="166">
          <cell r="D166" t="str">
            <v>Trần Thị Ngọc Dung</v>
          </cell>
          <cell r="E166" t="str">
            <v>Giảng viên khoa Kinh tế</v>
          </cell>
          <cell r="K166" t="str">
            <v>025522918</v>
          </cell>
          <cell r="N166" t="str">
            <v>Giảng viên GDNN LT (hạng III)</v>
          </cell>
          <cell r="O166" t="str">
            <v>V.09.02.03</v>
          </cell>
          <cell r="Q166">
            <v>2</v>
          </cell>
          <cell r="R166">
            <v>3</v>
          </cell>
        </row>
        <row r="167">
          <cell r="D167" t="str">
            <v>Cao Xuân Giang</v>
          </cell>
          <cell r="E167" t="str">
            <v>Giảng viên Khoa Kinh tế</v>
          </cell>
          <cell r="K167" t="str">
            <v>072089003417</v>
          </cell>
          <cell r="N167" t="str">
            <v>Giảng viên GDNN LT (hạng III)</v>
          </cell>
          <cell r="O167" t="str">
            <v>V.09.02.03</v>
          </cell>
          <cell r="R167">
            <v>2.67</v>
          </cell>
        </row>
        <row r="168">
          <cell r="D168" t="str">
            <v>Nguyễn Ngọc Thọ</v>
          </cell>
          <cell r="E168" t="str">
            <v>Trưởng khoa  May - Thời trang</v>
          </cell>
          <cell r="K168" t="str">
            <v>025076575</v>
          </cell>
          <cell r="L168" t="str">
            <v>1603205246373</v>
          </cell>
          <cell r="M168" t="str">
            <v>21000001080</v>
          </cell>
          <cell r="N168" t="str">
            <v>Giảng viên GDNN LT (hạng III)</v>
          </cell>
          <cell r="O168" t="str">
            <v>V.09.02.03</v>
          </cell>
          <cell r="P168" t="str">
            <v>A1</v>
          </cell>
          <cell r="Q168">
            <v>2</v>
          </cell>
          <cell r="R168">
            <v>3</v>
          </cell>
          <cell r="S168">
            <v>0.72599999999999998</v>
          </cell>
        </row>
        <row r="169">
          <cell r="D169" t="str">
            <v>Nguyễn Bạch Cẩm Dung</v>
          </cell>
          <cell r="E169" t="str">
            <v>Giảng viên khoa May - Thời trang</v>
          </cell>
          <cell r="F169" t="str">
            <v>ĐH</v>
          </cell>
          <cell r="G169" t="str">
            <v>x</v>
          </cell>
          <cell r="I169" t="str">
            <v>GV</v>
          </cell>
          <cell r="J169" t="str">
            <v>GV265</v>
          </cell>
          <cell r="K169" t="str">
            <v>023922977</v>
          </cell>
          <cell r="L169" t="str">
            <v>1603205246560</v>
          </cell>
          <cell r="M169" t="str">
            <v>11100109539</v>
          </cell>
          <cell r="N169" t="str">
            <v>Giảng viên GDNN LT (hạng III)</v>
          </cell>
          <cell r="O169" t="str">
            <v>V.09.02.03</v>
          </cell>
          <cell r="P169" t="str">
            <v>A1</v>
          </cell>
          <cell r="Q169">
            <v>3</v>
          </cell>
          <cell r="R169">
            <v>3.33</v>
          </cell>
          <cell r="S169">
            <v>0.36630000000000001</v>
          </cell>
        </row>
        <row r="170">
          <cell r="D170" t="str">
            <v>Lâm Thị Phương Thùy</v>
          </cell>
          <cell r="E170" t="str">
            <v>Giảng viên khoa  May - Thời trang</v>
          </cell>
          <cell r="F170" t="str">
            <v>ĐH</v>
          </cell>
          <cell r="G170" t="str">
            <v>x</v>
          </cell>
          <cell r="H170" t="str">
            <v>GV</v>
          </cell>
          <cell r="I170" t="str">
            <v>GV</v>
          </cell>
          <cell r="J170" t="str">
            <v>GV287</v>
          </cell>
          <cell r="K170" t="str">
            <v>311759209</v>
          </cell>
          <cell r="L170" t="str">
            <v>1603205246577</v>
          </cell>
          <cell r="M170" t="str">
            <v>11100111411</v>
          </cell>
          <cell r="N170" t="str">
            <v>Giảng viên GDNN LT (hạng III)</v>
          </cell>
          <cell r="O170" t="str">
            <v>V.09.02.03</v>
          </cell>
          <cell r="P170" t="str">
            <v>A1</v>
          </cell>
          <cell r="Q170">
            <v>3</v>
          </cell>
          <cell r="R170">
            <v>3.33</v>
          </cell>
          <cell r="S170">
            <v>0.36630000000000001</v>
          </cell>
        </row>
        <row r="171">
          <cell r="D171" t="str">
            <v>Nguyễn Thị Hiền</v>
          </cell>
          <cell r="E171" t="str">
            <v>Giảng viên khoa May - Thời trang</v>
          </cell>
          <cell r="G171" t="str">
            <v>x</v>
          </cell>
          <cell r="K171" t="str">
            <v>025695766</v>
          </cell>
          <cell r="L171">
            <v>1603205353742</v>
          </cell>
          <cell r="M171" t="str">
            <v>21000001726</v>
          </cell>
          <cell r="N171" t="str">
            <v>Giảng viên GDNN LT (hạng III)</v>
          </cell>
          <cell r="O171" t="str">
            <v>V.09.02.03</v>
          </cell>
          <cell r="P171" t="str">
            <v>A1</v>
          </cell>
          <cell r="Q171">
            <v>2</v>
          </cell>
          <cell r="R171">
            <v>3</v>
          </cell>
          <cell r="S171">
            <v>0.24</v>
          </cell>
        </row>
        <row r="172">
          <cell r="D172" t="str">
            <v>Chế Vân Cầm</v>
          </cell>
          <cell r="E172" t="str">
            <v>Giảng viên khoa May - Thời trang</v>
          </cell>
          <cell r="G172" t="str">
            <v>x</v>
          </cell>
          <cell r="K172" t="str">
            <v>025537038</v>
          </cell>
          <cell r="L172" t="str">
            <v>1603205399028</v>
          </cell>
          <cell r="M172" t="str">
            <v>31100001689</v>
          </cell>
          <cell r="N172" t="str">
            <v>Giảng viên GDNN LT (hạng III)</v>
          </cell>
          <cell r="O172" t="str">
            <v>V.09.02.03</v>
          </cell>
          <cell r="P172" t="str">
            <v>A1</v>
          </cell>
          <cell r="Q172">
            <v>2</v>
          </cell>
          <cell r="R172">
            <v>3</v>
          </cell>
          <cell r="S172">
            <v>0.18</v>
          </cell>
        </row>
        <row r="173">
          <cell r="D173" t="str">
            <v>Trần Hồng Thảo</v>
          </cell>
          <cell r="E173" t="str">
            <v>Giảng viên khoa May - Thời trang</v>
          </cell>
          <cell r="K173">
            <v>381574642</v>
          </cell>
          <cell r="N173" t="str">
            <v>Giảng viên GDNN LT (hạng III)</v>
          </cell>
          <cell r="O173" t="str">
            <v>V.09.02.03</v>
          </cell>
          <cell r="Q173">
            <v>2</v>
          </cell>
          <cell r="R173">
            <v>3</v>
          </cell>
        </row>
        <row r="174">
          <cell r="D174" t="str">
            <v>Lê Thị Phương Thảo</v>
          </cell>
          <cell r="E174" t="str">
            <v>Giảng viên Khoa  May - Thời trang</v>
          </cell>
          <cell r="K174" t="str">
            <v>024058374</v>
          </cell>
          <cell r="N174" t="str">
            <v>Giảng viên GDNN LT (hạng III)</v>
          </cell>
          <cell r="O174" t="str">
            <v>V.09.02.03</v>
          </cell>
          <cell r="R174">
            <v>2.67</v>
          </cell>
        </row>
        <row r="175">
          <cell r="D175" t="str">
            <v>Bùi Thị Ngọc Sương</v>
          </cell>
          <cell r="E175" t="str">
            <v>Giảng viên khoa May - Thời trang</v>
          </cell>
          <cell r="G175" t="str">
            <v>x</v>
          </cell>
          <cell r="K175" t="str">
            <v>025121375</v>
          </cell>
          <cell r="L175">
            <v>1603205357136</v>
          </cell>
          <cell r="M175" t="str">
            <v>21100001275</v>
          </cell>
          <cell r="N175" t="str">
            <v>Giảng viên GDNN LT (hạng III)</v>
          </cell>
          <cell r="O175" t="str">
            <v>V.09.02.03</v>
          </cell>
          <cell r="P175" t="str">
            <v>A1</v>
          </cell>
          <cell r="Q175">
            <v>2</v>
          </cell>
          <cell r="R175">
            <v>3.33</v>
          </cell>
          <cell r="S175">
            <v>0.26640000000000003</v>
          </cell>
        </row>
        <row r="176">
          <cell r="D176" t="str">
            <v>Lê Thái Hùng</v>
          </cell>
          <cell r="E176" t="str">
            <v>Trưởng BM khoa KHCB</v>
          </cell>
          <cell r="F176" t="str">
            <v>ĐH</v>
          </cell>
          <cell r="H176" t="str">
            <v>GV</v>
          </cell>
          <cell r="I176" t="str">
            <v>GV</v>
          </cell>
          <cell r="J176" t="str">
            <v>GV160</v>
          </cell>
          <cell r="K176" t="str">
            <v>060074000079</v>
          </cell>
          <cell r="L176" t="str">
            <v>1603205190068</v>
          </cell>
          <cell r="M176" t="str">
            <v>11100067268</v>
          </cell>
          <cell r="N176" t="str">
            <v>Giảng viên
(hạng III)</v>
          </cell>
          <cell r="O176" t="str">
            <v>V.07.01.03</v>
          </cell>
          <cell r="P176" t="str">
            <v>A1</v>
          </cell>
          <cell r="Q176">
            <v>4</v>
          </cell>
          <cell r="R176">
            <v>3.99</v>
          </cell>
          <cell r="S176">
            <v>1.2676000000000001</v>
          </cell>
        </row>
        <row r="177">
          <cell r="D177" t="str">
            <v>Ngô Thanh Điền</v>
          </cell>
          <cell r="E177" t="str">
            <v>Giảng viên khoa KHCB</v>
          </cell>
          <cell r="F177" t="str">
            <v>ĐH</v>
          </cell>
          <cell r="I177" t="str">
            <v>GV</v>
          </cell>
          <cell r="J177" t="str">
            <v>GV183</v>
          </cell>
          <cell r="K177" t="str">
            <v>024345241</v>
          </cell>
          <cell r="L177" t="str">
            <v>1603205183266</v>
          </cell>
          <cell r="M177" t="str">
            <v>11100000810</v>
          </cell>
          <cell r="N177" t="str">
            <v>Giảng viên
(hạng III)</v>
          </cell>
          <cell r="O177" t="str">
            <v>V.07.01.03</v>
          </cell>
          <cell r="P177" t="str">
            <v>A1</v>
          </cell>
          <cell r="Q177">
            <v>5</v>
          </cell>
          <cell r="R177">
            <v>3.99</v>
          </cell>
          <cell r="S177">
            <v>0.71819999999999995</v>
          </cell>
        </row>
        <row r="178">
          <cell r="D178" t="str">
            <v>Nguyễn Phú Tân</v>
          </cell>
          <cell r="E178" t="str">
            <v>Giảng viên khoa KHCB</v>
          </cell>
          <cell r="F178" t="str">
            <v>ĐH</v>
          </cell>
          <cell r="H178" t="str">
            <v>GV</v>
          </cell>
          <cell r="I178" t="str">
            <v>GV</v>
          </cell>
          <cell r="J178" t="str">
            <v>GV238</v>
          </cell>
          <cell r="K178" t="str">
            <v>024960154</v>
          </cell>
          <cell r="L178" t="str">
            <v>1603205229368</v>
          </cell>
          <cell r="M178" t="str">
            <v>11100097744</v>
          </cell>
          <cell r="N178" t="str">
            <v>Giảng viên
(hạng III)</v>
          </cell>
          <cell r="O178" t="str">
            <v>V.07.01.03</v>
          </cell>
          <cell r="P178" t="str">
            <v>A1</v>
          </cell>
          <cell r="Q178">
            <v>5</v>
          </cell>
          <cell r="R178">
            <v>3.99</v>
          </cell>
          <cell r="S178">
            <v>0.7581</v>
          </cell>
        </row>
        <row r="179">
          <cell r="D179" t="str">
            <v>Nguyễn Phương Hà</v>
          </cell>
          <cell r="E179" t="str">
            <v>Giảng viên khoa KHCB</v>
          </cell>
          <cell r="F179" t="str">
            <v>Th.S</v>
          </cell>
          <cell r="G179" t="str">
            <v>x</v>
          </cell>
          <cell r="H179" t="str">
            <v>GV</v>
          </cell>
          <cell r="I179" t="str">
            <v>GV</v>
          </cell>
          <cell r="J179" t="str">
            <v>GV159</v>
          </cell>
          <cell r="K179" t="str">
            <v>023621571</v>
          </cell>
          <cell r="L179" t="str">
            <v>1603205186350</v>
          </cell>
          <cell r="M179" t="str">
            <v>11100067248</v>
          </cell>
          <cell r="N179" t="str">
            <v>Giảng viên
(hạng III)</v>
          </cell>
          <cell r="O179" t="str">
            <v>V.07.01.03</v>
          </cell>
          <cell r="P179" t="str">
            <v>A1</v>
          </cell>
          <cell r="Q179">
            <v>5</v>
          </cell>
          <cell r="R179">
            <v>3.99</v>
          </cell>
          <cell r="S179">
            <v>0.59850000000000003</v>
          </cell>
        </row>
        <row r="180">
          <cell r="D180" t="str">
            <v>Trịnh Khắc Vũ</v>
          </cell>
          <cell r="E180" t="str">
            <v>Giảng viên khoa KHCB</v>
          </cell>
          <cell r="F180" t="str">
            <v>Th.S</v>
          </cell>
          <cell r="H180" t="str">
            <v>GV</v>
          </cell>
          <cell r="I180" t="str">
            <v>GV</v>
          </cell>
          <cell r="J180" t="str">
            <v>GV250</v>
          </cell>
          <cell r="K180" t="str">
            <v>025244382</v>
          </cell>
          <cell r="L180" t="str">
            <v>1603205246662</v>
          </cell>
          <cell r="M180" t="str">
            <v>11100109967</v>
          </cell>
          <cell r="N180" t="str">
            <v>Giảng viên
(hạng III)</v>
          </cell>
          <cell r="O180" t="str">
            <v>V.07.01.03</v>
          </cell>
          <cell r="P180" t="str">
            <v>A1</v>
          </cell>
          <cell r="Q180">
            <v>4</v>
          </cell>
          <cell r="R180">
            <v>3.99</v>
          </cell>
          <cell r="S180">
            <v>0.43890000000000001</v>
          </cell>
        </row>
        <row r="181">
          <cell r="D181" t="str">
            <v>Nguyễn Thị Thủy</v>
          </cell>
          <cell r="E181" t="str">
            <v>Giảng viên khoa KHCB</v>
          </cell>
          <cell r="F181" t="str">
            <v>ĐH</v>
          </cell>
          <cell r="G181" t="str">
            <v>x</v>
          </cell>
          <cell r="H181" t="str">
            <v>GV</v>
          </cell>
          <cell r="I181" t="str">
            <v>GV</v>
          </cell>
          <cell r="J181" t="str">
            <v>GV270</v>
          </cell>
          <cell r="K181" t="str">
            <v>024246529</v>
          </cell>
          <cell r="L181" t="str">
            <v>1603205246309</v>
          </cell>
          <cell r="M181" t="str">
            <v>11100109681</v>
          </cell>
          <cell r="N181" t="str">
            <v>Giảng viên
(hạng III)</v>
          </cell>
          <cell r="O181" t="str">
            <v>V.07.01.03</v>
          </cell>
          <cell r="P181" t="str">
            <v>A1</v>
          </cell>
          <cell r="Q181">
            <v>3</v>
          </cell>
          <cell r="R181">
            <v>3.33</v>
          </cell>
          <cell r="S181">
            <v>0.36630000000000001</v>
          </cell>
        </row>
        <row r="182">
          <cell r="D182" t="str">
            <v>Nguyễn Thị Thu Hà</v>
          </cell>
          <cell r="E182" t="str">
            <v>Giảng viên khoa KHCB</v>
          </cell>
          <cell r="G182" t="str">
            <v>x</v>
          </cell>
          <cell r="K182" t="str">
            <v>074182000157</v>
          </cell>
          <cell r="M182" t="str">
            <v>60300000097</v>
          </cell>
          <cell r="N182" t="str">
            <v>Giảng viên
(hạng III)</v>
          </cell>
          <cell r="O182" t="str">
            <v>V.09.02.03</v>
          </cell>
          <cell r="P182" t="str">
            <v>A1</v>
          </cell>
          <cell r="Q182">
            <v>3</v>
          </cell>
          <cell r="R182">
            <v>3</v>
          </cell>
          <cell r="S182">
            <v>0</v>
          </cell>
        </row>
        <row r="183">
          <cell r="D183" t="str">
            <v>Lê Văn Bình</v>
          </cell>
          <cell r="E183" t="str">
            <v>Giảng viên khoa KHCB</v>
          </cell>
          <cell r="K183" t="str">
            <v>025013400</v>
          </cell>
          <cell r="M183" t="str">
            <v>60100001140</v>
          </cell>
          <cell r="N183" t="str">
            <v>Giảng viên
(hạng III)</v>
          </cell>
          <cell r="O183" t="str">
            <v>V.07.01.03</v>
          </cell>
          <cell r="P183" t="str">
            <v>A1</v>
          </cell>
          <cell r="Q183">
            <v>3</v>
          </cell>
          <cell r="R183">
            <v>3.33</v>
          </cell>
          <cell r="S183">
            <v>0.26640000000000003</v>
          </cell>
        </row>
        <row r="184">
          <cell r="D184" t="str">
            <v>Lê Nguyễn Mỹ Trâm</v>
          </cell>
          <cell r="E184" t="str">
            <v>Giảng viên khoa KHCB</v>
          </cell>
          <cell r="F184" t="str">
            <v>Th.S</v>
          </cell>
          <cell r="G184" t="str">
            <v>x</v>
          </cell>
          <cell r="H184" t="str">
            <v>GV</v>
          </cell>
          <cell r="I184" t="str">
            <v>GV</v>
          </cell>
          <cell r="K184" t="str">
            <v>079171008822</v>
          </cell>
          <cell r="L184" t="str">
            <v>1603205274861</v>
          </cell>
          <cell r="M184" t="str">
            <v>11100119654</v>
          </cell>
          <cell r="N184" t="str">
            <v>Giảng viên GDNN LT (hạng III)</v>
          </cell>
          <cell r="O184" t="str">
            <v>V.09.02.03</v>
          </cell>
          <cell r="P184" t="str">
            <v>A1</v>
          </cell>
          <cell r="Q184">
            <v>4</v>
          </cell>
          <cell r="R184">
            <v>3.66</v>
          </cell>
          <cell r="S184">
            <v>0.43919999999999998</v>
          </cell>
        </row>
        <row r="185">
          <cell r="D185" t="str">
            <v>Nguyễn Thị Thanh Tú</v>
          </cell>
          <cell r="E185" t="str">
            <v>Giảng viên khoa KHCB</v>
          </cell>
          <cell r="F185" t="str">
            <v>ĐH</v>
          </cell>
          <cell r="G185" t="str">
            <v>x</v>
          </cell>
          <cell r="H185" t="str">
            <v>GV</v>
          </cell>
          <cell r="I185" t="str">
            <v>GV</v>
          </cell>
          <cell r="J185" t="str">
            <v>GV148</v>
          </cell>
          <cell r="K185" t="str">
            <v>024906495</v>
          </cell>
          <cell r="L185" t="str">
            <v>1603205189971</v>
          </cell>
          <cell r="M185" t="str">
            <v>11100082584</v>
          </cell>
          <cell r="N185" t="str">
            <v>Giảng viên GDNN LT (hạng III)</v>
          </cell>
          <cell r="O185" t="str">
            <v>V.09.02.03</v>
          </cell>
          <cell r="P185" t="str">
            <v>A1</v>
          </cell>
          <cell r="Q185">
            <v>4</v>
          </cell>
          <cell r="R185">
            <v>3.66</v>
          </cell>
          <cell r="S185">
            <v>0.4758</v>
          </cell>
        </row>
        <row r="186">
          <cell r="D186" t="str">
            <v>Nguyễn Mạnh Phương</v>
          </cell>
          <cell r="E186" t="str">
            <v>Giảng viên khoa KHCB</v>
          </cell>
          <cell r="F186" t="str">
            <v>ĐH</v>
          </cell>
          <cell r="H186" t="str">
            <v>GV</v>
          </cell>
          <cell r="I186" t="str">
            <v>GV</v>
          </cell>
          <cell r="J186" t="str">
            <v>GV239</v>
          </cell>
          <cell r="K186" t="str">
            <v>072081001354</v>
          </cell>
          <cell r="L186" t="str">
            <v>1603205229056</v>
          </cell>
          <cell r="M186" t="str">
            <v>11100097748</v>
          </cell>
          <cell r="N186" t="str">
            <v>Giảng viên
(hạng III)</v>
          </cell>
          <cell r="O186" t="str">
            <v>V.07.01.03</v>
          </cell>
          <cell r="P186" t="str">
            <v>A1</v>
          </cell>
          <cell r="Q186">
            <v>3</v>
          </cell>
          <cell r="R186">
            <v>3.66</v>
          </cell>
          <cell r="S186">
            <v>0.51239999999999997</v>
          </cell>
        </row>
        <row r="187">
          <cell r="D187" t="str">
            <v>Trần Thị Ánh Tuyết</v>
          </cell>
          <cell r="E187" t="str">
            <v>Giảng viên khoa KHCB</v>
          </cell>
          <cell r="F187" t="str">
            <v>Th.S</v>
          </cell>
          <cell r="G187" t="str">
            <v>x</v>
          </cell>
          <cell r="H187" t="str">
            <v>GV</v>
          </cell>
          <cell r="I187" t="str">
            <v>GV</v>
          </cell>
          <cell r="J187" t="str">
            <v>GV228</v>
          </cell>
          <cell r="K187" t="str">
            <v>024943379</v>
          </cell>
          <cell r="L187" t="str">
            <v>1603205186632</v>
          </cell>
          <cell r="M187" t="str">
            <v>11100096308</v>
          </cell>
          <cell r="N187" t="str">
            <v>Giảng viên
(hạng III)</v>
          </cell>
          <cell r="O187" t="str">
            <v>V.09.02.03</v>
          </cell>
          <cell r="P187" t="str">
            <v>A1</v>
          </cell>
          <cell r="Q187">
            <v>4</v>
          </cell>
          <cell r="R187">
            <v>3.66</v>
          </cell>
          <cell r="S187">
            <v>0.43919999999999998</v>
          </cell>
        </row>
        <row r="188">
          <cell r="D188" t="str">
            <v>Hà Như Mai</v>
          </cell>
          <cell r="E188" t="str">
            <v>Giảng viên khoa KHCB</v>
          </cell>
          <cell r="F188" t="str">
            <v>ĐH</v>
          </cell>
          <cell r="G188" t="str">
            <v>x</v>
          </cell>
          <cell r="H188" t="str">
            <v>GV</v>
          </cell>
          <cell r="I188" t="str">
            <v>GV</v>
          </cell>
          <cell r="J188" t="str">
            <v>GV230</v>
          </cell>
          <cell r="K188" t="str">
            <v>024497762</v>
          </cell>
          <cell r="L188" t="str">
            <v>1603205229027</v>
          </cell>
          <cell r="M188" t="str">
            <v>11100096296</v>
          </cell>
          <cell r="N188" t="str">
            <v>Giảng viên (hạng III)</v>
          </cell>
          <cell r="O188" t="str">
            <v>V.07.01.03</v>
          </cell>
          <cell r="P188" t="str">
            <v>A1</v>
          </cell>
          <cell r="Q188">
            <v>3</v>
          </cell>
          <cell r="R188">
            <v>3.66</v>
          </cell>
          <cell r="S188">
            <v>0.43919999999999998</v>
          </cell>
        </row>
        <row r="189">
          <cell r="D189" t="str">
            <v>Giang Phi Hùng</v>
          </cell>
          <cell r="E189" t="str">
            <v>Giảng viên khoa KHCB</v>
          </cell>
          <cell r="F189" t="str">
            <v>ĐH</v>
          </cell>
          <cell r="H189" t="str">
            <v>GV</v>
          </cell>
          <cell r="I189" t="str">
            <v>GV</v>
          </cell>
          <cell r="J189" t="str">
            <v>GV286</v>
          </cell>
          <cell r="K189" t="str">
            <v>080083000079</v>
          </cell>
          <cell r="L189" t="str">
            <v>1603205534256</v>
          </cell>
          <cell r="M189" t="str">
            <v>11100113288</v>
          </cell>
          <cell r="N189" t="str">
            <v>Giảng viên
(hạng III)</v>
          </cell>
          <cell r="O189" t="str">
            <v>V.07.01.03</v>
          </cell>
          <cell r="P189" t="str">
            <v>A1</v>
          </cell>
          <cell r="Q189">
            <v>3</v>
          </cell>
          <cell r="R189">
            <v>3.66</v>
          </cell>
          <cell r="S189">
            <v>0.4758</v>
          </cell>
        </row>
        <row r="190">
          <cell r="D190" t="str">
            <v>Lê Minh Phong</v>
          </cell>
          <cell r="E190" t="str">
            <v>Giảng viên khoa KHCB</v>
          </cell>
          <cell r="F190" t="str">
            <v>ĐH</v>
          </cell>
          <cell r="I190" t="str">
            <v>GV</v>
          </cell>
          <cell r="J190" t="str">
            <v>GV284</v>
          </cell>
          <cell r="K190" t="str">
            <v>024941650</v>
          </cell>
          <cell r="L190" t="str">
            <v>1603205186678</v>
          </cell>
          <cell r="M190" t="str">
            <v>11100109549</v>
          </cell>
          <cell r="N190" t="str">
            <v>Giảng viên
(hạng III)</v>
          </cell>
          <cell r="O190" t="str">
            <v>V.07.01.03</v>
          </cell>
          <cell r="P190" t="str">
            <v>A1</v>
          </cell>
          <cell r="Q190">
            <v>3</v>
          </cell>
          <cell r="R190">
            <v>3.33</v>
          </cell>
          <cell r="S190">
            <v>0.26640000000000003</v>
          </cell>
        </row>
        <row r="191">
          <cell r="D191" t="str">
            <v>Dương Đức Kiên</v>
          </cell>
          <cell r="E191" t="str">
            <v>Giảng viên khoa KHCB</v>
          </cell>
          <cell r="K191" t="str">
            <v>025583771</v>
          </cell>
          <cell r="L191" t="str">
            <v>1603205398372</v>
          </cell>
          <cell r="M191" t="str">
            <v>31100001640</v>
          </cell>
          <cell r="N191" t="str">
            <v>Giảng viên
(hạng III)</v>
          </cell>
          <cell r="O191" t="str">
            <v>V.07.01.03</v>
          </cell>
          <cell r="P191" t="str">
            <v>A1</v>
          </cell>
          <cell r="Q191">
            <v>2</v>
          </cell>
          <cell r="R191">
            <v>3</v>
          </cell>
          <cell r="S191">
            <v>0.21</v>
          </cell>
        </row>
        <row r="192">
          <cell r="D192" t="str">
            <v>Nguyễn Văn Hậu</v>
          </cell>
          <cell r="E192" t="str">
            <v>Giảng viên khoa KHCB</v>
          </cell>
          <cell r="K192" t="str">
            <v>046069000174</v>
          </cell>
          <cell r="L192" t="str">
            <v>1603205399194</v>
          </cell>
          <cell r="M192" t="str">
            <v>31100001602</v>
          </cell>
          <cell r="N192" t="str">
            <v>Giảng viên
(hạng III)</v>
          </cell>
          <cell r="O192" t="str">
            <v>V.07.01.03</v>
          </cell>
          <cell r="P192" t="str">
            <v>A1</v>
          </cell>
          <cell r="Q192">
            <v>2</v>
          </cell>
          <cell r="R192">
            <v>3</v>
          </cell>
          <cell r="S192">
            <v>0.33</v>
          </cell>
        </row>
        <row r="193">
          <cell r="D193" t="str">
            <v>Trần Thanh Trúc</v>
          </cell>
          <cell r="E193" t="str">
            <v>Giảng viên khoa KHCB</v>
          </cell>
          <cell r="G193" t="str">
            <v>x</v>
          </cell>
          <cell r="K193" t="str">
            <v>024327951</v>
          </cell>
          <cell r="M193" t="str">
            <v>60200000550</v>
          </cell>
          <cell r="N193" t="str">
            <v>Giảng viên GDNN LT (hạng III)</v>
          </cell>
          <cell r="O193" t="str">
            <v>V.09.02.03</v>
          </cell>
          <cell r="P193" t="str">
            <v>A1</v>
          </cell>
          <cell r="Q193">
            <v>1</v>
          </cell>
          <cell r="R193">
            <v>2.67</v>
          </cell>
          <cell r="S193">
            <v>0.13350000000000001</v>
          </cell>
        </row>
        <row r="194">
          <cell r="D194" t="str">
            <v>Phạm Thị Thu Hiền</v>
          </cell>
          <cell r="E194" t="str">
            <v>Giảng viên khoa KHCB</v>
          </cell>
          <cell r="K194" t="str">
            <v>024104165</v>
          </cell>
          <cell r="M194" t="str">
            <v>60300000060</v>
          </cell>
          <cell r="N194" t="str">
            <v>Giảng viên GDNN LT (hạng III)</v>
          </cell>
          <cell r="O194" t="str">
            <v>V.09.02.03</v>
          </cell>
          <cell r="P194" t="str">
            <v>A1</v>
          </cell>
          <cell r="Q194">
            <v>1</v>
          </cell>
          <cell r="R194">
            <v>2.67</v>
          </cell>
          <cell r="S194">
            <v>0.13350000000000001</v>
          </cell>
        </row>
        <row r="195">
          <cell r="D195" t="str">
            <v>Đặng Thị Kiến Trúc</v>
          </cell>
          <cell r="E195" t="str">
            <v>Giảng viên khoa KHCB</v>
          </cell>
          <cell r="F195" t="str">
            <v>ĐH</v>
          </cell>
          <cell r="G195" t="str">
            <v>x</v>
          </cell>
          <cell r="H195" t="str">
            <v>GV</v>
          </cell>
          <cell r="I195" t="str">
            <v>GV</v>
          </cell>
          <cell r="J195" t="str">
            <v>GV158</v>
          </cell>
          <cell r="K195" t="str">
            <v>082175000189</v>
          </cell>
          <cell r="L195" t="str">
            <v>1603205186501</v>
          </cell>
          <cell r="M195" t="str">
            <v>11100067776</v>
          </cell>
          <cell r="N195" t="str">
            <v>Giảng viên
(hạng III)</v>
          </cell>
          <cell r="O195" t="str">
            <v>V.07.01.03</v>
          </cell>
          <cell r="P195" t="str">
            <v>A1</v>
          </cell>
          <cell r="Q195">
            <v>5</v>
          </cell>
          <cell r="R195">
            <v>3.99</v>
          </cell>
          <cell r="S195">
            <v>0.63839999999999997</v>
          </cell>
        </row>
        <row r="196">
          <cell r="D196" t="str">
            <v>Nguyễn Ngọc Quỳnh</v>
          </cell>
          <cell r="E196" t="str">
            <v>Phó Trưởng khoa Lý luận chính trị</v>
          </cell>
          <cell r="F196" t="str">
            <v>ĐH</v>
          </cell>
          <cell r="H196" t="str">
            <v>GV</v>
          </cell>
          <cell r="I196" t="str">
            <v>GV</v>
          </cell>
          <cell r="J196" t="str">
            <v>GV256</v>
          </cell>
          <cell r="K196" t="str">
            <v>025531048</v>
          </cell>
          <cell r="L196" t="str">
            <v>1603205186264</v>
          </cell>
          <cell r="M196" t="str">
            <v>11100110132</v>
          </cell>
          <cell r="N196" t="str">
            <v>Giảng viên GDNN LT (hạng III)</v>
          </cell>
          <cell r="O196" t="str">
            <v>V.09.02.03</v>
          </cell>
          <cell r="P196" t="str">
            <v>A1</v>
          </cell>
          <cell r="Q196">
            <v>3</v>
          </cell>
          <cell r="R196">
            <v>3.66</v>
          </cell>
          <cell r="S196">
            <v>0.79109999999999991</v>
          </cell>
        </row>
        <row r="197">
          <cell r="D197" t="str">
            <v>Lê Thị Hồng Vân</v>
          </cell>
          <cell r="E197" t="str">
            <v>Phó Trưởng khoa Lý luận chính trị</v>
          </cell>
          <cell r="F197" t="str">
            <v>Th.S</v>
          </cell>
          <cell r="G197" t="str">
            <v>x</v>
          </cell>
          <cell r="H197" t="str">
            <v>GV</v>
          </cell>
          <cell r="I197" t="str">
            <v>GV</v>
          </cell>
          <cell r="J197" t="str">
            <v>GV143</v>
          </cell>
          <cell r="K197" t="str">
            <v>024774604</v>
          </cell>
          <cell r="L197" t="str">
            <v>1603205189761</v>
          </cell>
          <cell r="M197" t="str">
            <v>11100082586</v>
          </cell>
          <cell r="N197" t="str">
            <v>Giảng viên GDNN LT (hạng III)</v>
          </cell>
          <cell r="O197" t="str">
            <v>V.09.02.03</v>
          </cell>
          <cell r="P197" t="str">
            <v>A1</v>
          </cell>
          <cell r="Q197">
            <v>4</v>
          </cell>
          <cell r="R197">
            <v>3.99</v>
          </cell>
          <cell r="S197">
            <v>0.91420000000000001</v>
          </cell>
        </row>
        <row r="198">
          <cell r="D198" t="str">
            <v>Phan Thị Thùy Trang</v>
          </cell>
          <cell r="E198" t="str">
            <v>Giảng viên khoa Lý luận chính trị</v>
          </cell>
          <cell r="F198" t="str">
            <v>ĐH</v>
          </cell>
          <cell r="G198" t="str">
            <v>x</v>
          </cell>
          <cell r="H198" t="str">
            <v>GV</v>
          </cell>
          <cell r="I198" t="str">
            <v>GV</v>
          </cell>
          <cell r="J198" t="str">
            <v>GV216</v>
          </cell>
          <cell r="K198" t="str">
            <v>024827262</v>
          </cell>
          <cell r="L198" t="str">
            <v>1603205189942</v>
          </cell>
          <cell r="M198" t="str">
            <v>11100096307</v>
          </cell>
          <cell r="N198" t="str">
            <v>Giảng viên GDNN LT (hạng III)</v>
          </cell>
          <cell r="O198" t="str">
            <v>V.09.02.03</v>
          </cell>
          <cell r="P198" t="str">
            <v>A1</v>
          </cell>
          <cell r="Q198">
            <v>4</v>
          </cell>
          <cell r="R198">
            <v>3.99</v>
          </cell>
          <cell r="S198">
            <v>0.75880000000000003</v>
          </cell>
        </row>
        <row r="199">
          <cell r="D199" t="str">
            <v>Lê Thị Mai Hường</v>
          </cell>
          <cell r="E199" t="str">
            <v>Giảng viên khoa Lý luận chính trị</v>
          </cell>
          <cell r="F199" t="str">
            <v>ĐH</v>
          </cell>
          <cell r="G199" t="str">
            <v>x</v>
          </cell>
          <cell r="H199" t="str">
            <v>GV</v>
          </cell>
          <cell r="I199" t="str">
            <v>GV</v>
          </cell>
          <cell r="J199" t="str">
            <v>GV255</v>
          </cell>
          <cell r="K199" t="str">
            <v>025523427</v>
          </cell>
          <cell r="L199" t="str">
            <v>1603205186270</v>
          </cell>
          <cell r="M199" t="str">
            <v>11100109686</v>
          </cell>
          <cell r="N199" t="str">
            <v>Giảng viên GDNN LT (hạng III)</v>
          </cell>
          <cell r="O199" t="str">
            <v>V.09.02.03</v>
          </cell>
          <cell r="P199" t="str">
            <v>A1</v>
          </cell>
          <cell r="Q199">
            <v>3</v>
          </cell>
          <cell r="R199">
            <v>3.66</v>
          </cell>
          <cell r="S199">
            <v>0.40260000000000001</v>
          </cell>
        </row>
        <row r="200">
          <cell r="D200" t="str">
            <v>Đỗ Thị Ngát</v>
          </cell>
          <cell r="E200" t="str">
            <v>Giảng viên khoa Lý luận chính trị</v>
          </cell>
          <cell r="G200" t="str">
            <v>x</v>
          </cell>
          <cell r="K200" t="str">
            <v>025611151</v>
          </cell>
          <cell r="L200" t="str">
            <v>1603205398451</v>
          </cell>
          <cell r="M200" t="str">
            <v>30800000127</v>
          </cell>
          <cell r="N200" t="str">
            <v>Giảng viên GDNN LT (hạng III)</v>
          </cell>
          <cell r="O200" t="str">
            <v>V.09.02.03</v>
          </cell>
          <cell r="P200" t="str">
            <v>A1</v>
          </cell>
          <cell r="Q200">
            <v>3</v>
          </cell>
          <cell r="R200">
            <v>3.66</v>
          </cell>
          <cell r="S200">
            <v>0.43919999999999998</v>
          </cell>
        </row>
        <row r="201">
          <cell r="D201" t="str">
            <v>Trần Thị Hồng Thu</v>
          </cell>
          <cell r="E201" t="str">
            <v>Giảng viên khoa Lý luận chính trị</v>
          </cell>
          <cell r="F201" t="str">
            <v>ĐH</v>
          </cell>
          <cell r="G201" t="str">
            <v>x</v>
          </cell>
          <cell r="H201" t="str">
            <v>GV</v>
          </cell>
          <cell r="I201" t="str">
            <v>GV</v>
          </cell>
          <cell r="J201" t="str">
            <v>GV172</v>
          </cell>
          <cell r="K201" t="str">
            <v>025348886</v>
          </cell>
          <cell r="L201" t="str">
            <v>1603205186480</v>
          </cell>
          <cell r="M201" t="str">
            <v>11100071858</v>
          </cell>
          <cell r="N201" t="str">
            <v>Giảng viên GDNN LT (hạng III)</v>
          </cell>
          <cell r="O201" t="str">
            <v>V.09.02.03</v>
          </cell>
          <cell r="P201" t="str">
            <v>A1</v>
          </cell>
          <cell r="Q201">
            <v>4</v>
          </cell>
          <cell r="R201">
            <v>3.99</v>
          </cell>
          <cell r="S201">
            <v>0.63839999999999997</v>
          </cell>
        </row>
        <row r="202">
          <cell r="D202" t="str">
            <v>Đinh Thị Huyên</v>
          </cell>
          <cell r="E202" t="str">
            <v>Giảng viên khoa Lý luận chính trị</v>
          </cell>
          <cell r="F202" t="str">
            <v>ĐH</v>
          </cell>
          <cell r="G202" t="str">
            <v>x</v>
          </cell>
          <cell r="H202" t="str">
            <v>GV</v>
          </cell>
          <cell r="I202" t="str">
            <v>GV</v>
          </cell>
          <cell r="J202" t="str">
            <v>GV214</v>
          </cell>
          <cell r="K202" t="str">
            <v>024935952</v>
          </cell>
          <cell r="L202" t="str">
            <v>1603205228841</v>
          </cell>
          <cell r="M202" t="str">
            <v>11100096279</v>
          </cell>
          <cell r="N202" t="str">
            <v>Giảng viên GDNN LT (hạng III)</v>
          </cell>
          <cell r="O202" t="str">
            <v>V.09.02.03</v>
          </cell>
          <cell r="P202" t="str">
            <v>A1</v>
          </cell>
          <cell r="Q202">
            <v>3</v>
          </cell>
          <cell r="R202">
            <v>3.66</v>
          </cell>
          <cell r="S202">
            <v>0.43919999999999998</v>
          </cell>
        </row>
        <row r="203">
          <cell r="D203" t="str">
            <v>Cao Thị Hồng Thắm</v>
          </cell>
          <cell r="E203" t="str">
            <v>Giảng viên khoa Lý luận chính trị</v>
          </cell>
          <cell r="F203" t="str">
            <v>ĐH</v>
          </cell>
          <cell r="G203" t="str">
            <v>x</v>
          </cell>
          <cell r="H203" t="str">
            <v>GV</v>
          </cell>
          <cell r="I203" t="str">
            <v>GV</v>
          </cell>
          <cell r="J203" t="str">
            <v>GV254</v>
          </cell>
          <cell r="K203" t="str">
            <v>025439037</v>
          </cell>
          <cell r="L203" t="str">
            <v>1603205250601</v>
          </cell>
          <cell r="M203" t="str">
            <v>20500006345</v>
          </cell>
          <cell r="N203" t="str">
            <v>Giảng viên GDNN LT (hạng III)</v>
          </cell>
          <cell r="O203" t="str">
            <v>V.09.02.03</v>
          </cell>
          <cell r="P203" t="str">
            <v>A1</v>
          </cell>
          <cell r="Q203">
            <v>3</v>
          </cell>
          <cell r="R203">
            <v>3.66</v>
          </cell>
          <cell r="S203">
            <v>0.40260000000000001</v>
          </cell>
        </row>
        <row r="204">
          <cell r="D204" t="str">
            <v>Đỗ Thị Thơm</v>
          </cell>
          <cell r="E204" t="str">
            <v>Giảng viên khoa Lý luận chính trị</v>
          </cell>
          <cell r="F204" t="str">
            <v>ĐH</v>
          </cell>
          <cell r="G204" t="str">
            <v>x</v>
          </cell>
          <cell r="H204" t="str">
            <v>GV</v>
          </cell>
          <cell r="I204" t="str">
            <v>GV</v>
          </cell>
          <cell r="J204" t="str">
            <v>GV253</v>
          </cell>
          <cell r="K204" t="str">
            <v>025232273</v>
          </cell>
          <cell r="L204" t="str">
            <v>1603205249841</v>
          </cell>
          <cell r="M204" t="str">
            <v>11100109963</v>
          </cell>
          <cell r="N204" t="str">
            <v>Giảng viên GDNN LT (hạng III)</v>
          </cell>
          <cell r="O204" t="str">
            <v>V.09.02.03</v>
          </cell>
          <cell r="P204" t="str">
            <v>A1</v>
          </cell>
          <cell r="Q204">
            <v>3</v>
          </cell>
          <cell r="R204">
            <v>3.66</v>
          </cell>
          <cell r="S204">
            <v>0.40260000000000001</v>
          </cell>
        </row>
        <row r="205">
          <cell r="D205" t="str">
            <v>Phạm Thị Vinh</v>
          </cell>
          <cell r="E205" t="str">
            <v>Giảng viên khoa Lý luận chính trị</v>
          </cell>
          <cell r="F205" t="str">
            <v>ĐH</v>
          </cell>
          <cell r="G205" t="str">
            <v>x</v>
          </cell>
          <cell r="H205" t="str">
            <v>GV</v>
          </cell>
          <cell r="I205" t="str">
            <v>GV</v>
          </cell>
          <cell r="K205" t="str">
            <v>025294204</v>
          </cell>
          <cell r="L205" t="str">
            <v>1603205269412</v>
          </cell>
          <cell r="M205" t="str">
            <v>11100116900</v>
          </cell>
          <cell r="N205" t="str">
            <v>Giảng viên GDNN LT (hạng III)</v>
          </cell>
          <cell r="O205" t="str">
            <v>V.09.02.03</v>
          </cell>
          <cell r="P205" t="str">
            <v>A1</v>
          </cell>
          <cell r="Q205">
            <v>4</v>
          </cell>
          <cell r="R205">
            <v>3.99</v>
          </cell>
          <cell r="S205">
            <v>0.59850000000000003</v>
          </cell>
        </row>
        <row r="206">
          <cell r="D206" t="str">
            <v>Hoàng Thị Trang</v>
          </cell>
          <cell r="E206" t="str">
            <v>Giảng viên khoa Lý luận chính trị</v>
          </cell>
          <cell r="G206" t="str">
            <v>x</v>
          </cell>
          <cell r="K206">
            <v>186057737</v>
          </cell>
          <cell r="M206" t="str">
            <v>60300000132</v>
          </cell>
          <cell r="N206" t="str">
            <v>Giảng viên GDNN LT (hạng III)</v>
          </cell>
          <cell r="O206" t="str">
            <v>V.09.02.03</v>
          </cell>
          <cell r="P206" t="str">
            <v>A1</v>
          </cell>
          <cell r="Q206">
            <v>2</v>
          </cell>
          <cell r="R206">
            <v>3.33</v>
          </cell>
          <cell r="S206">
            <v>0.19980000000000001</v>
          </cell>
        </row>
        <row r="207">
          <cell r="D207" t="str">
            <v>Bùi Thành Dũng</v>
          </cell>
          <cell r="E207" t="str">
            <v>Giảng viên khoa Lý luận chính trị</v>
          </cell>
          <cell r="F207" t="str">
            <v>ĐH</v>
          </cell>
          <cell r="H207" t="str">
            <v>GV</v>
          </cell>
          <cell r="I207" t="str">
            <v>GV</v>
          </cell>
          <cell r="J207" t="str">
            <v>GV266</v>
          </cell>
          <cell r="K207" t="str">
            <v>022472262</v>
          </cell>
          <cell r="L207" t="str">
            <v>1603205250790</v>
          </cell>
          <cell r="M207" t="str">
            <v>11100109912</v>
          </cell>
          <cell r="N207" t="str">
            <v>Giảng viên GDNN LT (hạng III)</v>
          </cell>
          <cell r="O207" t="str">
            <v>V.09.02.03</v>
          </cell>
          <cell r="P207" t="str">
            <v>A1</v>
          </cell>
          <cell r="Q207">
            <v>3</v>
          </cell>
          <cell r="R207">
            <v>3.33</v>
          </cell>
          <cell r="S207">
            <v>0.36630000000000001</v>
          </cell>
        </row>
        <row r="208">
          <cell r="D208" t="str">
            <v>Trần Văn Lượng</v>
          </cell>
          <cell r="E208" t="str">
            <v>Giảng viên khoa Lý luận chính trị</v>
          </cell>
          <cell r="K208" t="str">
            <v>024947914</v>
          </cell>
          <cell r="L208" t="str">
            <v>1603205398400</v>
          </cell>
          <cell r="M208" t="str">
            <v>31100001615</v>
          </cell>
          <cell r="N208" t="str">
            <v>Giảng viên GDNN LT (hạng III)</v>
          </cell>
          <cell r="O208" t="str">
            <v>V.09.02.03</v>
          </cell>
          <cell r="P208" t="str">
            <v>A1</v>
          </cell>
          <cell r="Q208">
            <v>2</v>
          </cell>
          <cell r="R208">
            <v>3</v>
          </cell>
          <cell r="S208">
            <v>0.21</v>
          </cell>
        </row>
        <row r="209">
          <cell r="D209" t="str">
            <v>Hồ Ngọc Chi</v>
          </cell>
          <cell r="E209" t="str">
            <v>Phó Trưởng khoa. Khoa CNTT</v>
          </cell>
          <cell r="K209" t="str">
            <v>300881563</v>
          </cell>
          <cell r="N209" t="str">
            <v>Giảng viên GDNN LT (hạng III)</v>
          </cell>
          <cell r="O209" t="str">
            <v>V.09.02.03</v>
          </cell>
          <cell r="R209">
            <v>3.66</v>
          </cell>
          <cell r="S209">
            <v>1.0718000000000001</v>
          </cell>
        </row>
        <row r="210">
          <cell r="D210" t="str">
            <v>Nguyễn Nguyên Hoàng Ngọc Quyên</v>
          </cell>
          <cell r="E210" t="str">
            <v>Giảng viên khoa CNTT</v>
          </cell>
          <cell r="F210" t="str">
            <v>ĐH</v>
          </cell>
          <cell r="G210" t="str">
            <v>x</v>
          </cell>
          <cell r="H210" t="str">
            <v>GV</v>
          </cell>
          <cell r="I210" t="str">
            <v>GV</v>
          </cell>
          <cell r="J210" t="str">
            <v>GV163</v>
          </cell>
          <cell r="K210" t="str">
            <v>023471997</v>
          </cell>
          <cell r="L210" t="str">
            <v>1603205185210</v>
          </cell>
          <cell r="M210" t="str">
            <v>11100067215</v>
          </cell>
          <cell r="N210" t="str">
            <v>Giảng viên GDNN LT (hạng III)</v>
          </cell>
          <cell r="O210" t="str">
            <v>V.09.02.03</v>
          </cell>
          <cell r="P210" t="str">
            <v>A1</v>
          </cell>
          <cell r="Q210">
            <v>4</v>
          </cell>
          <cell r="R210">
            <v>3.99</v>
          </cell>
          <cell r="S210">
            <v>0.59850000000000003</v>
          </cell>
        </row>
        <row r="211">
          <cell r="D211" t="str">
            <v>Vũ Thị Thái Linh</v>
          </cell>
          <cell r="E211" t="str">
            <v>Giảng viên khoa CNTT</v>
          </cell>
          <cell r="F211" t="str">
            <v>ĐH</v>
          </cell>
          <cell r="G211" t="str">
            <v>x</v>
          </cell>
          <cell r="H211" t="str">
            <v>GV</v>
          </cell>
          <cell r="I211" t="str">
            <v>GV</v>
          </cell>
          <cell r="J211" t="str">
            <v>GV173</v>
          </cell>
          <cell r="K211" t="str">
            <v>023646525</v>
          </cell>
          <cell r="L211" t="str">
            <v>1603205185284</v>
          </cell>
          <cell r="M211" t="str">
            <v>11100071847</v>
          </cell>
          <cell r="N211" t="str">
            <v>Giảng viên GDNN LT (hạng III)</v>
          </cell>
          <cell r="O211" t="str">
            <v>V.09.02.03</v>
          </cell>
          <cell r="P211" t="str">
            <v>A1</v>
          </cell>
          <cell r="Q211">
            <v>4</v>
          </cell>
          <cell r="R211">
            <v>3.99</v>
          </cell>
          <cell r="S211">
            <v>0.55859999999999999</v>
          </cell>
        </row>
        <row r="212">
          <cell r="D212" t="str">
            <v>Nguyễn Sanh Cường</v>
          </cell>
          <cell r="E212" t="str">
            <v>Giảng viên khoa CNTT</v>
          </cell>
          <cell r="F212" t="str">
            <v>ĐH</v>
          </cell>
          <cell r="H212" t="str">
            <v>GV</v>
          </cell>
          <cell r="I212" t="str">
            <v>GV</v>
          </cell>
          <cell r="J212" t="str">
            <v>GV142</v>
          </cell>
          <cell r="K212" t="str">
            <v>024723439</v>
          </cell>
          <cell r="L212" t="str">
            <v>1603205185118</v>
          </cell>
          <cell r="M212" t="str">
            <v>11100082750</v>
          </cell>
          <cell r="N212" t="str">
            <v>Giảng viên GDNN LT (hạng III)</v>
          </cell>
          <cell r="O212" t="str">
            <v>V.09.02.03</v>
          </cell>
          <cell r="P212" t="str">
            <v>A1</v>
          </cell>
          <cell r="Q212">
            <v>4</v>
          </cell>
          <cell r="R212">
            <v>3.66</v>
          </cell>
          <cell r="S212">
            <v>0.4758</v>
          </cell>
        </row>
        <row r="213">
          <cell r="D213" t="str">
            <v>Lê Quý Hưng Quốc</v>
          </cell>
          <cell r="E213" t="str">
            <v>Giảng viên khoa CNTT</v>
          </cell>
          <cell r="F213" t="str">
            <v>ĐH</v>
          </cell>
          <cell r="H213" t="str">
            <v>GV</v>
          </cell>
          <cell r="I213" t="str">
            <v>GV</v>
          </cell>
          <cell r="J213" t="str">
            <v>GV138</v>
          </cell>
          <cell r="K213" t="str">
            <v>023099369</v>
          </cell>
          <cell r="L213" t="str">
            <v>1603205185278</v>
          </cell>
          <cell r="M213" t="str">
            <v>11100082723</v>
          </cell>
          <cell r="N213" t="str">
            <v>Giảng viên GDNN LT (hạng III)</v>
          </cell>
          <cell r="O213" t="str">
            <v>V.09.02.03</v>
          </cell>
          <cell r="P213" t="str">
            <v>A1</v>
          </cell>
          <cell r="Q213">
            <v>4</v>
          </cell>
          <cell r="R213">
            <v>3.66</v>
          </cell>
          <cell r="S213">
            <v>0.4758</v>
          </cell>
        </row>
        <row r="214">
          <cell r="D214" t="str">
            <v>Bùi Văn Dũng</v>
          </cell>
          <cell r="E214" t="str">
            <v>Giảng viên khoa CNTT</v>
          </cell>
          <cell r="F214" t="str">
            <v>ĐH</v>
          </cell>
          <cell r="H214" t="str">
            <v>GV</v>
          </cell>
          <cell r="I214" t="str">
            <v>GV</v>
          </cell>
          <cell r="J214" t="str">
            <v>GV221</v>
          </cell>
          <cell r="K214" t="str">
            <v>025091414</v>
          </cell>
          <cell r="L214" t="str">
            <v>1603205234692</v>
          </cell>
          <cell r="M214" t="str">
            <v>11100096278</v>
          </cell>
          <cell r="N214" t="str">
            <v>Giảng viên GDNN LT (hạng III)</v>
          </cell>
          <cell r="O214" t="str">
            <v>V.09.02.03</v>
          </cell>
          <cell r="P214" t="str">
            <v>A1</v>
          </cell>
          <cell r="Q214">
            <v>3</v>
          </cell>
          <cell r="R214">
            <v>3.66</v>
          </cell>
          <cell r="S214">
            <v>0.43919999999999998</v>
          </cell>
        </row>
        <row r="215">
          <cell r="D215" t="str">
            <v>Nguyễn Văn Minh</v>
          </cell>
          <cell r="E215" t="str">
            <v>Giảng viên khoa CNTT</v>
          </cell>
          <cell r="F215" t="str">
            <v>ĐH</v>
          </cell>
          <cell r="H215" t="str">
            <v>GV</v>
          </cell>
          <cell r="I215" t="str">
            <v>GV</v>
          </cell>
          <cell r="J215" t="str">
            <v>GV224</v>
          </cell>
          <cell r="K215" t="str">
            <v>022354694</v>
          </cell>
          <cell r="L215" t="str">
            <v>1603205233313</v>
          </cell>
          <cell r="M215" t="str">
            <v>11100096301</v>
          </cell>
          <cell r="N215" t="str">
            <v>Giảng viên GDNN LT (hạng III)</v>
          </cell>
          <cell r="O215" t="str">
            <v>V.09.02.03</v>
          </cell>
          <cell r="P215" t="str">
            <v>A1</v>
          </cell>
          <cell r="Q215">
            <v>3</v>
          </cell>
          <cell r="R215">
            <v>3.66</v>
          </cell>
          <cell r="S215">
            <v>0.54900000000000004</v>
          </cell>
        </row>
        <row r="216">
          <cell r="D216" t="str">
            <v>Nguyễn Thị Khánh Thư</v>
          </cell>
          <cell r="E216" t="str">
            <v>Giảng viên khoa CNTT</v>
          </cell>
          <cell r="F216" t="str">
            <v>ĐH</v>
          </cell>
          <cell r="G216" t="str">
            <v>x</v>
          </cell>
          <cell r="H216" t="str">
            <v>GV</v>
          </cell>
          <cell r="I216" t="str">
            <v>GV</v>
          </cell>
          <cell r="J216" t="str">
            <v>GV243</v>
          </cell>
          <cell r="K216" t="str">
            <v>025078389</v>
          </cell>
          <cell r="L216" t="str">
            <v>1603205233178</v>
          </cell>
          <cell r="M216" t="str">
            <v>11100097753</v>
          </cell>
          <cell r="N216" t="str">
            <v>Giảng viên GDNN LT (hạng III)</v>
          </cell>
          <cell r="O216" t="str">
            <v>V.09.02.03</v>
          </cell>
          <cell r="P216" t="str">
            <v>A1</v>
          </cell>
          <cell r="Q216">
            <v>4</v>
          </cell>
          <cell r="R216">
            <v>3.66</v>
          </cell>
          <cell r="S216">
            <v>0.51239999999999997</v>
          </cell>
        </row>
        <row r="217">
          <cell r="D217" t="str">
            <v>Trần Việt Khánh</v>
          </cell>
          <cell r="E217" t="str">
            <v>Trưởng BM khoa CNTT</v>
          </cell>
          <cell r="F217" t="str">
            <v>ĐH</v>
          </cell>
          <cell r="H217" t="str">
            <v>GV</v>
          </cell>
          <cell r="I217" t="str">
            <v>GV</v>
          </cell>
          <cell r="J217" t="str">
            <v>GV225</v>
          </cell>
          <cell r="K217" t="str">
            <v>023204127</v>
          </cell>
          <cell r="L217" t="str">
            <v>1603205234010</v>
          </cell>
          <cell r="M217" t="str">
            <v>11100096289</v>
          </cell>
          <cell r="N217" t="str">
            <v>Giảng viên GDNN LT (hạng III)</v>
          </cell>
          <cell r="O217" t="str">
            <v>V.09.02.03</v>
          </cell>
          <cell r="P217" t="str">
            <v>A1</v>
          </cell>
          <cell r="Q217">
            <v>3</v>
          </cell>
          <cell r="R217">
            <v>3.66</v>
          </cell>
          <cell r="S217">
            <v>0.71920000000000006</v>
          </cell>
        </row>
        <row r="218">
          <cell r="D218" t="str">
            <v>Đỗ Thị Hải Yến</v>
          </cell>
          <cell r="E218" t="str">
            <v>Giảng viên khoa CNTT</v>
          </cell>
          <cell r="F218" t="str">
            <v>ĐH</v>
          </cell>
          <cell r="G218" t="str">
            <v>x</v>
          </cell>
          <cell r="H218" t="str">
            <v>GV</v>
          </cell>
          <cell r="I218" t="str">
            <v>GV</v>
          </cell>
          <cell r="J218" t="str">
            <v>GV223</v>
          </cell>
          <cell r="K218" t="str">
            <v>023228757</v>
          </cell>
          <cell r="L218" t="str">
            <v>1603205235506</v>
          </cell>
          <cell r="M218" t="str">
            <v>11100096317</v>
          </cell>
          <cell r="N218" t="str">
            <v>Giảng viên GDNN LT (hạng III)</v>
          </cell>
          <cell r="O218" t="str">
            <v>V.09.02.03</v>
          </cell>
          <cell r="P218" t="str">
            <v>A1</v>
          </cell>
          <cell r="Q218">
            <v>3</v>
          </cell>
          <cell r="R218">
            <v>3.66</v>
          </cell>
          <cell r="S218">
            <v>0.43919999999999998</v>
          </cell>
        </row>
        <row r="219">
          <cell r="D219" t="str">
            <v>Lê Hồng Thái</v>
          </cell>
          <cell r="E219" t="str">
            <v>Giảng viên khoa CNTT</v>
          </cell>
          <cell r="F219" t="str">
            <v>ĐH</v>
          </cell>
          <cell r="G219" t="str">
            <v>x</v>
          </cell>
          <cell r="H219" t="str">
            <v>GV</v>
          </cell>
          <cell r="I219" t="str">
            <v>GV</v>
          </cell>
          <cell r="J219" t="str">
            <v>GV222</v>
          </cell>
          <cell r="K219" t="str">
            <v>025627682</v>
          </cell>
          <cell r="L219" t="str">
            <v>1603205231376</v>
          </cell>
          <cell r="M219" t="str">
            <v>11100096304</v>
          </cell>
          <cell r="N219" t="str">
            <v>Giảng viên GDNN LT (hạng III)</v>
          </cell>
          <cell r="O219" t="str">
            <v>V.09.02.03</v>
          </cell>
          <cell r="P219" t="str">
            <v>A1</v>
          </cell>
          <cell r="Q219">
            <v>3</v>
          </cell>
          <cell r="R219">
            <v>3.66</v>
          </cell>
          <cell r="S219">
            <v>0.43919999999999998</v>
          </cell>
        </row>
        <row r="220">
          <cell r="D220" t="str">
            <v>Đặng Ngọc Đoàn</v>
          </cell>
          <cell r="E220" t="str">
            <v>Giảng viên khoa CNTT</v>
          </cell>
          <cell r="F220" t="str">
            <v>ĐH</v>
          </cell>
          <cell r="H220" t="str">
            <v>GV</v>
          </cell>
          <cell r="I220" t="str">
            <v>GV</v>
          </cell>
          <cell r="J220" t="str">
            <v>GV231</v>
          </cell>
          <cell r="K220" t="str">
            <v>023425372</v>
          </cell>
          <cell r="L220" t="str">
            <v>1603205233018</v>
          </cell>
          <cell r="M220" t="str">
            <v>11100096269</v>
          </cell>
          <cell r="N220" t="str">
            <v>Giảng viên GDNN LT (hạng III)</v>
          </cell>
          <cell r="O220" t="str">
            <v>V.09.02.03</v>
          </cell>
          <cell r="P220" t="str">
            <v>A1</v>
          </cell>
          <cell r="Q220">
            <v>3</v>
          </cell>
          <cell r="R220">
            <v>3.66</v>
          </cell>
          <cell r="S220">
            <v>0.43919999999999998</v>
          </cell>
        </row>
        <row r="221">
          <cell r="D221" t="str">
            <v>Nguyễn Văn Đôn</v>
          </cell>
          <cell r="E221" t="str">
            <v>Trưởng BM khoa CNTT</v>
          </cell>
          <cell r="F221" t="str">
            <v>ĐH</v>
          </cell>
          <cell r="H221" t="str">
            <v>GV</v>
          </cell>
          <cell r="I221" t="str">
            <v>GV</v>
          </cell>
          <cell r="J221" t="str">
            <v>GV258</v>
          </cell>
          <cell r="K221" t="str">
            <v>025187897</v>
          </cell>
          <cell r="L221" t="str">
            <v>1603205246344</v>
          </cell>
          <cell r="M221" t="str">
            <v>11100109469</v>
          </cell>
          <cell r="N221" t="str">
            <v>Giảng viên GDNN LT (hạng III)</v>
          </cell>
          <cell r="O221" t="str">
            <v>V.09.02.03</v>
          </cell>
          <cell r="P221" t="str">
            <v>A1</v>
          </cell>
          <cell r="Q221">
            <v>3</v>
          </cell>
          <cell r="R221">
            <v>3.66</v>
          </cell>
          <cell r="S221">
            <v>0.68009999999999993</v>
          </cell>
        </row>
        <row r="222">
          <cell r="D222" t="str">
            <v>Huỳnh Quốc Dũng</v>
          </cell>
          <cell r="E222" t="str">
            <v>Giảng viên Khoa CNTT</v>
          </cell>
          <cell r="K222" t="str">
            <v>083074000304</v>
          </cell>
          <cell r="N222" t="str">
            <v>Giảng viên GDNN LT (hạng III)</v>
          </cell>
          <cell r="O222" t="str">
            <v>V.09.02.03</v>
          </cell>
          <cell r="R222">
            <v>3.33</v>
          </cell>
        </row>
        <row r="223">
          <cell r="D223" t="str">
            <v>Nguyễn Văn Danh</v>
          </cell>
          <cell r="E223" t="str">
            <v>Giảng viên khoa CNTT</v>
          </cell>
          <cell r="F223" t="str">
            <v>ĐH</v>
          </cell>
          <cell r="H223" t="str">
            <v>GV</v>
          </cell>
          <cell r="I223" t="str">
            <v>GV</v>
          </cell>
          <cell r="K223" t="str">
            <v>025251872</v>
          </cell>
          <cell r="L223" t="str">
            <v>1603205185261</v>
          </cell>
          <cell r="M223" t="str">
            <v>11100119656</v>
          </cell>
          <cell r="N223" t="str">
            <v>Giảng viên GDNN LT (hạng III)</v>
          </cell>
          <cell r="O223" t="str">
            <v>V.09.02.03</v>
          </cell>
          <cell r="P223" t="str">
            <v>A1</v>
          </cell>
          <cell r="Q223">
            <v>3</v>
          </cell>
          <cell r="R223">
            <v>3.66</v>
          </cell>
          <cell r="S223">
            <v>0.64100000000000001</v>
          </cell>
        </row>
        <row r="224">
          <cell r="D224" t="str">
            <v>Dương Ngọc Vọng</v>
          </cell>
          <cell r="E224" t="str">
            <v>Giảng viên khoa CNTT</v>
          </cell>
          <cell r="F224" t="str">
            <v>ĐH</v>
          </cell>
          <cell r="H224" t="str">
            <v>GV</v>
          </cell>
          <cell r="I224" t="str">
            <v>NV</v>
          </cell>
          <cell r="J224" t="str">
            <v>NV207</v>
          </cell>
          <cell r="K224" t="str">
            <v>024730162</v>
          </cell>
          <cell r="L224" t="str">
            <v>1603205185199</v>
          </cell>
          <cell r="M224" t="str">
            <v>11100083259</v>
          </cell>
          <cell r="N224" t="str">
            <v>Giảng viên GDNN LT (hạng III)</v>
          </cell>
          <cell r="O224" t="str">
            <v>V.09.02.03</v>
          </cell>
          <cell r="P224" t="str">
            <v>A1</v>
          </cell>
          <cell r="Q224">
            <v>4</v>
          </cell>
          <cell r="R224">
            <v>3.99</v>
          </cell>
          <cell r="S224">
            <v>0.39900000000000002</v>
          </cell>
        </row>
        <row r="225">
          <cell r="D225" t="str">
            <v>Nguyễn Ngọc Tuyên</v>
          </cell>
          <cell r="E225" t="str">
            <v>Giảng viên khoa CNTT</v>
          </cell>
          <cell r="K225" t="str">
            <v>112163050</v>
          </cell>
          <cell r="L225">
            <v>1603205286594</v>
          </cell>
          <cell r="M225" t="str">
            <v>21000001128</v>
          </cell>
          <cell r="N225" t="str">
            <v>Giảng viên GDNN LT (hạng III)</v>
          </cell>
          <cell r="O225" t="str">
            <v>V.09.02.03</v>
          </cell>
          <cell r="P225" t="str">
            <v>A1</v>
          </cell>
          <cell r="Q225">
            <v>2</v>
          </cell>
          <cell r="R225">
            <v>3.33</v>
          </cell>
          <cell r="S225">
            <v>0.26640000000000003</v>
          </cell>
        </row>
        <row r="226">
          <cell r="D226" t="str">
            <v>Nguyễn Cao Phong</v>
          </cell>
          <cell r="E226" t="str">
            <v>Giảng viên khoa CNTT</v>
          </cell>
          <cell r="F226" t="str">
            <v>ĐH</v>
          </cell>
          <cell r="I226" t="str">
            <v>GV</v>
          </cell>
          <cell r="J226" t="str">
            <v>GV240</v>
          </cell>
          <cell r="K226" t="str">
            <v>023730236</v>
          </cell>
          <cell r="L226" t="str">
            <v>1603205185203</v>
          </cell>
          <cell r="M226" t="str">
            <v>11100097762</v>
          </cell>
          <cell r="N226" t="str">
            <v>Giảng viên GDNN LT (hạng III)</v>
          </cell>
          <cell r="O226" t="str">
            <v>V.09.02.03</v>
          </cell>
          <cell r="P226" t="str">
            <v>A1</v>
          </cell>
          <cell r="Q226">
            <v>4</v>
          </cell>
          <cell r="R226">
            <v>3.99</v>
          </cell>
          <cell r="S226">
            <v>0.51870000000000005</v>
          </cell>
        </row>
        <row r="227">
          <cell r="D227" t="str">
            <v>Mai Chiếm Tuấn</v>
          </cell>
          <cell r="E227" t="str">
            <v>Giảng viên khoa CNTT</v>
          </cell>
          <cell r="K227" t="str">
            <v>024999755</v>
          </cell>
          <cell r="M227" t="str">
            <v>60200000602</v>
          </cell>
          <cell r="N227" t="str">
            <v>Giảng viên GDNN LT (hạng III)</v>
          </cell>
          <cell r="O227" t="str">
            <v>V.09.02.03</v>
          </cell>
          <cell r="P227" t="str">
            <v>A1</v>
          </cell>
          <cell r="Q227">
            <v>3</v>
          </cell>
          <cell r="R227">
            <v>3.66</v>
          </cell>
          <cell r="S227">
            <v>0.43919999999999998</v>
          </cell>
        </row>
        <row r="228">
          <cell r="D228" t="str">
            <v>Đỗ Tuấn Việt</v>
          </cell>
          <cell r="E228" t="str">
            <v>Giảng viên khoa CNTT</v>
          </cell>
          <cell r="F228" t="str">
            <v>ĐH</v>
          </cell>
          <cell r="I228" t="str">
            <v>GV</v>
          </cell>
          <cell r="J228" t="str">
            <v>GV140</v>
          </cell>
          <cell r="K228" t="str">
            <v>025408856</v>
          </cell>
          <cell r="L228" t="str">
            <v>1603205185305</v>
          </cell>
          <cell r="M228" t="str">
            <v>11100082715</v>
          </cell>
          <cell r="N228" t="str">
            <v>Giảng viên GDNN LT (hạng III)</v>
          </cell>
          <cell r="O228" t="str">
            <v>V.09.02.03</v>
          </cell>
          <cell r="P228" t="str">
            <v>A1</v>
          </cell>
          <cell r="Q228">
            <v>4</v>
          </cell>
          <cell r="R228">
            <v>3.99</v>
          </cell>
          <cell r="S228">
            <v>0.51870000000000005</v>
          </cell>
        </row>
        <row r="229">
          <cell r="D229" t="str">
            <v>Trần Vĩnh Xuyên</v>
          </cell>
          <cell r="E229" t="str">
            <v>Giảng viên khoa CNTT</v>
          </cell>
          <cell r="H229" t="str">
            <v>GV</v>
          </cell>
          <cell r="I229" t="str">
            <v>GV</v>
          </cell>
          <cell r="K229" t="str">
            <v>025624118</v>
          </cell>
          <cell r="M229" t="str">
            <v>21000001100</v>
          </cell>
          <cell r="N229" t="str">
            <v>Giảng viên GDNN LT (hạng III)</v>
          </cell>
          <cell r="O229" t="str">
            <v>V.09.02.03</v>
          </cell>
          <cell r="P229" t="str">
            <v>A1</v>
          </cell>
          <cell r="Q229">
            <v>3</v>
          </cell>
          <cell r="R229">
            <v>3.66</v>
          </cell>
          <cell r="S229">
            <v>0.2928</v>
          </cell>
        </row>
        <row r="230">
          <cell r="D230" t="str">
            <v>Chung Trần Thế Vinh</v>
          </cell>
          <cell r="E230" t="str">
            <v>Trưởng khoa Cơ khí</v>
          </cell>
          <cell r="F230" t="str">
            <v>ĐH</v>
          </cell>
          <cell r="H230" t="str">
            <v>GV</v>
          </cell>
          <cell r="I230" t="str">
            <v>GV</v>
          </cell>
          <cell r="J230" t="str">
            <v>GV155</v>
          </cell>
          <cell r="K230" t="str">
            <v>023353491</v>
          </cell>
          <cell r="L230" t="str">
            <v>1603205182132</v>
          </cell>
          <cell r="M230" t="str">
            <v>11100000814</v>
          </cell>
          <cell r="N230" t="str">
            <v>Giảng viên GDNN LT (hạng III)</v>
          </cell>
          <cell r="O230" t="str">
            <v>V.09.02.03</v>
          </cell>
          <cell r="P230" t="str">
            <v>A1</v>
          </cell>
          <cell r="Q230">
            <v>5</v>
          </cell>
          <cell r="R230">
            <v>4.32</v>
          </cell>
          <cell r="S230">
            <v>1.2132000000000001</v>
          </cell>
        </row>
        <row r="231">
          <cell r="D231" t="str">
            <v>Trần Đình Khải</v>
          </cell>
          <cell r="E231" t="str">
            <v>Phó Trưởng khoa Cơ khí</v>
          </cell>
          <cell r="F231" t="str">
            <v>ĐH</v>
          </cell>
          <cell r="H231" t="str">
            <v>GV</v>
          </cell>
          <cell r="I231" t="str">
            <v>GV</v>
          </cell>
          <cell r="J231" t="str">
            <v>GV226</v>
          </cell>
          <cell r="K231" t="str">
            <v>051068000336</v>
          </cell>
          <cell r="L231" t="str">
            <v>1603205309314</v>
          </cell>
          <cell r="M231" t="str">
            <v>11100096323</v>
          </cell>
          <cell r="N231" t="str">
            <v>Giảng viên GDNN LT (hạng III)</v>
          </cell>
          <cell r="O231" t="str">
            <v>V.09.02.03</v>
          </cell>
          <cell r="P231" t="str">
            <v>A1</v>
          </cell>
          <cell r="Q231">
            <v>3</v>
          </cell>
          <cell r="R231">
            <v>3.66</v>
          </cell>
          <cell r="S231">
            <v>0.83119999999999994</v>
          </cell>
        </row>
        <row r="232">
          <cell r="D232" t="str">
            <v>Vũ Đức Pháp</v>
          </cell>
          <cell r="E232" t="str">
            <v>Trưởng BM khoa 
Cơ khí</v>
          </cell>
          <cell r="F232" t="str">
            <v>ĐH</v>
          </cell>
          <cell r="I232" t="str">
            <v>GV</v>
          </cell>
          <cell r="J232" t="str">
            <v>GV157</v>
          </cell>
          <cell r="K232" t="str">
            <v>023172992</v>
          </cell>
          <cell r="L232" t="str">
            <v>1603205182234</v>
          </cell>
          <cell r="M232" t="str">
            <v>11100000813</v>
          </cell>
          <cell r="N232" t="str">
            <v>Giảng viên GDNN LT (hạng III)</v>
          </cell>
          <cell r="O232" t="str">
            <v>V.09.02.03</v>
          </cell>
          <cell r="P232" t="str">
            <v>A1</v>
          </cell>
          <cell r="Q232">
            <v>5</v>
          </cell>
          <cell r="R232">
            <v>4.32</v>
          </cell>
          <cell r="S232">
            <v>0.98119999999999996</v>
          </cell>
        </row>
        <row r="233">
          <cell r="D233" t="str">
            <v>Bùi Anh Tuấn</v>
          </cell>
          <cell r="E233" t="str">
            <v>Trưởng BM khoa  Cơ khí</v>
          </cell>
          <cell r="K233" t="str">
            <v>025919554</v>
          </cell>
          <cell r="L233" t="str">
            <v>1603205353368</v>
          </cell>
          <cell r="M233" t="str">
            <v>21000001731</v>
          </cell>
          <cell r="N233" t="str">
            <v>Giảng viên GDNN LT (hạng III)</v>
          </cell>
          <cell r="O233" t="str">
            <v>V.09.02.03</v>
          </cell>
          <cell r="P233" t="str">
            <v>A1</v>
          </cell>
          <cell r="Q233">
            <v>2</v>
          </cell>
          <cell r="R233">
            <v>3.33</v>
          </cell>
          <cell r="S233">
            <v>0.53639999999999999</v>
          </cell>
        </row>
        <row r="234">
          <cell r="D234" t="str">
            <v>Dương Minh Chung</v>
          </cell>
          <cell r="E234" t="str">
            <v>Giảng viên khoa Cơ khí</v>
          </cell>
          <cell r="F234" t="str">
            <v>ĐH</v>
          </cell>
          <cell r="H234" t="str">
            <v>GV</v>
          </cell>
          <cell r="I234" t="str">
            <v>GV</v>
          </cell>
          <cell r="J234" t="str">
            <v>GV156</v>
          </cell>
          <cell r="K234" t="str">
            <v>024252246</v>
          </cell>
          <cell r="L234" t="str">
            <v>1603205182149</v>
          </cell>
          <cell r="M234" t="str">
            <v>11100000784</v>
          </cell>
          <cell r="N234" t="str">
            <v>Giảng viên GDNN LT (hạng III)</v>
          </cell>
          <cell r="O234" t="str">
            <v>V.09.02.03</v>
          </cell>
          <cell r="P234" t="str">
            <v>A1</v>
          </cell>
          <cell r="Q234">
            <v>5</v>
          </cell>
          <cell r="R234">
            <v>3.99</v>
          </cell>
          <cell r="S234">
            <v>0.63839999999999997</v>
          </cell>
        </row>
        <row r="235">
          <cell r="D235" t="str">
            <v>Nguyễn Thanh Vũ</v>
          </cell>
          <cell r="E235" t="str">
            <v>Giảng viên khoa Cơ khí</v>
          </cell>
          <cell r="F235" t="str">
            <v>ĐH</v>
          </cell>
          <cell r="H235" t="str">
            <v>GV</v>
          </cell>
          <cell r="I235" t="str">
            <v>GV</v>
          </cell>
          <cell r="J235" t="str">
            <v>GV145</v>
          </cell>
          <cell r="K235" t="str">
            <v>025817153</v>
          </cell>
          <cell r="L235" t="str">
            <v>1603205185600</v>
          </cell>
          <cell r="M235" t="str">
            <v>11100082588</v>
          </cell>
          <cell r="N235" t="str">
            <v>Giảng viên GDNN LT (hạng III)</v>
          </cell>
          <cell r="O235" t="str">
            <v>V.09.02.03</v>
          </cell>
          <cell r="P235" t="str">
            <v>A1</v>
          </cell>
          <cell r="Q235">
            <v>4</v>
          </cell>
          <cell r="R235">
            <v>3.66</v>
          </cell>
          <cell r="S235">
            <v>0.4758</v>
          </cell>
        </row>
        <row r="236">
          <cell r="D236" t="str">
            <v>Lư Thị Yến Vũ</v>
          </cell>
          <cell r="E236" t="str">
            <v>Giảng viên khoa Cơ khí</v>
          </cell>
          <cell r="F236" t="str">
            <v>ĐH</v>
          </cell>
          <cell r="G236" t="str">
            <v>x</v>
          </cell>
          <cell r="H236" t="str">
            <v>GV</v>
          </cell>
          <cell r="I236" t="str">
            <v>GV</v>
          </cell>
          <cell r="J236" t="str">
            <v>GV220</v>
          </cell>
          <cell r="K236" t="str">
            <v>024799248</v>
          </cell>
          <cell r="L236" t="str">
            <v>1603205234187</v>
          </cell>
          <cell r="M236" t="str">
            <v>11100096314</v>
          </cell>
          <cell r="N236" t="str">
            <v>Giảng viên GDNN LT (hạng III)</v>
          </cell>
          <cell r="O236" t="str">
            <v>V.09.02.03</v>
          </cell>
          <cell r="P236" t="str">
            <v>A1</v>
          </cell>
          <cell r="Q236">
            <v>3</v>
          </cell>
          <cell r="R236">
            <v>3.66</v>
          </cell>
          <cell r="S236">
            <v>0.43919999999999998</v>
          </cell>
        </row>
        <row r="237">
          <cell r="D237" t="str">
            <v>Nguyễn Tiến Dũng</v>
          </cell>
          <cell r="E237" t="str">
            <v>Giảng viên khoa Cơ khí</v>
          </cell>
          <cell r="F237" t="str">
            <v>ĐH</v>
          </cell>
          <cell r="H237" t="str">
            <v>GV</v>
          </cell>
          <cell r="I237" t="str">
            <v>GV</v>
          </cell>
          <cell r="J237" t="str">
            <v>GV260</v>
          </cell>
          <cell r="K237" t="str">
            <v>024436109</v>
          </cell>
          <cell r="L237" t="str">
            <v>1603205247012</v>
          </cell>
          <cell r="M237" t="str">
            <v>11100110135</v>
          </cell>
          <cell r="N237" t="str">
            <v>Giảng viên GDNN LT (hạng III)</v>
          </cell>
          <cell r="O237" t="str">
            <v>V.09.02.03</v>
          </cell>
          <cell r="P237" t="str">
            <v>A1</v>
          </cell>
          <cell r="Q237">
            <v>3</v>
          </cell>
          <cell r="R237">
            <v>3.33</v>
          </cell>
          <cell r="S237">
            <v>0.36630000000000001</v>
          </cell>
        </row>
        <row r="238">
          <cell r="D238" t="str">
            <v>Nguyễn Thành Long</v>
          </cell>
          <cell r="E238" t="str">
            <v>Giảng viên khoa Cơ khí</v>
          </cell>
          <cell r="F238" t="str">
            <v>ĐH</v>
          </cell>
          <cell r="H238" t="str">
            <v>GV</v>
          </cell>
          <cell r="I238" t="str">
            <v>GV</v>
          </cell>
          <cell r="J238" t="str">
            <v>GV269</v>
          </cell>
          <cell r="K238" t="str">
            <v>022939793</v>
          </cell>
          <cell r="L238" t="str">
            <v>1603205250699</v>
          </cell>
          <cell r="M238" t="str">
            <v>11100109985</v>
          </cell>
          <cell r="N238" t="str">
            <v>Giảng viên GDNN LT (hạng III)</v>
          </cell>
          <cell r="O238" t="str">
            <v>V.09.02.03</v>
          </cell>
          <cell r="P238" t="str">
            <v>A1</v>
          </cell>
          <cell r="Q238">
            <v>3</v>
          </cell>
          <cell r="R238">
            <v>3.33</v>
          </cell>
          <cell r="S238">
            <v>0.36630000000000001</v>
          </cell>
        </row>
        <row r="239">
          <cell r="D239" t="str">
            <v>Nguyễn Ngọc Quỳnh</v>
          </cell>
          <cell r="E239" t="str">
            <v>Giảng viên khoa Cơ khí</v>
          </cell>
          <cell r="F239" t="str">
            <v>ĐH</v>
          </cell>
          <cell r="H239" t="str">
            <v>GV</v>
          </cell>
          <cell r="I239" t="str">
            <v>GV</v>
          </cell>
          <cell r="J239" t="str">
            <v>GV259</v>
          </cell>
          <cell r="K239" t="str">
            <v>023630039</v>
          </cell>
          <cell r="L239" t="str">
            <v>1603205250682</v>
          </cell>
          <cell r="M239" t="str">
            <v>11100110126</v>
          </cell>
          <cell r="N239" t="str">
            <v>Giảng viên GDNN LT (hạng III)</v>
          </cell>
          <cell r="O239" t="str">
            <v>V.09.02.03</v>
          </cell>
          <cell r="P239" t="str">
            <v>A1</v>
          </cell>
          <cell r="Q239">
            <v>3</v>
          </cell>
          <cell r="R239">
            <v>3.33</v>
          </cell>
          <cell r="S239">
            <v>0.36630000000000001</v>
          </cell>
        </row>
        <row r="240">
          <cell r="D240" t="str">
            <v>Nguyễn Duy Hải</v>
          </cell>
          <cell r="E240" t="str">
            <v>Giảng viên khoa Cơ khí</v>
          </cell>
          <cell r="F240" t="str">
            <v>ĐH</v>
          </cell>
          <cell r="H240" t="str">
            <v>GV</v>
          </cell>
          <cell r="I240" t="str">
            <v>GV</v>
          </cell>
          <cell r="K240" t="str">
            <v>060084000219</v>
          </cell>
          <cell r="L240" t="str">
            <v>1603205275388</v>
          </cell>
          <cell r="M240" t="str">
            <v>11100119660</v>
          </cell>
          <cell r="N240" t="str">
            <v>Giảng viên GDNN LT (hạng III)</v>
          </cell>
          <cell r="O240" t="str">
            <v>V.09.02.03</v>
          </cell>
          <cell r="P240" t="str">
            <v>A1</v>
          </cell>
          <cell r="Q240">
            <v>3</v>
          </cell>
          <cell r="R240">
            <v>3.33</v>
          </cell>
          <cell r="S240">
            <v>0.33300000000000002</v>
          </cell>
        </row>
        <row r="241">
          <cell r="D241" t="str">
            <v>Trần Thị Hương</v>
          </cell>
          <cell r="E241" t="str">
            <v>Giảng viên khoa Cơ khí</v>
          </cell>
          <cell r="G241" t="str">
            <v>x</v>
          </cell>
          <cell r="H241" t="str">
            <v>GV</v>
          </cell>
          <cell r="I241" t="str">
            <v>GV</v>
          </cell>
          <cell r="K241" t="str">
            <v>025845340</v>
          </cell>
          <cell r="L241">
            <v>1603205357641</v>
          </cell>
          <cell r="M241" t="str">
            <v>21100001259</v>
          </cell>
          <cell r="N241" t="str">
            <v>Giảng viên GDNN LT (hạng III)</v>
          </cell>
          <cell r="O241" t="str">
            <v>V.09.02.03</v>
          </cell>
          <cell r="P241" t="str">
            <v>A1</v>
          </cell>
          <cell r="Q241">
            <v>3</v>
          </cell>
          <cell r="R241">
            <v>3.33</v>
          </cell>
          <cell r="S241">
            <v>0.36630000000000001</v>
          </cell>
        </row>
        <row r="242">
          <cell r="D242" t="str">
            <v>Trần Minh Thông</v>
          </cell>
          <cell r="E242" t="str">
            <v>Giảng viên khoa Cơ khí</v>
          </cell>
          <cell r="K242" t="str">
            <v>024221614</v>
          </cell>
          <cell r="L242">
            <v>1603205357120</v>
          </cell>
          <cell r="M242" t="str">
            <v>21100001269</v>
          </cell>
          <cell r="N242" t="str">
            <v>Giảng viên GDNN LT (hạng III)</v>
          </cell>
          <cell r="O242" t="str">
            <v>V.09.02.03</v>
          </cell>
          <cell r="P242" t="str">
            <v>A1</v>
          </cell>
          <cell r="Q242">
            <v>2</v>
          </cell>
          <cell r="R242">
            <v>3</v>
          </cell>
          <cell r="S242">
            <v>0.24</v>
          </cell>
        </row>
        <row r="243">
          <cell r="D243" t="str">
            <v>Dương Thị Hồng</v>
          </cell>
          <cell r="E243" t="str">
            <v>Giảng viên khoa Cơ khí</v>
          </cell>
          <cell r="G243" t="str">
            <v>x</v>
          </cell>
          <cell r="K243" t="str">
            <v>026062453</v>
          </cell>
          <cell r="M243" t="str">
            <v>51200002068</v>
          </cell>
          <cell r="N243" t="str">
            <v>Giảng viên GDNN LT (hạng III)</v>
          </cell>
          <cell r="O243" t="str">
            <v>V.09.02.03</v>
          </cell>
          <cell r="P243" t="str">
            <v>A1</v>
          </cell>
          <cell r="Q243">
            <v>2</v>
          </cell>
          <cell r="R243">
            <v>3</v>
          </cell>
          <cell r="S243">
            <v>0.15</v>
          </cell>
        </row>
        <row r="244">
          <cell r="D244" t="str">
            <v>Nguyễn Thanh Giang</v>
          </cell>
          <cell r="E244" t="str">
            <v>Giảng viên khoa Cơ khí</v>
          </cell>
          <cell r="K244">
            <v>331950060</v>
          </cell>
          <cell r="N244" t="str">
            <v>Giảng viên GDNN LT (hạng III)</v>
          </cell>
          <cell r="O244" t="str">
            <v>V.09.02.03</v>
          </cell>
          <cell r="R244">
            <v>2.67</v>
          </cell>
        </row>
        <row r="245">
          <cell r="D245" t="str">
            <v>Nguyễn Hồng Phúc</v>
          </cell>
          <cell r="E245" t="str">
            <v>Giảng viên khoa Cơ khí</v>
          </cell>
          <cell r="K245" t="str">
            <v>079089004197</v>
          </cell>
          <cell r="L245" t="str">
            <v>1603205584782</v>
          </cell>
          <cell r="N245" t="str">
            <v>Giảng viên GDNN LT (hạng III)</v>
          </cell>
          <cell r="O245" t="str">
            <v>V.09.02.03</v>
          </cell>
          <cell r="R245">
            <v>2.67</v>
          </cell>
        </row>
        <row r="246">
          <cell r="D246" t="str">
            <v>Nguyễn Khắc Huy</v>
          </cell>
          <cell r="E246" t="str">
            <v>Giảng viên khoa Cơ khí</v>
          </cell>
          <cell r="K246" t="str">
            <v>024911362</v>
          </cell>
          <cell r="N246" t="str">
            <v>Giảng viên GDNN LT (hạng III)</v>
          </cell>
          <cell r="O246" t="str">
            <v>V.09.02.03</v>
          </cell>
          <cell r="R246">
            <v>2.34</v>
          </cell>
        </row>
        <row r="247">
          <cell r="D247" t="str">
            <v>Nguyễn Thị Xuân Chinh</v>
          </cell>
          <cell r="E247" t="str">
            <v>Giảng viên khoa Cơ khí</v>
          </cell>
          <cell r="N247" t="str">
            <v>Giáo viên GDNN LT (hạng III)</v>
          </cell>
          <cell r="O247" t="str">
            <v>V.09.02.07</v>
          </cell>
          <cell r="R247">
            <v>3.99</v>
          </cell>
        </row>
        <row r="248">
          <cell r="D248" t="str">
            <v>Trần Nguyên Bảo Trân</v>
          </cell>
          <cell r="E248" t="str">
            <v>Trưởng BM khoa Điện - Điện tử</v>
          </cell>
          <cell r="K248" t="str">
            <v>046077000191</v>
          </cell>
          <cell r="M248" t="str">
            <v>51200001010</v>
          </cell>
          <cell r="N248" t="str">
            <v>Giảng viên GDNN LT (hạng III)</v>
          </cell>
          <cell r="O248" t="str">
            <v>V.09.02.03</v>
          </cell>
          <cell r="P248" t="str">
            <v>A1</v>
          </cell>
          <cell r="Q248">
            <v>2</v>
          </cell>
          <cell r="R248">
            <v>3.33</v>
          </cell>
          <cell r="S248">
            <v>0.71540000000000004</v>
          </cell>
        </row>
        <row r="249">
          <cell r="D249" t="str">
            <v>Quách Minh Thử</v>
          </cell>
          <cell r="E249" t="str">
            <v>Trưởng BM khoa  Điện - Điện tử</v>
          </cell>
          <cell r="F249" t="str">
            <v>ĐH</v>
          </cell>
          <cell r="H249" t="str">
            <v>GV</v>
          </cell>
          <cell r="I249" t="str">
            <v>GV</v>
          </cell>
          <cell r="J249" t="str">
            <v>GV174</v>
          </cell>
          <cell r="K249" t="str">
            <v>024610718</v>
          </cell>
          <cell r="L249" t="str">
            <v>1603205182415</v>
          </cell>
          <cell r="M249" t="str">
            <v>11100071848</v>
          </cell>
          <cell r="N249" t="str">
            <v>Giảng viên GDNN LT (hạng III)</v>
          </cell>
          <cell r="O249" t="str">
            <v>V.09.02.03</v>
          </cell>
          <cell r="P249" t="str">
            <v>A1</v>
          </cell>
          <cell r="Q249">
            <v>4</v>
          </cell>
          <cell r="R249">
            <v>3.99</v>
          </cell>
          <cell r="S249">
            <v>0.84360000000000002</v>
          </cell>
        </row>
        <row r="250">
          <cell r="D250" t="str">
            <v>Nguyễn Thùy Linh</v>
          </cell>
          <cell r="E250" t="str">
            <v>Giảng viên khoa Điện - Điện tử</v>
          </cell>
          <cell r="F250" t="str">
            <v>ĐH</v>
          </cell>
          <cell r="G250" t="str">
            <v>x</v>
          </cell>
          <cell r="H250" t="str">
            <v>GV</v>
          </cell>
          <cell r="I250" t="str">
            <v>GV</v>
          </cell>
          <cell r="J250" t="str">
            <v>GV264</v>
          </cell>
          <cell r="K250" t="str">
            <v>079186007086</v>
          </cell>
          <cell r="L250" t="str">
            <v>1603205251259</v>
          </cell>
          <cell r="M250" t="str">
            <v>11100109943</v>
          </cell>
          <cell r="N250" t="str">
            <v>Giảng viên GDNN LT (hạng III)</v>
          </cell>
          <cell r="O250" t="str">
            <v>V.09.02.03</v>
          </cell>
          <cell r="P250" t="str">
            <v>A1</v>
          </cell>
          <cell r="Q250">
            <v>3</v>
          </cell>
          <cell r="R250">
            <v>3.33</v>
          </cell>
          <cell r="S250">
            <v>0.36630000000000001</v>
          </cell>
        </row>
        <row r="251">
          <cell r="D251" t="str">
            <v>Vũ Hạnh Chiêu</v>
          </cell>
          <cell r="E251" t="str">
            <v>Giảng viên khoa Điện - Điện tử</v>
          </cell>
          <cell r="F251" t="str">
            <v>ĐH</v>
          </cell>
          <cell r="G251" t="str">
            <v>x</v>
          </cell>
          <cell r="H251" t="str">
            <v>GV</v>
          </cell>
          <cell r="I251" t="str">
            <v>GV</v>
          </cell>
          <cell r="J251" t="str">
            <v>GV213</v>
          </cell>
          <cell r="K251" t="str">
            <v>024280248</v>
          </cell>
          <cell r="L251" t="str">
            <v>1603205219414</v>
          </cell>
          <cell r="M251" t="str">
            <v>20500005408</v>
          </cell>
          <cell r="N251" t="str">
            <v>Giảng viên GDNN LT (hạng III)</v>
          </cell>
          <cell r="O251" t="str">
            <v>V.09.02.03</v>
          </cell>
          <cell r="P251" t="str">
            <v>A1</v>
          </cell>
          <cell r="Q251">
            <v>4</v>
          </cell>
          <cell r="R251">
            <v>3.99</v>
          </cell>
          <cell r="S251">
            <v>0.59850000000000003</v>
          </cell>
        </row>
        <row r="252">
          <cell r="D252" t="str">
            <v>Đỗ Huỳnh Thanh Phong</v>
          </cell>
          <cell r="E252" t="str">
            <v>Giảng viên khoa  Điện - Điện tử</v>
          </cell>
          <cell r="F252" t="str">
            <v>ĐH</v>
          </cell>
          <cell r="H252" t="str">
            <v>GV</v>
          </cell>
          <cell r="I252" t="str">
            <v>GV</v>
          </cell>
          <cell r="K252" t="str">
            <v>025764174</v>
          </cell>
          <cell r="L252" t="str">
            <v>1603205246321</v>
          </cell>
          <cell r="M252" t="str">
            <v>11100119664</v>
          </cell>
          <cell r="N252" t="str">
            <v>Giảng viên GDNN LT (hạng III)</v>
          </cell>
          <cell r="O252" t="str">
            <v>V.09.02.03</v>
          </cell>
          <cell r="P252" t="str">
            <v>A1</v>
          </cell>
          <cell r="Q252">
            <v>3</v>
          </cell>
          <cell r="R252">
            <v>3.33</v>
          </cell>
          <cell r="S252">
            <v>0.33300000000000002</v>
          </cell>
        </row>
        <row r="253">
          <cell r="D253" t="str">
            <v>Nguyễn Minh Đức Cường</v>
          </cell>
          <cell r="E253" t="str">
            <v>Giảng viên khoa  Điện - Điện tử</v>
          </cell>
          <cell r="F253" t="str">
            <v>ĐH</v>
          </cell>
          <cell r="H253" t="str">
            <v>GV</v>
          </cell>
          <cell r="I253" t="str">
            <v>GV</v>
          </cell>
          <cell r="K253" t="str">
            <v>025633696</v>
          </cell>
          <cell r="L253" t="str">
            <v>1603205276158</v>
          </cell>
          <cell r="M253" t="str">
            <v>11100119655</v>
          </cell>
          <cell r="N253" t="str">
            <v>Giảng viên GDNN LT (hạng III)</v>
          </cell>
          <cell r="O253" t="str">
            <v>V.09.02.03</v>
          </cell>
          <cell r="P253" t="str">
            <v>A1</v>
          </cell>
          <cell r="Q253">
            <v>3</v>
          </cell>
          <cell r="R253">
            <v>3.33</v>
          </cell>
          <cell r="S253">
            <v>0.33300000000000002</v>
          </cell>
        </row>
        <row r="254">
          <cell r="D254" t="str">
            <v>Ngô Phong Cường</v>
          </cell>
          <cell r="E254" t="str">
            <v>Giảng viên khoa Điện - Điện tử</v>
          </cell>
          <cell r="F254" t="str">
            <v>ĐH</v>
          </cell>
          <cell r="H254" t="str">
            <v>GV</v>
          </cell>
          <cell r="I254" t="str">
            <v>GV</v>
          </cell>
          <cell r="J254" t="str">
            <v>GV149</v>
          </cell>
          <cell r="K254" t="str">
            <v>046068000245</v>
          </cell>
          <cell r="L254" t="str">
            <v>1603205178952</v>
          </cell>
          <cell r="M254" t="str">
            <v>11100082510</v>
          </cell>
          <cell r="N254" t="str">
            <v>Giảng viên GDNN LT (hạng III)</v>
          </cell>
          <cell r="O254" t="str">
            <v>V.09.02.03</v>
          </cell>
          <cell r="P254" t="str">
            <v>A1</v>
          </cell>
          <cell r="Q254">
            <v>4</v>
          </cell>
          <cell r="R254">
            <v>3.99</v>
          </cell>
          <cell r="S254">
            <v>0.67830000000000001</v>
          </cell>
        </row>
        <row r="255">
          <cell r="D255" t="str">
            <v>Phan Thanh Hoàng</v>
          </cell>
          <cell r="E255" t="str">
            <v>Giảng viên khoa Điện - Điện tử</v>
          </cell>
          <cell r="N255" t="str">
            <v>Giáo viên GDNN LT (hạng III)</v>
          </cell>
          <cell r="O255" t="str">
            <v>V.09.02.07</v>
          </cell>
          <cell r="R255">
            <v>3.66</v>
          </cell>
        </row>
        <row r="256">
          <cell r="D256" t="str">
            <v>Cao Văn Tuấn</v>
          </cell>
          <cell r="E256" t="str">
            <v>Giảng viên khoa Điện - Điện tử</v>
          </cell>
          <cell r="K256" t="str">
            <v>051088000077</v>
          </cell>
          <cell r="N256" t="str">
            <v>Giảng viên GDNN LT (hạng III)</v>
          </cell>
          <cell r="O256" t="str">
            <v>V.09.02.03</v>
          </cell>
          <cell r="P256" t="str">
            <v>III</v>
          </cell>
          <cell r="Q256">
            <v>2</v>
          </cell>
          <cell r="R256">
            <v>3</v>
          </cell>
        </row>
        <row r="257">
          <cell r="D257" t="str">
            <v>Trần Giang Nam</v>
          </cell>
          <cell r="E257" t="str">
            <v>Giảng viên khoa  Điện - Điện tử</v>
          </cell>
          <cell r="K257" t="str">
            <v>079085003003</v>
          </cell>
          <cell r="N257" t="str">
            <v>Giảng viên GDNN LT (hạng III)</v>
          </cell>
          <cell r="O257" t="str">
            <v>V.09.02.03</v>
          </cell>
          <cell r="R257">
            <v>2.34</v>
          </cell>
        </row>
        <row r="258">
          <cell r="D258" t="str">
            <v>Trần Nam Anh</v>
          </cell>
          <cell r="E258" t="str">
            <v>Giảng viên khoa  Điện - Điện tử</v>
          </cell>
          <cell r="K258" t="str">
            <v>024255580</v>
          </cell>
          <cell r="N258" t="str">
            <v>Giảng viên GDNN LT (hạng III)</v>
          </cell>
          <cell r="O258" t="str">
            <v>V.09.02.03</v>
          </cell>
          <cell r="P258" t="str">
            <v>III</v>
          </cell>
          <cell r="Q258">
            <v>1</v>
          </cell>
          <cell r="R258">
            <v>2.34</v>
          </cell>
        </row>
        <row r="259">
          <cell r="D259" t="str">
            <v>Nguyễn Anh Tuấn</v>
          </cell>
          <cell r="E259" t="str">
            <v>Trưởng khoa Động lực</v>
          </cell>
          <cell r="F259" t="str">
            <v>Th.S</v>
          </cell>
          <cell r="H259" t="str">
            <v>GV</v>
          </cell>
          <cell r="I259" t="str">
            <v>GV</v>
          </cell>
          <cell r="J259" t="str">
            <v>GV168</v>
          </cell>
          <cell r="K259" t="str">
            <v>023376448</v>
          </cell>
          <cell r="L259" t="str">
            <v>1603205178736</v>
          </cell>
          <cell r="M259" t="str">
            <v>11100067231</v>
          </cell>
          <cell r="N259" t="str">
            <v>Giảng viên GDNN LT (hạng III)</v>
          </cell>
          <cell r="O259" t="str">
            <v>V.09.02.03</v>
          </cell>
          <cell r="P259" t="str">
            <v>A1</v>
          </cell>
          <cell r="Q259">
            <v>5</v>
          </cell>
          <cell r="R259">
            <v>4.32</v>
          </cell>
          <cell r="S259">
            <v>1.1655</v>
          </cell>
        </row>
        <row r="260">
          <cell r="D260" t="str">
            <v>Nguyễn Hữu Mạnh</v>
          </cell>
          <cell r="E260" t="str">
            <v>Trưởng BM khoa Động lực</v>
          </cell>
          <cell r="F260" t="str">
            <v>ĐH</v>
          </cell>
          <cell r="H260" t="str">
            <v>GV</v>
          </cell>
          <cell r="I260" t="str">
            <v>GV</v>
          </cell>
          <cell r="J260" t="str">
            <v>GV176</v>
          </cell>
          <cell r="K260" t="str">
            <v>023655683</v>
          </cell>
          <cell r="L260" t="str">
            <v>1603205178720</v>
          </cell>
          <cell r="M260" t="str">
            <v>11100071850</v>
          </cell>
          <cell r="N260" t="str">
            <v>Giảng viên GDNN LT (hạng III)</v>
          </cell>
          <cell r="O260" t="str">
            <v>V.09.02.03</v>
          </cell>
          <cell r="P260" t="str">
            <v>A1</v>
          </cell>
          <cell r="Q260">
            <v>4</v>
          </cell>
          <cell r="R260">
            <v>3.99</v>
          </cell>
          <cell r="S260">
            <v>0.84360000000000002</v>
          </cell>
        </row>
        <row r="261">
          <cell r="D261" t="str">
            <v>Triệu Phú Nguyên</v>
          </cell>
          <cell r="E261" t="str">
            <v>Trưởng BM khoa  Động lực</v>
          </cell>
          <cell r="F261" t="str">
            <v>ĐH</v>
          </cell>
          <cell r="H261" t="str">
            <v>GV</v>
          </cell>
          <cell r="I261" t="str">
            <v>GV</v>
          </cell>
          <cell r="J261" t="str">
            <v>GV218</v>
          </cell>
          <cell r="K261" t="str">
            <v>023523303</v>
          </cell>
          <cell r="L261" t="str">
            <v>1603205235065</v>
          </cell>
          <cell r="M261" t="str">
            <v>11100096302</v>
          </cell>
          <cell r="N261" t="str">
            <v>Giảng viên GDNN LT (hạng III)</v>
          </cell>
          <cell r="O261" t="str">
            <v>V.09.02.03</v>
          </cell>
          <cell r="P261" t="str">
            <v>A1</v>
          </cell>
          <cell r="Q261">
            <v>4</v>
          </cell>
          <cell r="R261">
            <v>3.66</v>
          </cell>
          <cell r="S261">
            <v>0.71920000000000006</v>
          </cell>
        </row>
        <row r="262">
          <cell r="D262" t="str">
            <v>Hà Quốc Bảo</v>
          </cell>
          <cell r="E262" t="str">
            <v>Trưởng BM khoa  Động lực</v>
          </cell>
          <cell r="K262" t="str">
            <v>024578348</v>
          </cell>
          <cell r="L262" t="str">
            <v>1603205398576</v>
          </cell>
          <cell r="M262" t="str">
            <v>31100001649</v>
          </cell>
          <cell r="N262" t="str">
            <v>Giảng viên GDNN LT (hạng III)</v>
          </cell>
          <cell r="O262" t="str">
            <v>V.09.02.03</v>
          </cell>
          <cell r="P262" t="str">
            <v>A1</v>
          </cell>
          <cell r="Q262">
            <v>2</v>
          </cell>
          <cell r="R262">
            <v>3.33</v>
          </cell>
          <cell r="S262">
            <v>0.50059999999999993</v>
          </cell>
        </row>
        <row r="263">
          <cell r="D263" t="str">
            <v>Hoàng Phúc Bảo</v>
          </cell>
          <cell r="E263" t="str">
            <v>Giảng viên khoa Động lực</v>
          </cell>
          <cell r="K263" t="str">
            <v>024157475</v>
          </cell>
          <cell r="L263" t="str">
            <v>1603205398770</v>
          </cell>
          <cell r="M263" t="str">
            <v>31100001684</v>
          </cell>
          <cell r="N263" t="str">
            <v>Giảng viên GDNN LT (hạng III)</v>
          </cell>
          <cell r="O263" t="str">
            <v>V.09.02.03</v>
          </cell>
          <cell r="P263" t="str">
            <v>A1</v>
          </cell>
          <cell r="Q263">
            <v>2</v>
          </cell>
          <cell r="R263">
            <v>3.33</v>
          </cell>
          <cell r="S263">
            <v>0.2331</v>
          </cell>
        </row>
        <row r="264">
          <cell r="D264" t="str">
            <v>Phan Anh Tuấn Kiệt</v>
          </cell>
          <cell r="E264" t="str">
            <v>Giảng viên khoa Động lực</v>
          </cell>
          <cell r="F264" t="str">
            <v>ĐH</v>
          </cell>
          <cell r="H264" t="str">
            <v>GV</v>
          </cell>
          <cell r="I264" t="str">
            <v>GV</v>
          </cell>
          <cell r="J264" t="str">
            <v>GV144</v>
          </cell>
          <cell r="K264" t="str">
            <v>023636063</v>
          </cell>
          <cell r="L264" t="str">
            <v>1603205178788</v>
          </cell>
          <cell r="M264" t="str">
            <v>11100082545</v>
          </cell>
          <cell r="N264" t="str">
            <v>Giảng viên GDNN LT (hạng III)</v>
          </cell>
          <cell r="O264" t="str">
            <v>V.09.02.03</v>
          </cell>
          <cell r="P264" t="str">
            <v>A1</v>
          </cell>
          <cell r="Q264">
            <v>4</v>
          </cell>
          <cell r="R264">
            <v>3.99</v>
          </cell>
          <cell r="S264">
            <v>0.51870000000000005</v>
          </cell>
        </row>
        <row r="265">
          <cell r="D265" t="str">
            <v>Nguyễn Thành Đức</v>
          </cell>
          <cell r="E265" t="str">
            <v>Giảng viên khoa Động lực</v>
          </cell>
          <cell r="F265" t="str">
            <v>ĐH</v>
          </cell>
          <cell r="H265" t="str">
            <v>GV</v>
          </cell>
          <cell r="I265" t="str">
            <v>GV</v>
          </cell>
          <cell r="J265" t="str">
            <v>GV219</v>
          </cell>
          <cell r="K265" t="str">
            <v>024520146</v>
          </cell>
          <cell r="L265" t="str">
            <v>1603205235088</v>
          </cell>
          <cell r="M265" t="str">
            <v>11100096288</v>
          </cell>
          <cell r="N265" t="str">
            <v>Giảng viên GDNN LT (hạng III)</v>
          </cell>
          <cell r="O265" t="str">
            <v>V.09.02.03</v>
          </cell>
          <cell r="P265" t="str">
            <v>A1</v>
          </cell>
          <cell r="Q265">
            <v>3</v>
          </cell>
          <cell r="R265">
            <v>3.66</v>
          </cell>
          <cell r="S265">
            <v>0.43919999999999998</v>
          </cell>
        </row>
        <row r="266">
          <cell r="D266" t="str">
            <v>Nguyễn Minh Thái</v>
          </cell>
          <cell r="E266" t="str">
            <v>Giảng viên khoa Động lực</v>
          </cell>
          <cell r="F266" t="str">
            <v>ĐH</v>
          </cell>
          <cell r="H266" t="str">
            <v>GV</v>
          </cell>
          <cell r="I266" t="str">
            <v>GV</v>
          </cell>
          <cell r="J266" t="str">
            <v>GV262</v>
          </cell>
          <cell r="K266" t="str">
            <v>023727322</v>
          </cell>
          <cell r="L266" t="str">
            <v>1603205246213</v>
          </cell>
          <cell r="M266" t="str">
            <v>11100110124</v>
          </cell>
          <cell r="N266" t="str">
            <v>Giảng viên GDNN LT (hạng III)</v>
          </cell>
          <cell r="O266" t="str">
            <v>V.09.02.03</v>
          </cell>
          <cell r="P266" t="str">
            <v>A1</v>
          </cell>
          <cell r="Q266">
            <v>3</v>
          </cell>
          <cell r="R266">
            <v>3.66</v>
          </cell>
          <cell r="S266">
            <v>0.40260000000000001</v>
          </cell>
        </row>
        <row r="267">
          <cell r="D267" t="str">
            <v>Đặng Thái Sơn</v>
          </cell>
          <cell r="E267" t="str">
            <v>Giảng viên khoa Động lực</v>
          </cell>
          <cell r="F267" t="str">
            <v>ĐH</v>
          </cell>
          <cell r="H267" t="str">
            <v>GV</v>
          </cell>
          <cell r="I267" t="str">
            <v>GV</v>
          </cell>
          <cell r="J267" t="str">
            <v>GV261</v>
          </cell>
          <cell r="K267" t="str">
            <v>024761501</v>
          </cell>
          <cell r="L267" t="str">
            <v>1603205246338</v>
          </cell>
          <cell r="M267" t="str">
            <v>11100110117</v>
          </cell>
          <cell r="N267" t="str">
            <v>Giảng viên GDNN LT (hạng III)</v>
          </cell>
          <cell r="O267" t="str">
            <v>V.09.02.03</v>
          </cell>
          <cell r="P267" t="str">
            <v>A1</v>
          </cell>
          <cell r="Q267">
            <v>3</v>
          </cell>
          <cell r="R267">
            <v>3.66</v>
          </cell>
          <cell r="S267">
            <v>0.40260000000000001</v>
          </cell>
        </row>
        <row r="268">
          <cell r="D268" t="str">
            <v>Trần Thế Sơn</v>
          </cell>
          <cell r="E268" t="str">
            <v>Giảng viên Khoa  Động lực</v>
          </cell>
          <cell r="K268" t="str">
            <v>271927461</v>
          </cell>
          <cell r="N268" t="str">
            <v>Giảng viên GDNN LT (hạng III)</v>
          </cell>
          <cell r="O268" t="str">
            <v>V.09.02.03</v>
          </cell>
          <cell r="R268">
            <v>2.34</v>
          </cell>
        </row>
        <row r="269">
          <cell r="D269" t="str">
            <v>Nguyễn Thái Bình</v>
          </cell>
          <cell r="E269" t="str">
            <v>Giảng viên khoa Động lực</v>
          </cell>
          <cell r="F269" t="str">
            <v>ĐH</v>
          </cell>
          <cell r="H269" t="str">
            <v>GV</v>
          </cell>
          <cell r="I269" t="str">
            <v>GV</v>
          </cell>
          <cell r="J269" t="str">
            <v>GV267</v>
          </cell>
          <cell r="K269" t="str">
            <v>022958396</v>
          </cell>
          <cell r="L269" t="str">
            <v>1603205250676</v>
          </cell>
          <cell r="M269" t="str">
            <v>11100109944</v>
          </cell>
          <cell r="N269" t="str">
            <v>Giảng viên GDNN LT (hạng III)</v>
          </cell>
          <cell r="O269" t="str">
            <v>V.09.02.03</v>
          </cell>
          <cell r="P269" t="str">
            <v>A1</v>
          </cell>
          <cell r="Q269">
            <v>3</v>
          </cell>
          <cell r="R269">
            <v>3.66</v>
          </cell>
          <cell r="S269">
            <v>0.40260000000000001</v>
          </cell>
        </row>
        <row r="270">
          <cell r="D270" t="str">
            <v>Kiều Trung Tín</v>
          </cell>
          <cell r="E270" t="str">
            <v>Giảng viên khoa  Động lực</v>
          </cell>
          <cell r="F270" t="str">
            <v>ĐH</v>
          </cell>
          <cell r="H270" t="str">
            <v>GV</v>
          </cell>
          <cell r="I270" t="str">
            <v>GV</v>
          </cell>
          <cell r="K270" t="str">
            <v>023493630</v>
          </cell>
          <cell r="L270" t="str">
            <v>1603205276141</v>
          </cell>
          <cell r="M270" t="str">
            <v>11100119659</v>
          </cell>
          <cell r="N270" t="str">
            <v>Giảng viên GDNN LT (hạng III)</v>
          </cell>
          <cell r="O270" t="str">
            <v>V.09.02.03</v>
          </cell>
          <cell r="P270" t="str">
            <v>A1</v>
          </cell>
          <cell r="Q270">
            <v>3</v>
          </cell>
          <cell r="R270">
            <v>3.33</v>
          </cell>
          <cell r="S270">
            <v>0.39960000000000001</v>
          </cell>
        </row>
        <row r="271">
          <cell r="D271" t="str">
            <v>Trần Quốc Duy</v>
          </cell>
          <cell r="E271" t="str">
            <v>Giảng viên khoa  Động lực</v>
          </cell>
          <cell r="F271" t="str">
            <v>ĐH</v>
          </cell>
          <cell r="H271" t="str">
            <v>GV</v>
          </cell>
          <cell r="K271" t="str">
            <v>023841765</v>
          </cell>
          <cell r="L271" t="str">
            <v>1603205294780</v>
          </cell>
          <cell r="M271" t="str">
            <v>11100119638</v>
          </cell>
          <cell r="N271" t="str">
            <v>Giảng viên GDNN LT (hạng III)</v>
          </cell>
          <cell r="O271" t="str">
            <v>V.09.02.03</v>
          </cell>
          <cell r="P271" t="str">
            <v>A1</v>
          </cell>
          <cell r="Q271">
            <v>2</v>
          </cell>
          <cell r="R271">
            <v>3.33</v>
          </cell>
          <cell r="S271">
            <v>0.33300000000000002</v>
          </cell>
        </row>
        <row r="272">
          <cell r="D272" t="str">
            <v>Hồ Văn Hóa</v>
          </cell>
          <cell r="E272" t="str">
            <v>Giảng viên khoa Động lực</v>
          </cell>
          <cell r="K272" t="str">
            <v>024292308</v>
          </cell>
          <cell r="L272" t="str">
            <v>1603205353345</v>
          </cell>
          <cell r="M272" t="str">
            <v>21000001760</v>
          </cell>
          <cell r="N272" t="str">
            <v>Giảng viên GDNN LT (hạng III)</v>
          </cell>
          <cell r="O272" t="str">
            <v>V.09.02.03</v>
          </cell>
          <cell r="P272" t="str">
            <v>A1</v>
          </cell>
          <cell r="Q272">
            <v>2</v>
          </cell>
          <cell r="R272">
            <v>3.33</v>
          </cell>
          <cell r="S272">
            <v>0.26640000000000003</v>
          </cell>
        </row>
        <row r="273">
          <cell r="D273" t="str">
            <v>Nguyễn Thanh Hùng</v>
          </cell>
          <cell r="E273" t="str">
            <v>Giảng viên khoa  Động lực</v>
          </cell>
          <cell r="K273" t="str">
            <v>079082002097</v>
          </cell>
          <cell r="L273" t="str">
            <v>1603205356610</v>
          </cell>
          <cell r="M273" t="str">
            <v>21100001291</v>
          </cell>
          <cell r="N273" t="str">
            <v>Giảng viên GDNN LT (hạng III)</v>
          </cell>
          <cell r="O273" t="str">
            <v>V.09.02.03</v>
          </cell>
          <cell r="P273" t="str">
            <v>A1</v>
          </cell>
          <cell r="Q273">
            <v>2</v>
          </cell>
          <cell r="R273">
            <v>3.33</v>
          </cell>
          <cell r="S273">
            <v>0.26640000000000003</v>
          </cell>
        </row>
        <row r="274">
          <cell r="D274" t="str">
            <v>Lý Văn Trung</v>
          </cell>
          <cell r="E274" t="str">
            <v>Giảng viên khoa Động lực</v>
          </cell>
          <cell r="N274" t="str">
            <v>Giảng viên GDNN LT (hạng III)</v>
          </cell>
          <cell r="O274" t="str">
            <v>V.09.02.03</v>
          </cell>
          <cell r="R274">
            <v>3.33</v>
          </cell>
        </row>
        <row r="275">
          <cell r="D275" t="str">
            <v>Nguyễn Lương Tâm</v>
          </cell>
          <cell r="E275" t="str">
            <v>Giảng viên Khoa  Động lực</v>
          </cell>
          <cell r="K275" t="str">
            <v>022093185</v>
          </cell>
          <cell r="N275" t="str">
            <v>Giảng viên GDNN LT (hạng III)</v>
          </cell>
          <cell r="O275" t="str">
            <v>V.09.02.03</v>
          </cell>
          <cell r="R275">
            <v>2.67</v>
          </cell>
        </row>
        <row r="276">
          <cell r="D276" t="str">
            <v>Trần Văn Đông</v>
          </cell>
          <cell r="E276" t="str">
            <v>Giảng viên khoa Động lực</v>
          </cell>
          <cell r="K276" t="str">
            <v>215223184</v>
          </cell>
          <cell r="N276" t="str">
            <v>Giảng viên GDNN LT (hạng III)</v>
          </cell>
          <cell r="O276" t="str">
            <v>V.07.01.03</v>
          </cell>
          <cell r="R276">
            <v>2.67</v>
          </cell>
        </row>
        <row r="277">
          <cell r="D277" t="str">
            <v>Bùi Trọng Tân</v>
          </cell>
          <cell r="E277" t="str">
            <v>Giảng viên khoa Động lực</v>
          </cell>
          <cell r="K277">
            <v>233140411</v>
          </cell>
          <cell r="L277" t="str">
            <v>1603205668349</v>
          </cell>
          <cell r="N277" t="str">
            <v>Giảng viên GDNN LT (hạng III)</v>
          </cell>
          <cell r="O277" t="str">
            <v>V.09.02.03</v>
          </cell>
          <cell r="R277">
            <v>2.34</v>
          </cell>
        </row>
        <row r="278">
          <cell r="D278" t="str">
            <v>Đinh Đồng Hiệp</v>
          </cell>
          <cell r="E278" t="str">
            <v>Phó Trưởng khoa Nhiệt - Lạnh</v>
          </cell>
          <cell r="K278" t="str">
            <v>020750459</v>
          </cell>
          <cell r="L278" t="str">
            <v>1603205398734</v>
          </cell>
          <cell r="M278" t="str">
            <v>31100001367</v>
          </cell>
          <cell r="N278" t="str">
            <v>Giảng viên GDNN LT (hạng III)</v>
          </cell>
          <cell r="O278" t="str">
            <v>V.09.02.03</v>
          </cell>
          <cell r="P278" t="str">
            <v>A1</v>
          </cell>
          <cell r="Q278">
            <v>3</v>
          </cell>
          <cell r="R278">
            <v>3.33</v>
          </cell>
          <cell r="S278">
            <v>0.60759999999999992</v>
          </cell>
        </row>
        <row r="279">
          <cell r="D279" t="str">
            <v>Hoàng Văn Viết</v>
          </cell>
          <cell r="E279" t="str">
            <v>Phó Trưởng khoa Nhiệt lạnh</v>
          </cell>
          <cell r="K279" t="str">
            <v>142482490</v>
          </cell>
          <cell r="N279" t="str">
            <v>Giảng viên GDNN LT (hạng III)</v>
          </cell>
          <cell r="O279" t="str">
            <v>V.09.02.03</v>
          </cell>
          <cell r="Q279">
            <v>2</v>
          </cell>
          <cell r="R279">
            <v>3</v>
          </cell>
          <cell r="S279">
            <v>0.35</v>
          </cell>
        </row>
        <row r="280">
          <cell r="D280" t="str">
            <v>Phan Văn Hòa</v>
          </cell>
          <cell r="E280" t="str">
            <v>Giảng viên khoa Nhiệt - Lạnh</v>
          </cell>
          <cell r="F280" t="str">
            <v>ĐH</v>
          </cell>
          <cell r="H280" t="str">
            <v>GV</v>
          </cell>
          <cell r="I280" t="str">
            <v>GV</v>
          </cell>
          <cell r="J280" t="str">
            <v>GV263</v>
          </cell>
          <cell r="K280" t="str">
            <v>025211873</v>
          </cell>
          <cell r="L280" t="str">
            <v>1603205246271</v>
          </cell>
          <cell r="M280" t="str">
            <v>11100109988</v>
          </cell>
          <cell r="N280" t="str">
            <v>Giảng viên GDNN LT (hạng III)</v>
          </cell>
          <cell r="O280" t="str">
            <v>V.09.02.03</v>
          </cell>
          <cell r="P280" t="str">
            <v>A1</v>
          </cell>
          <cell r="Q280">
            <v>3</v>
          </cell>
          <cell r="R280">
            <v>3.33</v>
          </cell>
          <cell r="S280">
            <v>0.36630000000000001</v>
          </cell>
        </row>
        <row r="281">
          <cell r="D281" t="str">
            <v>Đỗ Trọng Quý</v>
          </cell>
          <cell r="E281" t="str">
            <v>Giảng viên khoa Nhiệt - Lạnh</v>
          </cell>
          <cell r="F281" t="str">
            <v>ĐH</v>
          </cell>
          <cell r="H281" t="str">
            <v>GV</v>
          </cell>
          <cell r="I281" t="str">
            <v>GV</v>
          </cell>
          <cell r="J281" t="str">
            <v>GV247</v>
          </cell>
          <cell r="K281" t="str">
            <v>024573030</v>
          </cell>
          <cell r="L281" t="str">
            <v>1603205231796</v>
          </cell>
          <cell r="M281" t="str">
            <v>11100093891</v>
          </cell>
          <cell r="N281" t="str">
            <v>Giảng viên GDNN LT (hạng III)</v>
          </cell>
          <cell r="O281" t="str">
            <v>V.09.02.03</v>
          </cell>
          <cell r="P281" t="str">
            <v>A1</v>
          </cell>
          <cell r="Q281">
            <v>5</v>
          </cell>
          <cell r="R281">
            <v>3.99</v>
          </cell>
          <cell r="S281">
            <v>0.59850000000000003</v>
          </cell>
        </row>
        <row r="282">
          <cell r="D282" t="str">
            <v>Trần Đình Khoa</v>
          </cell>
          <cell r="E282" t="str">
            <v>Giảng viên khoa  Nhiệt - Lạnh</v>
          </cell>
          <cell r="F282" t="str">
            <v>ĐH</v>
          </cell>
          <cell r="H282" t="str">
            <v>GV</v>
          </cell>
          <cell r="K282" t="str">
            <v>046085000069</v>
          </cell>
          <cell r="L282" t="str">
            <v>1603205307716</v>
          </cell>
          <cell r="M282" t="str">
            <v>20500004671</v>
          </cell>
          <cell r="N282" t="str">
            <v>Giảng viên GDNN LT (hạng III)</v>
          </cell>
          <cell r="O282" t="str">
            <v>V.09.02.03</v>
          </cell>
          <cell r="P282" t="str">
            <v>A1</v>
          </cell>
          <cell r="Q282">
            <v>3</v>
          </cell>
          <cell r="R282">
            <v>3.33</v>
          </cell>
          <cell r="S282">
            <v>0.36630000000000001</v>
          </cell>
        </row>
      </sheetData>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F334"/>
  <sheetViews>
    <sheetView topLeftCell="A20" zoomScaleNormal="100" workbookViewId="0">
      <selection activeCell="D24" sqref="D24"/>
    </sheetView>
  </sheetViews>
  <sheetFormatPr defaultColWidth="10.125" defaultRowHeight="15.75" x14ac:dyDescent="0.25"/>
  <cols>
    <col min="1" max="1" width="4.875" style="5" customWidth="1"/>
    <col min="2" max="2" width="17.5" style="5" hidden="1" customWidth="1"/>
    <col min="3" max="3" width="11.875" style="474" bestFit="1"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6" width="6.375" style="2" hidden="1" customWidth="1"/>
    <col min="17" max="17" width="7.375" style="2" customWidth="1"/>
    <col min="18" max="18" width="7.875" style="327" hidden="1" customWidth="1"/>
    <col min="19" max="19" width="6.375" style="346" hidden="1" customWidth="1"/>
    <col min="20" max="20" width="7.75" style="2" customWidth="1"/>
    <col min="21" max="21" width="9.875" style="7" hidden="1" customWidth="1"/>
    <col min="22" max="22" width="6.625" style="2" customWidth="1"/>
    <col min="23" max="23" width="6.125" style="69" bestFit="1" customWidth="1"/>
    <col min="24" max="24" width="8.375" style="7" customWidth="1"/>
    <col min="25" max="25" width="10.625" style="7" customWidth="1"/>
    <col min="26" max="26" width="11.75" style="9" customWidth="1"/>
    <col min="27" max="27" width="7.75" style="9" hidden="1" customWidth="1"/>
    <col min="28" max="28" width="9.875" style="9" customWidth="1"/>
    <col min="29" max="29" width="5.75" style="9" customWidth="1"/>
    <col min="30" max="30" width="11.625" style="9" customWidth="1"/>
    <col min="31" max="31" width="10.75" style="7" customWidth="1"/>
    <col min="32" max="32" width="10.375" style="7" bestFit="1" customWidth="1"/>
    <col min="33" max="33" width="10.125" style="7" customWidth="1"/>
    <col min="34" max="34" width="6.25" style="7" bestFit="1" customWidth="1"/>
    <col min="35" max="35" width="11" style="7" customWidth="1"/>
    <col min="36" max="36" width="5.375" style="2" customWidth="1"/>
    <col min="37" max="37" width="10.25" style="7" bestFit="1" customWidth="1"/>
    <col min="38" max="38" width="5.375" style="7" customWidth="1"/>
    <col min="39" max="39" width="8.625" style="7" customWidth="1"/>
    <col min="40" max="40" width="11.75" style="491" hidden="1" customWidth="1"/>
    <col min="41" max="41" width="8.875" style="644" hidden="1" customWidth="1"/>
    <col min="42" max="42" width="9" style="44" bestFit="1" customWidth="1"/>
    <col min="43" max="43" width="12.125" style="7" customWidth="1"/>
    <col min="44" max="44" width="8.125" style="2" hidden="1" customWidth="1"/>
    <col min="45" max="45" width="12.75" style="2" customWidth="1"/>
    <col min="46" max="46" width="4.125" style="2" bestFit="1" customWidth="1"/>
    <col min="47" max="47" width="18.5" style="39" customWidth="1"/>
    <col min="48" max="48" width="12.5" style="39" customWidth="1"/>
    <col min="49" max="49" width="10.125" style="2"/>
    <col min="50" max="50" width="18.25" style="2" customWidth="1"/>
    <col min="51" max="16384" width="10.125" style="2"/>
  </cols>
  <sheetData>
    <row r="1" spans="1:58" x14ac:dyDescent="0.25">
      <c r="A1" s="994" t="s">
        <v>1072</v>
      </c>
      <c r="B1" s="994"/>
      <c r="C1" s="994"/>
      <c r="D1" s="994"/>
      <c r="E1" s="994"/>
      <c r="F1" s="994"/>
      <c r="G1" s="994"/>
      <c r="H1" s="994"/>
      <c r="I1" s="994"/>
      <c r="J1" s="994"/>
      <c r="K1" s="994"/>
      <c r="L1" s="994"/>
      <c r="M1" s="994"/>
      <c r="N1" s="994"/>
      <c r="O1" s="994"/>
      <c r="Q1" s="6"/>
      <c r="R1" s="326"/>
      <c r="U1" s="2"/>
      <c r="AK1" s="995" t="s">
        <v>1073</v>
      </c>
      <c r="AL1" s="995"/>
      <c r="AM1" s="995"/>
      <c r="AN1" s="995"/>
      <c r="AO1" s="995"/>
      <c r="AP1" s="995"/>
      <c r="AQ1" s="995"/>
      <c r="AR1" s="995"/>
      <c r="AS1" s="995"/>
      <c r="AT1" s="995"/>
      <c r="AU1" s="995"/>
      <c r="AV1" s="10"/>
    </row>
    <row r="2" spans="1:58" x14ac:dyDescent="0.25">
      <c r="A2" s="994" t="s">
        <v>1131</v>
      </c>
      <c r="B2" s="994"/>
      <c r="C2" s="994"/>
      <c r="D2" s="994"/>
      <c r="E2" s="994"/>
      <c r="F2" s="994"/>
      <c r="G2" s="994"/>
      <c r="H2" s="994"/>
      <c r="I2" s="994"/>
      <c r="J2" s="994"/>
      <c r="K2" s="994"/>
      <c r="L2" s="994"/>
      <c r="M2" s="994"/>
      <c r="N2" s="994"/>
      <c r="O2" s="994"/>
      <c r="Q2" s="6"/>
      <c r="R2" s="326"/>
      <c r="U2" s="2"/>
      <c r="X2" s="2"/>
      <c r="Y2" s="2"/>
      <c r="Z2" s="2"/>
      <c r="AA2" s="2"/>
      <c r="AB2" s="2"/>
      <c r="AC2" s="2"/>
      <c r="AD2" s="2"/>
      <c r="AK2" s="996" t="s">
        <v>1285</v>
      </c>
      <c r="AL2" s="996"/>
      <c r="AM2" s="996"/>
      <c r="AN2" s="996"/>
      <c r="AO2" s="996"/>
      <c r="AP2" s="996"/>
      <c r="AQ2" s="996"/>
      <c r="AR2" s="996"/>
      <c r="AS2" s="996"/>
      <c r="AT2" s="996"/>
      <c r="AU2" s="996"/>
      <c r="AV2" s="10"/>
    </row>
    <row r="3" spans="1:58" ht="18" customHeight="1" x14ac:dyDescent="0.25">
      <c r="A3" s="994" t="s">
        <v>1369</v>
      </c>
      <c r="B3" s="994"/>
      <c r="C3" s="994"/>
      <c r="D3" s="994"/>
      <c r="E3" s="994"/>
      <c r="F3" s="994"/>
      <c r="G3" s="994"/>
      <c r="H3" s="994"/>
      <c r="I3" s="994"/>
      <c r="J3" s="994"/>
      <c r="K3" s="994"/>
      <c r="L3" s="994"/>
      <c r="M3" s="994"/>
      <c r="N3" s="994"/>
      <c r="O3" s="994"/>
      <c r="Q3" s="6"/>
      <c r="R3" s="326"/>
      <c r="X3" s="9"/>
      <c r="Y3" s="9"/>
      <c r="AK3" s="996" t="s">
        <v>1286</v>
      </c>
      <c r="AL3" s="996"/>
      <c r="AM3" s="996"/>
      <c r="AN3" s="996"/>
      <c r="AO3" s="996"/>
      <c r="AP3" s="996"/>
      <c r="AQ3" s="996"/>
      <c r="AR3" s="996"/>
      <c r="AS3" s="996"/>
      <c r="AT3" s="996"/>
      <c r="AU3" s="996"/>
    </row>
    <row r="4" spans="1:58" ht="12" customHeight="1" x14ac:dyDescent="0.35">
      <c r="A4" s="72"/>
      <c r="B4" s="72"/>
      <c r="Q4" s="6"/>
      <c r="R4" s="326"/>
      <c r="U4" s="997" t="s">
        <v>1064</v>
      </c>
      <c r="V4" s="997"/>
      <c r="W4" s="997"/>
      <c r="X4" s="997"/>
      <c r="Y4" s="997"/>
      <c r="Z4" s="997"/>
      <c r="AA4" s="997"/>
      <c r="AB4" s="997"/>
      <c r="AC4" s="997"/>
      <c r="AD4" s="997"/>
      <c r="AE4" s="997"/>
      <c r="AF4" s="997"/>
      <c r="AG4" s="997"/>
      <c r="AH4" s="997"/>
      <c r="AI4" s="997"/>
      <c r="AJ4" s="997"/>
      <c r="AK4" s="997"/>
      <c r="AL4" s="385"/>
      <c r="AM4" s="385"/>
    </row>
    <row r="5" spans="1:58" ht="18.75" customHeight="1" x14ac:dyDescent="0.35">
      <c r="A5" s="11"/>
      <c r="B5" s="11"/>
      <c r="C5" s="475"/>
      <c r="D5" s="1"/>
      <c r="E5" s="260"/>
      <c r="F5" s="1"/>
      <c r="G5" s="4"/>
      <c r="H5" s="4"/>
      <c r="I5" s="4"/>
      <c r="J5" s="1"/>
      <c r="K5" s="4"/>
      <c r="L5" s="1"/>
      <c r="M5" s="1"/>
      <c r="N5" s="421"/>
      <c r="U5" s="997"/>
      <c r="V5" s="997"/>
      <c r="W5" s="997"/>
      <c r="X5" s="997"/>
      <c r="Y5" s="997"/>
      <c r="Z5" s="997"/>
      <c r="AA5" s="997"/>
      <c r="AB5" s="997"/>
      <c r="AC5" s="997"/>
      <c r="AD5" s="997"/>
      <c r="AE5" s="997"/>
      <c r="AF5" s="997"/>
      <c r="AG5" s="997"/>
      <c r="AH5" s="997"/>
      <c r="AI5" s="997"/>
      <c r="AJ5" s="997"/>
      <c r="AK5" s="997"/>
      <c r="AL5" s="385"/>
      <c r="AM5" s="385"/>
      <c r="AQ5" s="998" t="s">
        <v>1074</v>
      </c>
      <c r="AR5" s="998"/>
      <c r="AS5" s="998"/>
      <c r="AT5" s="998"/>
      <c r="AU5" s="998"/>
      <c r="AV5" s="11"/>
    </row>
    <row r="6" spans="1:58" ht="19.5" customHeight="1" x14ac:dyDescent="0.3">
      <c r="A6" s="11"/>
      <c r="B6" s="11"/>
      <c r="C6" s="475"/>
      <c r="D6" s="1"/>
      <c r="E6" s="260"/>
      <c r="F6" s="1"/>
      <c r="G6" s="4"/>
      <c r="H6" s="4"/>
      <c r="I6" s="4"/>
      <c r="J6" s="1"/>
      <c r="K6" s="4"/>
      <c r="L6" s="1"/>
      <c r="M6" s="1"/>
      <c r="N6" s="421"/>
      <c r="Q6" s="1"/>
      <c r="R6" s="328"/>
      <c r="U6" s="999" t="s">
        <v>1477</v>
      </c>
      <c r="V6" s="999"/>
      <c r="W6" s="999"/>
      <c r="X6" s="999"/>
      <c r="Y6" s="999"/>
      <c r="Z6" s="999"/>
      <c r="AA6" s="999"/>
      <c r="AB6" s="999"/>
      <c r="AC6" s="999"/>
      <c r="AD6" s="999"/>
      <c r="AE6" s="999"/>
      <c r="AF6" s="999"/>
      <c r="AG6" s="999"/>
      <c r="AH6" s="999"/>
      <c r="AI6" s="999"/>
      <c r="AJ6" s="999"/>
      <c r="AK6" s="999"/>
      <c r="AL6" s="307"/>
      <c r="AM6" s="307"/>
      <c r="AQ6" s="13" t="s">
        <v>1075</v>
      </c>
      <c r="AR6" s="11"/>
      <c r="AS6" s="11"/>
      <c r="AT6" s="72"/>
      <c r="AU6" s="143"/>
      <c r="AV6" s="40"/>
    </row>
    <row r="7" spans="1:58" ht="15" customHeight="1" x14ac:dyDescent="0.3">
      <c r="A7" s="11"/>
      <c r="B7" s="11"/>
      <c r="C7" s="475"/>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Q7" s="13" t="s">
        <v>1076</v>
      </c>
      <c r="AR7" s="11"/>
      <c r="AS7" s="11"/>
      <c r="AT7" s="72"/>
      <c r="AU7" s="143"/>
      <c r="AV7" s="40"/>
    </row>
    <row r="8" spans="1:58" ht="9" customHeight="1" x14ac:dyDescent="0.3">
      <c r="A8" s="4"/>
      <c r="B8" s="4"/>
      <c r="C8" s="475"/>
      <c r="D8" s="64">
        <v>1490000</v>
      </c>
      <c r="E8" s="261"/>
      <c r="F8" s="64"/>
      <c r="G8" s="4"/>
      <c r="H8" s="4"/>
      <c r="I8" s="4"/>
      <c r="J8" s="1"/>
      <c r="K8" s="4"/>
      <c r="L8" s="1"/>
      <c r="M8" s="1"/>
      <c r="N8" s="421"/>
      <c r="P8" s="12"/>
      <c r="Q8" s="6"/>
      <c r="R8" s="326"/>
      <c r="V8" s="12"/>
    </row>
    <row r="9" spans="1:58" s="14" customFormat="1" ht="27" customHeight="1" x14ac:dyDescent="0.25">
      <c r="A9" s="1000" t="s">
        <v>691</v>
      </c>
      <c r="B9" s="59"/>
      <c r="C9" s="1001" t="s">
        <v>1031</v>
      </c>
      <c r="D9" s="1000" t="s">
        <v>699</v>
      </c>
      <c r="E9" s="1002" t="s">
        <v>1054</v>
      </c>
      <c r="F9" s="59"/>
      <c r="G9" s="1004" t="s">
        <v>22</v>
      </c>
      <c r="H9" s="141"/>
      <c r="I9" s="141" t="s">
        <v>285</v>
      </c>
      <c r="J9" s="1004" t="s">
        <v>178</v>
      </c>
      <c r="K9" s="1005" t="s">
        <v>1311</v>
      </c>
      <c r="L9" s="274" t="s">
        <v>69</v>
      </c>
      <c r="M9" s="1007" t="s">
        <v>1031</v>
      </c>
      <c r="N9" s="1008" t="s">
        <v>824</v>
      </c>
      <c r="O9" s="1009" t="s">
        <v>174</v>
      </c>
      <c r="P9" s="1010" t="s">
        <v>700</v>
      </c>
      <c r="Q9" s="1011" t="s">
        <v>1056</v>
      </c>
      <c r="R9" s="1012"/>
      <c r="S9" s="1012"/>
      <c r="T9" s="1012"/>
      <c r="U9" s="1012"/>
      <c r="V9" s="1012"/>
      <c r="W9" s="1012"/>
      <c r="X9" s="1012"/>
      <c r="Y9" s="1013" t="s">
        <v>827</v>
      </c>
      <c r="Z9" s="1025" t="s">
        <v>718</v>
      </c>
      <c r="AA9" s="1027" t="s">
        <v>1061</v>
      </c>
      <c r="AB9" s="1025" t="s">
        <v>828</v>
      </c>
      <c r="AC9" s="1025" t="s">
        <v>829</v>
      </c>
      <c r="AD9" s="1025" t="s">
        <v>830</v>
      </c>
      <c r="AE9" s="1000" t="s">
        <v>717</v>
      </c>
      <c r="AF9" s="1000"/>
      <c r="AG9" s="1000"/>
      <c r="AH9" s="1000"/>
      <c r="AI9" s="1000"/>
      <c r="AJ9" s="1031" t="s">
        <v>1091</v>
      </c>
      <c r="AK9" s="1031"/>
      <c r="AL9" s="1032" t="s">
        <v>1108</v>
      </c>
      <c r="AM9" s="1033"/>
      <c r="AN9" s="1023" t="s">
        <v>678</v>
      </c>
      <c r="AO9" s="1034" t="s">
        <v>523</v>
      </c>
      <c r="AP9" s="1023" t="s">
        <v>1092</v>
      </c>
      <c r="AQ9" s="1024" t="s">
        <v>546</v>
      </c>
      <c r="AR9" s="1015" t="s">
        <v>644</v>
      </c>
      <c r="AS9" s="1016" t="s">
        <v>1032</v>
      </c>
      <c r="AT9" s="1018" t="s">
        <v>1057</v>
      </c>
      <c r="AU9" s="1018"/>
      <c r="AV9" s="85"/>
    </row>
    <row r="10" spans="1:58" s="14" customFormat="1" ht="42" x14ac:dyDescent="0.25">
      <c r="A10" s="1000"/>
      <c r="B10" s="59"/>
      <c r="C10" s="1001"/>
      <c r="D10" s="1000"/>
      <c r="E10" s="1003"/>
      <c r="F10" s="59"/>
      <c r="G10" s="1004"/>
      <c r="H10" s="141"/>
      <c r="I10" s="141" t="s">
        <v>286</v>
      </c>
      <c r="J10" s="1004"/>
      <c r="K10" s="1006"/>
      <c r="L10" s="274" t="s">
        <v>131</v>
      </c>
      <c r="M10" s="1007"/>
      <c r="N10" s="1008"/>
      <c r="O10" s="1009"/>
      <c r="P10" s="1010"/>
      <c r="Q10" s="299" t="s">
        <v>825</v>
      </c>
      <c r="R10" s="329" t="s">
        <v>1062</v>
      </c>
      <c r="S10" s="379" t="s">
        <v>1033</v>
      </c>
      <c r="T10" s="301" t="s">
        <v>1055</v>
      </c>
      <c r="U10" s="300"/>
      <c r="V10" s="302" t="s">
        <v>1123</v>
      </c>
      <c r="W10" s="270" t="s">
        <v>1077</v>
      </c>
      <c r="X10" s="303" t="s">
        <v>826</v>
      </c>
      <c r="Y10" s="1014"/>
      <c r="Z10" s="1026"/>
      <c r="AA10" s="1028"/>
      <c r="AB10" s="1026"/>
      <c r="AC10" s="1026"/>
      <c r="AD10" s="1026"/>
      <c r="AE10" s="60" t="s">
        <v>747</v>
      </c>
      <c r="AF10" s="60" t="s">
        <v>564</v>
      </c>
      <c r="AG10" s="57" t="s">
        <v>521</v>
      </c>
      <c r="AH10" s="57" t="s">
        <v>831</v>
      </c>
      <c r="AI10" s="57" t="s">
        <v>716</v>
      </c>
      <c r="AJ10" s="60" t="s">
        <v>719</v>
      </c>
      <c r="AK10" s="60" t="s">
        <v>718</v>
      </c>
      <c r="AL10" s="60" t="s">
        <v>719</v>
      </c>
      <c r="AM10" s="60" t="s">
        <v>718</v>
      </c>
      <c r="AN10" s="1023"/>
      <c r="AO10" s="1034"/>
      <c r="AP10" s="1023"/>
      <c r="AQ10" s="1024"/>
      <c r="AR10" s="1015"/>
      <c r="AS10" s="1017"/>
      <c r="AT10" s="1018"/>
      <c r="AU10" s="1018"/>
      <c r="AV10" s="86"/>
    </row>
    <row r="11" spans="1:58" s="14" customFormat="1" ht="24" x14ac:dyDescent="0.25">
      <c r="A11" s="275">
        <v>1</v>
      </c>
      <c r="B11" s="275"/>
      <c r="C11" s="476">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v>15</v>
      </c>
      <c r="AF11" s="279">
        <v>16</v>
      </c>
      <c r="AG11" s="279">
        <v>17</v>
      </c>
      <c r="AH11" s="279">
        <v>18</v>
      </c>
      <c r="AI11" s="382" t="s">
        <v>1101</v>
      </c>
      <c r="AJ11" s="279">
        <v>20</v>
      </c>
      <c r="AK11" s="382" t="s">
        <v>1401</v>
      </c>
      <c r="AL11" s="382">
        <v>22</v>
      </c>
      <c r="AM11" s="382" t="s">
        <v>1400</v>
      </c>
      <c r="AN11" s="492" t="s">
        <v>1138</v>
      </c>
      <c r="AO11" s="330" t="s">
        <v>1138</v>
      </c>
      <c r="AP11" s="383" t="s">
        <v>1113</v>
      </c>
      <c r="AQ11" s="382" t="s">
        <v>1399</v>
      </c>
      <c r="AR11" s="330" t="s">
        <v>1138</v>
      </c>
      <c r="AS11" s="279" t="s">
        <v>1109</v>
      </c>
      <c r="AT11" s="1019">
        <v>27</v>
      </c>
      <c r="AU11" s="1019"/>
      <c r="AV11" s="87"/>
      <c r="AX11" s="14">
        <f>(3.66+0.35)*1490000</f>
        <v>5974900</v>
      </c>
      <c r="AY11" s="14">
        <f>(3.66+0.35)*1600000</f>
        <v>6416000</v>
      </c>
    </row>
    <row r="12" spans="1:58" s="166" customFormat="1" ht="40.5" hidden="1" customHeight="1" x14ac:dyDescent="0.25">
      <c r="A12" s="157"/>
      <c r="B12" s="157"/>
      <c r="C12" s="477"/>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734</v>
      </c>
      <c r="AF12" s="167" t="s">
        <v>735</v>
      </c>
      <c r="AG12" s="167" t="s">
        <v>736</v>
      </c>
      <c r="AH12" s="167"/>
      <c r="AI12" s="167"/>
      <c r="AJ12" s="161"/>
      <c r="AK12" s="167" t="s">
        <v>737</v>
      </c>
      <c r="AL12" s="167"/>
      <c r="AM12" s="167"/>
      <c r="AN12" s="493"/>
      <c r="AO12" s="162"/>
      <c r="AP12" s="652"/>
      <c r="AQ12" s="247" t="s">
        <v>738</v>
      </c>
      <c r="AR12" s="161"/>
      <c r="AS12" s="161"/>
      <c r="AT12" s="272"/>
      <c r="AU12" s="273"/>
      <c r="AV12" s="164"/>
    </row>
    <row r="13" spans="1:58" s="101" customFormat="1" ht="17.25" customHeight="1" x14ac:dyDescent="0.25">
      <c r="A13" s="280"/>
      <c r="B13" s="280"/>
      <c r="C13" s="478" t="s">
        <v>720</v>
      </c>
      <c r="D13" s="281"/>
      <c r="E13" s="282"/>
      <c r="F13" s="281"/>
      <c r="G13" s="283"/>
      <c r="H13" s="283"/>
      <c r="I13" s="283"/>
      <c r="J13" s="284"/>
      <c r="K13" s="283"/>
      <c r="L13" s="284"/>
      <c r="M13" s="284"/>
      <c r="N13" s="422"/>
      <c r="O13" s="285"/>
      <c r="P13" s="286"/>
      <c r="Q13" s="287"/>
      <c r="R13" s="332"/>
      <c r="S13" s="348"/>
      <c r="T13" s="376"/>
      <c r="U13" s="288"/>
      <c r="V13" s="289"/>
      <c r="W13" s="291"/>
      <c r="X13" s="290"/>
      <c r="Y13" s="290"/>
      <c r="Z13" s="290"/>
      <c r="AA13" s="290"/>
      <c r="AB13" s="290"/>
      <c r="AC13" s="290"/>
      <c r="AD13" s="290"/>
      <c r="AE13" s="290"/>
      <c r="AF13" s="290"/>
      <c r="AG13" s="669"/>
      <c r="AH13" s="290"/>
      <c r="AI13" s="290"/>
      <c r="AJ13" s="292"/>
      <c r="AK13" s="290"/>
      <c r="AL13" s="290"/>
      <c r="AM13" s="290"/>
      <c r="AN13" s="494"/>
      <c r="AO13" s="645"/>
      <c r="AP13" s="293"/>
      <c r="AQ13" s="290"/>
      <c r="AR13" s="290"/>
      <c r="AS13" s="290"/>
      <c r="AT13" s="294"/>
      <c r="AU13" s="295"/>
      <c r="AV13" s="100"/>
      <c r="AW13" s="2"/>
      <c r="AX13" s="2">
        <f>AX11*10.5%</f>
        <v>627364.5</v>
      </c>
      <c r="AY13" s="2">
        <f>AY11*10.5%</f>
        <v>673680</v>
      </c>
      <c r="AZ13" s="2"/>
      <c r="BA13" s="2"/>
      <c r="BB13" s="2"/>
      <c r="BC13" s="2"/>
      <c r="BD13" s="2"/>
      <c r="BE13" s="2"/>
      <c r="BF13" s="2"/>
    </row>
    <row r="14" spans="1:58" s="191" customFormat="1" ht="30" customHeight="1" x14ac:dyDescent="0.25">
      <c r="A14" s="444" t="s">
        <v>5</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60" t="s">
        <v>807</v>
      </c>
      <c r="O14" s="461" t="s">
        <v>692</v>
      </c>
      <c r="P14" s="462">
        <v>9</v>
      </c>
      <c r="Q14" s="449">
        <v>4.9800000000000004</v>
      </c>
      <c r="R14" s="450">
        <f>T14+V14+X14</f>
        <v>3.569</v>
      </c>
      <c r="S14" s="451">
        <v>11</v>
      </c>
      <c r="T14" s="463">
        <f>ROUND(Q14*S14/100,4)</f>
        <v>0.54779999999999995</v>
      </c>
      <c r="U14" s="452">
        <f t="shared" ref="U14:U77" si="0">Q14*S14*$D$8/100</f>
        <v>816222</v>
      </c>
      <c r="V14" s="453">
        <v>0.9</v>
      </c>
      <c r="W14" s="454">
        <f>VLOOKUP(D14,[3]BC!$D$14:$X$294,20,FALSE)</f>
        <v>0.33</v>
      </c>
      <c r="X14" s="455">
        <f>ROUND((Q14+T14+V14)*W14,4)</f>
        <v>2.1212</v>
      </c>
      <c r="Y14" s="455">
        <f t="shared" ref="Y14:Y77" si="1">ROUND(Q14+T14+V14+X14,4)</f>
        <v>8.5489999999999995</v>
      </c>
      <c r="Z14" s="464">
        <f>ROUND(Y14*$D$8,0)</f>
        <v>12738010</v>
      </c>
      <c r="AA14" s="464"/>
      <c r="AB14" s="464">
        <f t="shared" ref="AB14:AB77" si="2">Z14/24*AA14</f>
        <v>0</v>
      </c>
      <c r="AC14" s="464">
        <f t="shared" ref="AC14:AC43" si="3">Z14/24*AA14*75%</f>
        <v>0</v>
      </c>
      <c r="AD14" s="464">
        <f t="shared" ref="AD14:AD77" si="4">ROUND(Z14-AB14+AC14,0)</f>
        <v>12738010</v>
      </c>
      <c r="AE14" s="465">
        <f t="shared" ref="AE14:AE77" si="5">Z14*8%</f>
        <v>1019040.8</v>
      </c>
      <c r="AF14" s="465">
        <f t="shared" ref="AF14:AF77" si="6">Z14*1.5%</f>
        <v>191070.15</v>
      </c>
      <c r="AG14" s="533">
        <f t="shared" ref="AG14:AG77" si="7">Z14*1%</f>
        <v>127380.1</v>
      </c>
      <c r="AH14" s="465"/>
      <c r="AI14" s="465">
        <f>SUM(AE14:AH14)</f>
        <v>1337491.05</v>
      </c>
      <c r="AJ14" s="466">
        <v>0.3</v>
      </c>
      <c r="AK14" s="467">
        <f>AJ14*$D$8</f>
        <v>447000</v>
      </c>
      <c r="AL14" s="467"/>
      <c r="AM14" s="467"/>
      <c r="AN14" s="505">
        <f t="shared" ref="AN14:AN77" si="8">Q14+T14+V14</f>
        <v>6.4278000000000004</v>
      </c>
      <c r="AO14" s="635">
        <v>0.25</v>
      </c>
      <c r="AP14" s="653">
        <f>ROUND(AN14*AO14,4)</f>
        <v>1.607</v>
      </c>
      <c r="AQ14" s="465">
        <f>ROUND(AP14*$D$8,0)</f>
        <v>2394430</v>
      </c>
      <c r="AR14" s="465"/>
      <c r="AS14" s="465">
        <f t="shared" ref="AS14:AS77" si="9">ROUND(AD14-AI14+AK14+AM14+AQ14,0)</f>
        <v>14241949</v>
      </c>
      <c r="AT14" s="408" t="str">
        <f t="shared" ref="AT14:AT77" si="10">A14</f>
        <v>01</v>
      </c>
      <c r="AU14" s="468" t="s">
        <v>1277</v>
      </c>
      <c r="AV14" s="187"/>
      <c r="AW14" s="552"/>
      <c r="AX14" s="552">
        <f>AX11-AX13</f>
        <v>5347535.5</v>
      </c>
      <c r="AY14" s="552">
        <f>AY11-AY13</f>
        <v>5742320</v>
      </c>
      <c r="AZ14" s="552"/>
      <c r="BA14" s="552"/>
      <c r="BB14" s="552"/>
      <c r="BC14" s="552"/>
      <c r="BD14" s="552"/>
      <c r="BE14" s="552"/>
      <c r="BF14" s="552"/>
    </row>
    <row r="15" spans="1:58" s="189" customFormat="1" ht="28.5" customHeight="1" x14ac:dyDescent="0.25">
      <c r="A15" s="168" t="s">
        <v>6</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390" t="s">
        <v>1438</v>
      </c>
      <c r="O15" s="172" t="s">
        <v>692</v>
      </c>
      <c r="P15" s="173">
        <v>8</v>
      </c>
      <c r="Q15" s="174">
        <v>4.9800000000000004</v>
      </c>
      <c r="R15" s="176">
        <f t="shared" ref="R15:R78" si="11">T15+V15+X15</f>
        <v>1.7791999999999999</v>
      </c>
      <c r="S15" s="370"/>
      <c r="T15" s="176">
        <f t="shared" ref="T15:T78" si="12">ROUND(Q15*S15/100,4)</f>
        <v>0</v>
      </c>
      <c r="U15" s="175">
        <f t="shared" si="0"/>
        <v>0</v>
      </c>
      <c r="V15" s="177">
        <v>0.7</v>
      </c>
      <c r="W15" s="179">
        <v>0.19</v>
      </c>
      <c r="X15" s="216">
        <f t="shared" ref="X15:X78" si="13">ROUND((Q15+T15+V15)*W15,4)</f>
        <v>1.0791999999999999</v>
      </c>
      <c r="Y15" s="216">
        <f t="shared" si="1"/>
        <v>6.7591999999999999</v>
      </c>
      <c r="Z15" s="180">
        <f t="shared" ref="Z15:Z78" si="14">ROUND(Y15*$D$8,0)</f>
        <v>10071208</v>
      </c>
      <c r="AA15" s="180"/>
      <c r="AB15" s="180">
        <f t="shared" si="2"/>
        <v>0</v>
      </c>
      <c r="AC15" s="180">
        <f t="shared" si="3"/>
        <v>0</v>
      </c>
      <c r="AD15" s="180">
        <f t="shared" si="4"/>
        <v>10071208</v>
      </c>
      <c r="AE15" s="178">
        <f t="shared" si="5"/>
        <v>805696.64</v>
      </c>
      <c r="AF15" s="178">
        <f t="shared" si="6"/>
        <v>151068.12</v>
      </c>
      <c r="AG15" s="178">
        <f t="shared" si="7"/>
        <v>100712.08</v>
      </c>
      <c r="AH15" s="178"/>
      <c r="AI15" s="178">
        <f t="shared" ref="AI15:AI78" si="15">SUM(AE15:AH15)</f>
        <v>1057476.8400000001</v>
      </c>
      <c r="AJ15" s="181">
        <v>0.3</v>
      </c>
      <c r="AK15" s="182">
        <f t="shared" ref="AK15:AK78" si="16">AJ15*$D$8</f>
        <v>447000</v>
      </c>
      <c r="AL15" s="182"/>
      <c r="AM15" s="182"/>
      <c r="AN15" s="183">
        <f t="shared" si="8"/>
        <v>5.6800000000000006</v>
      </c>
      <c r="AO15" s="443">
        <v>0.25</v>
      </c>
      <c r="AP15" s="185">
        <f t="shared" ref="AP15:AP78" si="17">ROUND(AN15*AO15,4)</f>
        <v>1.42</v>
      </c>
      <c r="AQ15" s="178">
        <f t="shared" ref="AQ15:AQ78" si="18">ROUND(AP15*$D$8,0)</f>
        <v>2115800</v>
      </c>
      <c r="AR15" s="178"/>
      <c r="AS15" s="178">
        <f t="shared" si="9"/>
        <v>11576531</v>
      </c>
      <c r="AT15" s="469" t="str">
        <f t="shared" si="10"/>
        <v>02</v>
      </c>
      <c r="AU15" s="195" t="s">
        <v>805</v>
      </c>
      <c r="AV15" s="195" t="s">
        <v>794</v>
      </c>
      <c r="AX15" s="189">
        <f>AY14-AX14</f>
        <v>394784.5</v>
      </c>
    </row>
    <row r="16" spans="1:58" s="191" customFormat="1" ht="28.5" customHeight="1" x14ac:dyDescent="0.25">
      <c r="A16" s="168" t="s">
        <v>7</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391" t="s">
        <v>39</v>
      </c>
      <c r="O16" s="172" t="s">
        <v>692</v>
      </c>
      <c r="P16" s="173">
        <v>8</v>
      </c>
      <c r="Q16" s="174">
        <v>4.9800000000000004</v>
      </c>
      <c r="R16" s="176">
        <f t="shared" si="11"/>
        <v>0.94899999999999995</v>
      </c>
      <c r="S16" s="370">
        <v>5</v>
      </c>
      <c r="T16" s="176">
        <f t="shared" si="12"/>
        <v>0.249</v>
      </c>
      <c r="U16" s="175">
        <f t="shared" si="0"/>
        <v>371010</v>
      </c>
      <c r="V16" s="177">
        <v>0.7</v>
      </c>
      <c r="W16" s="179">
        <f>VLOOKUP(D16,[3]BC!$D$14:$X$294,20,FALSE)</f>
        <v>0</v>
      </c>
      <c r="X16" s="216">
        <f t="shared" si="13"/>
        <v>0</v>
      </c>
      <c r="Y16" s="216">
        <f t="shared" si="1"/>
        <v>5.9290000000000003</v>
      </c>
      <c r="Z16" s="180">
        <f t="shared" si="14"/>
        <v>8834210</v>
      </c>
      <c r="AA16" s="180"/>
      <c r="AB16" s="180">
        <f t="shared" si="2"/>
        <v>0</v>
      </c>
      <c r="AC16" s="180">
        <f t="shared" si="3"/>
        <v>0</v>
      </c>
      <c r="AD16" s="180">
        <f t="shared" si="4"/>
        <v>8834210</v>
      </c>
      <c r="AE16" s="178">
        <f t="shared" si="5"/>
        <v>706736.8</v>
      </c>
      <c r="AF16" s="178">
        <f t="shared" si="6"/>
        <v>132513.15</v>
      </c>
      <c r="AG16" s="178">
        <f t="shared" si="7"/>
        <v>88342.1</v>
      </c>
      <c r="AH16" s="178"/>
      <c r="AI16" s="178">
        <f t="shared" si="15"/>
        <v>927592.05</v>
      </c>
      <c r="AJ16" s="192">
        <v>0.3</v>
      </c>
      <c r="AK16" s="182">
        <f t="shared" si="16"/>
        <v>447000</v>
      </c>
      <c r="AL16" s="182"/>
      <c r="AM16" s="182"/>
      <c r="AN16" s="183">
        <f t="shared" si="8"/>
        <v>5.9290000000000003</v>
      </c>
      <c r="AO16" s="179"/>
      <c r="AP16" s="185">
        <f t="shared" si="17"/>
        <v>0</v>
      </c>
      <c r="AQ16" s="178">
        <f t="shared" si="18"/>
        <v>0</v>
      </c>
      <c r="AR16" s="178"/>
      <c r="AS16" s="178">
        <f t="shared" si="9"/>
        <v>8353618</v>
      </c>
      <c r="AT16" s="469" t="str">
        <f t="shared" si="10"/>
        <v>03</v>
      </c>
      <c r="AU16" s="195" t="s">
        <v>805</v>
      </c>
      <c r="AV16" s="187"/>
    </row>
    <row r="17" spans="1:58" s="189" customFormat="1" ht="28.5" customHeight="1" x14ac:dyDescent="0.25">
      <c r="A17" s="168" t="s">
        <v>8</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390" t="s">
        <v>1438</v>
      </c>
      <c r="O17" s="172" t="s">
        <v>692</v>
      </c>
      <c r="P17" s="173">
        <v>6</v>
      </c>
      <c r="Q17" s="174">
        <v>4.32</v>
      </c>
      <c r="R17" s="176">
        <f>T17+V17+X17</f>
        <v>1.6035999999999999</v>
      </c>
      <c r="S17" s="370"/>
      <c r="T17" s="176">
        <f>ROUND(Q17*S17/100,4)</f>
        <v>0</v>
      </c>
      <c r="U17" s="175">
        <f>Q17*S17*$D$8/100</f>
        <v>0</v>
      </c>
      <c r="V17" s="170">
        <v>0.7</v>
      </c>
      <c r="W17" s="179">
        <v>0.18</v>
      </c>
      <c r="X17" s="216">
        <f>ROUND((Q17+T17+V17)*W17,4)</f>
        <v>0.90359999999999996</v>
      </c>
      <c r="Y17" s="216">
        <f>ROUND(Q17+T17+V17+X17,4)</f>
        <v>5.9236000000000004</v>
      </c>
      <c r="Z17" s="180">
        <f t="shared" si="14"/>
        <v>8826164</v>
      </c>
      <c r="AA17" s="180"/>
      <c r="AB17" s="180">
        <f>Z17/24*AA17</f>
        <v>0</v>
      </c>
      <c r="AC17" s="180">
        <f>Z17/24*AA17*75%</f>
        <v>0</v>
      </c>
      <c r="AD17" s="180">
        <f>ROUND(Z17-AB17+AC17,0)</f>
        <v>8826164</v>
      </c>
      <c r="AE17" s="178">
        <f t="shared" si="5"/>
        <v>706093.12</v>
      </c>
      <c r="AF17" s="178">
        <f t="shared" si="6"/>
        <v>132392.46</v>
      </c>
      <c r="AG17" s="178">
        <f t="shared" si="7"/>
        <v>88261.64</v>
      </c>
      <c r="AH17" s="178"/>
      <c r="AI17" s="178">
        <f>SUM(AE17:AH17)</f>
        <v>926747.22</v>
      </c>
      <c r="AJ17" s="192">
        <v>0.3</v>
      </c>
      <c r="AK17" s="182">
        <f>AJ17*$D$8</f>
        <v>447000</v>
      </c>
      <c r="AL17" s="182"/>
      <c r="AM17" s="182"/>
      <c r="AN17" s="183">
        <f t="shared" si="8"/>
        <v>5.0200000000000005</v>
      </c>
      <c r="AO17" s="443">
        <v>0.25</v>
      </c>
      <c r="AP17" s="185">
        <f>ROUND(AN17*AO17,4)</f>
        <v>1.2549999999999999</v>
      </c>
      <c r="AQ17" s="178">
        <f t="shared" si="18"/>
        <v>1869950</v>
      </c>
      <c r="AR17" s="178"/>
      <c r="AS17" s="178">
        <f t="shared" si="9"/>
        <v>10216367</v>
      </c>
      <c r="AT17" s="469" t="str">
        <f t="shared" si="10"/>
        <v>04</v>
      </c>
      <c r="AU17" s="195"/>
      <c r="AV17" s="195" t="s">
        <v>1368</v>
      </c>
    </row>
    <row r="18" spans="1:58" s="191" customFormat="1" ht="25.5" x14ac:dyDescent="0.25">
      <c r="A18" s="168" t="s">
        <v>177</v>
      </c>
      <c r="B18" s="168" t="str">
        <f>VLOOKUP(D18,[1]LuongBC_T01!$B$9:$C$292,2,FALSE)</f>
        <v>0016100006705008</v>
      </c>
      <c r="C18" s="361" t="s">
        <v>834</v>
      </c>
      <c r="D18" s="169" t="s">
        <v>803</v>
      </c>
      <c r="E18" s="263" t="s">
        <v>1242</v>
      </c>
      <c r="F18" s="169"/>
      <c r="G18" s="170"/>
      <c r="H18" s="170"/>
      <c r="I18" s="170"/>
      <c r="J18" s="169"/>
      <c r="K18" s="170" t="str">
        <f>VLOOKUP(D18,[2]T3!$B$2:$D$328,3,FALSE)</f>
        <v>023147526</v>
      </c>
      <c r="L18" s="171"/>
      <c r="M18" s="171" t="s">
        <v>834</v>
      </c>
      <c r="N18" s="391" t="s">
        <v>38</v>
      </c>
      <c r="O18" s="172" t="s">
        <v>692</v>
      </c>
      <c r="P18" s="173">
        <v>9</v>
      </c>
      <c r="Q18" s="174">
        <v>4.9800000000000004</v>
      </c>
      <c r="R18" s="176">
        <f t="shared" si="11"/>
        <v>3.0692000000000004</v>
      </c>
      <c r="S18" s="370">
        <v>34</v>
      </c>
      <c r="T18" s="176">
        <f t="shared" si="12"/>
        <v>1.6932</v>
      </c>
      <c r="U18" s="175">
        <f>Q18*S18*$D$8/100</f>
        <v>2522868.0000000005</v>
      </c>
      <c r="V18" s="177">
        <v>0.45</v>
      </c>
      <c r="W18" s="179">
        <f>VLOOKUP(D18,[3]BC!$D$14:$X$294,20,FALSE)</f>
        <v>0.13</v>
      </c>
      <c r="X18" s="216">
        <f t="shared" si="13"/>
        <v>0.92600000000000005</v>
      </c>
      <c r="Y18" s="216">
        <f t="shared" si="1"/>
        <v>8.0492000000000008</v>
      </c>
      <c r="Z18" s="180">
        <f t="shared" si="14"/>
        <v>11993308</v>
      </c>
      <c r="AA18" s="180"/>
      <c r="AB18" s="180">
        <f t="shared" si="2"/>
        <v>0</v>
      </c>
      <c r="AC18" s="180">
        <f t="shared" si="3"/>
        <v>0</v>
      </c>
      <c r="AD18" s="180">
        <f t="shared" si="4"/>
        <v>11993308</v>
      </c>
      <c r="AE18" s="178">
        <f t="shared" si="5"/>
        <v>959464.64</v>
      </c>
      <c r="AF18" s="178">
        <f t="shared" si="6"/>
        <v>179899.62</v>
      </c>
      <c r="AG18" s="178">
        <f t="shared" si="7"/>
        <v>119933.08</v>
      </c>
      <c r="AH18" s="178"/>
      <c r="AI18" s="178">
        <f t="shared" si="15"/>
        <v>1259297.3400000001</v>
      </c>
      <c r="AJ18" s="192">
        <v>0.2</v>
      </c>
      <c r="AK18" s="182">
        <f t="shared" si="16"/>
        <v>298000</v>
      </c>
      <c r="AL18" s="182"/>
      <c r="AM18" s="182"/>
      <c r="AN18" s="183">
        <f t="shared" si="8"/>
        <v>7.1232000000000006</v>
      </c>
      <c r="AO18" s="246">
        <v>0.25</v>
      </c>
      <c r="AP18" s="185">
        <f t="shared" si="17"/>
        <v>1.7807999999999999</v>
      </c>
      <c r="AQ18" s="178">
        <f t="shared" si="18"/>
        <v>2653392</v>
      </c>
      <c r="AR18" s="178"/>
      <c r="AS18" s="178">
        <f t="shared" si="9"/>
        <v>13685403</v>
      </c>
      <c r="AT18" s="469" t="str">
        <f t="shared" si="10"/>
        <v>05</v>
      </c>
      <c r="AU18" s="195" t="s">
        <v>1270</v>
      </c>
      <c r="AV18" s="187"/>
    </row>
    <row r="19" spans="1:58" s="191" customFormat="1" ht="24.75" customHeight="1" x14ac:dyDescent="0.25">
      <c r="A19" s="168" t="s">
        <v>9</v>
      </c>
      <c r="B19" s="168" t="str">
        <f>VLOOKUP(D19,[1]LuongBC_T01!$B$9:$C$292,2,FALSE)</f>
        <v>0016100006546007</v>
      </c>
      <c r="C19" s="361" t="s">
        <v>835</v>
      </c>
      <c r="D19" s="169" t="s">
        <v>1142</v>
      </c>
      <c r="E19" s="263" t="s">
        <v>1243</v>
      </c>
      <c r="F19" s="169" t="s">
        <v>550</v>
      </c>
      <c r="G19" s="170" t="s">
        <v>25</v>
      </c>
      <c r="H19" s="170"/>
      <c r="I19" s="170" t="s">
        <v>280</v>
      </c>
      <c r="J19" s="169" t="s">
        <v>180</v>
      </c>
      <c r="K19" s="170" t="str">
        <f>VLOOKUP(D19,[2]T3!$B$2:$D$328,3,FALSE)</f>
        <v>021609851</v>
      </c>
      <c r="L19" s="171" t="s">
        <v>70</v>
      </c>
      <c r="M19" s="171" t="s">
        <v>835</v>
      </c>
      <c r="N19" s="390" t="s">
        <v>1450</v>
      </c>
      <c r="O19" s="172" t="s">
        <v>4</v>
      </c>
      <c r="P19" s="173">
        <v>3</v>
      </c>
      <c r="Q19" s="174">
        <v>5.76</v>
      </c>
      <c r="R19" s="176">
        <f t="shared" si="11"/>
        <v>2.1267</v>
      </c>
      <c r="S19" s="370"/>
      <c r="T19" s="176">
        <f t="shared" si="12"/>
        <v>0</v>
      </c>
      <c r="U19" s="175">
        <f t="shared" si="0"/>
        <v>0</v>
      </c>
      <c r="V19" s="170">
        <v>0.45</v>
      </c>
      <c r="W19" s="179">
        <f>VLOOKUP(D19,[3]BC!$D$14:$X$294,20,FALSE)</f>
        <v>0.27</v>
      </c>
      <c r="X19" s="216">
        <f t="shared" si="13"/>
        <v>1.6767000000000001</v>
      </c>
      <c r="Y19" s="216">
        <f t="shared" si="1"/>
        <v>7.8867000000000003</v>
      </c>
      <c r="Z19" s="180">
        <f t="shared" si="14"/>
        <v>11751183</v>
      </c>
      <c r="AA19" s="180"/>
      <c r="AB19" s="180">
        <f t="shared" si="2"/>
        <v>0</v>
      </c>
      <c r="AC19" s="180">
        <f t="shared" si="3"/>
        <v>0</v>
      </c>
      <c r="AD19" s="180">
        <f t="shared" si="4"/>
        <v>11751183</v>
      </c>
      <c r="AE19" s="178">
        <f t="shared" si="5"/>
        <v>940094.64</v>
      </c>
      <c r="AF19" s="178">
        <f t="shared" si="6"/>
        <v>176267.745</v>
      </c>
      <c r="AG19" s="178">
        <f t="shared" si="7"/>
        <v>117511.83</v>
      </c>
      <c r="AH19" s="178"/>
      <c r="AI19" s="178">
        <f t="shared" si="15"/>
        <v>1233874.2150000001</v>
      </c>
      <c r="AJ19" s="181"/>
      <c r="AK19" s="182">
        <f t="shared" si="16"/>
        <v>0</v>
      </c>
      <c r="AL19" s="182"/>
      <c r="AM19" s="182"/>
      <c r="AN19" s="183">
        <f t="shared" si="8"/>
        <v>6.21</v>
      </c>
      <c r="AO19" s="443">
        <v>0.25</v>
      </c>
      <c r="AP19" s="185">
        <f t="shared" si="17"/>
        <v>1.5525</v>
      </c>
      <c r="AQ19" s="178">
        <f t="shared" si="18"/>
        <v>2313225</v>
      </c>
      <c r="AR19" s="178"/>
      <c r="AS19" s="178">
        <f t="shared" si="9"/>
        <v>12830534</v>
      </c>
      <c r="AT19" s="469" t="str">
        <f t="shared" si="10"/>
        <v>06</v>
      </c>
      <c r="AU19" s="195"/>
      <c r="AV19" s="187" t="s">
        <v>707</v>
      </c>
      <c r="AW19" s="552"/>
      <c r="AX19" s="552"/>
      <c r="AY19" s="552"/>
      <c r="AZ19" s="552"/>
      <c r="BA19" s="552"/>
      <c r="BB19" s="552"/>
      <c r="BC19" s="552"/>
      <c r="BD19" s="552"/>
      <c r="BE19" s="552"/>
      <c r="BF19" s="552"/>
    </row>
    <row r="20" spans="1:58" s="189" customFormat="1" ht="28.5" customHeight="1" x14ac:dyDescent="0.25">
      <c r="A20" s="168" t="s">
        <v>10</v>
      </c>
      <c r="B20" s="168" t="str">
        <f>VLOOKUP(D20,[1]LuongBC_T01!$B$9:$C$292,2,FALSE)</f>
        <v>0016100006806001</v>
      </c>
      <c r="C20" s="361" t="s">
        <v>838</v>
      </c>
      <c r="D20" s="169" t="s">
        <v>776</v>
      </c>
      <c r="E20" s="263" t="s">
        <v>1244</v>
      </c>
      <c r="F20" s="169"/>
      <c r="G20" s="170"/>
      <c r="H20" s="170"/>
      <c r="I20" s="170"/>
      <c r="J20" s="169"/>
      <c r="K20" s="170" t="str">
        <f>VLOOKUP(D20,[2]T3!$B$2:$D$328,3,FALSE)</f>
        <v>024891110</v>
      </c>
      <c r="L20" s="201" t="s">
        <v>788</v>
      </c>
      <c r="M20" s="201" t="s">
        <v>838</v>
      </c>
      <c r="N20" s="390" t="s">
        <v>807</v>
      </c>
      <c r="O20" s="172" t="s">
        <v>692</v>
      </c>
      <c r="P20" s="173">
        <v>7</v>
      </c>
      <c r="Q20" s="174">
        <v>4.9800000000000004</v>
      </c>
      <c r="R20" s="176">
        <f t="shared" si="11"/>
        <v>1.536</v>
      </c>
      <c r="S20" s="370"/>
      <c r="T20" s="176">
        <f t="shared" si="12"/>
        <v>0</v>
      </c>
      <c r="U20" s="175">
        <f t="shared" si="0"/>
        <v>0</v>
      </c>
      <c r="V20" s="170">
        <v>0.45</v>
      </c>
      <c r="W20" s="179">
        <v>0.2</v>
      </c>
      <c r="X20" s="216">
        <f t="shared" si="13"/>
        <v>1.0860000000000001</v>
      </c>
      <c r="Y20" s="216">
        <f t="shared" si="1"/>
        <v>6.516</v>
      </c>
      <c r="Z20" s="180">
        <f t="shared" si="14"/>
        <v>9708840</v>
      </c>
      <c r="AA20" s="180"/>
      <c r="AB20" s="180">
        <f t="shared" si="2"/>
        <v>0</v>
      </c>
      <c r="AC20" s="180">
        <f t="shared" si="3"/>
        <v>0</v>
      </c>
      <c r="AD20" s="180">
        <f t="shared" si="4"/>
        <v>9708840</v>
      </c>
      <c r="AE20" s="178">
        <f t="shared" si="5"/>
        <v>776707.20000000007</v>
      </c>
      <c r="AF20" s="178">
        <f t="shared" si="6"/>
        <v>145632.6</v>
      </c>
      <c r="AG20" s="178">
        <f t="shared" si="7"/>
        <v>97088.400000000009</v>
      </c>
      <c r="AH20" s="178"/>
      <c r="AI20" s="178">
        <f t="shared" si="15"/>
        <v>1019428.2000000001</v>
      </c>
      <c r="AJ20" s="192"/>
      <c r="AK20" s="182">
        <f t="shared" si="16"/>
        <v>0</v>
      </c>
      <c r="AL20" s="182"/>
      <c r="AM20" s="182"/>
      <c r="AN20" s="183">
        <f t="shared" si="8"/>
        <v>5.4300000000000006</v>
      </c>
      <c r="AO20" s="443">
        <v>0.25</v>
      </c>
      <c r="AP20" s="185">
        <f t="shared" si="17"/>
        <v>1.3574999999999999</v>
      </c>
      <c r="AQ20" s="178">
        <f t="shared" si="18"/>
        <v>2022675</v>
      </c>
      <c r="AR20" s="178"/>
      <c r="AS20" s="178">
        <f t="shared" si="9"/>
        <v>10712087</v>
      </c>
      <c r="AT20" s="469" t="str">
        <f t="shared" si="10"/>
        <v>07</v>
      </c>
      <c r="AU20" s="195"/>
      <c r="AV20" s="198"/>
    </row>
    <row r="21" spans="1:58" s="189" customFormat="1" ht="42.75" customHeight="1" x14ac:dyDescent="0.25">
      <c r="A21" s="168" t="s">
        <v>11</v>
      </c>
      <c r="B21" s="168" t="str">
        <f>VLOOKUP(D21,[1]LuongBC_T01!$B$9:$C$292,2,FALSE)</f>
        <v>0016100006550007</v>
      </c>
      <c r="C21" s="361" t="s">
        <v>839</v>
      </c>
      <c r="D21" s="169" t="s">
        <v>799</v>
      </c>
      <c r="E21" s="263" t="s">
        <v>1303</v>
      </c>
      <c r="F21" s="169"/>
      <c r="G21" s="170"/>
      <c r="H21" s="170"/>
      <c r="I21" s="170"/>
      <c r="J21" s="169"/>
      <c r="K21" s="168" t="s">
        <v>1352</v>
      </c>
      <c r="L21" s="201"/>
      <c r="M21" s="201" t="s">
        <v>839</v>
      </c>
      <c r="N21" s="390" t="s">
        <v>807</v>
      </c>
      <c r="O21" s="172" t="s">
        <v>692</v>
      </c>
      <c r="P21" s="173">
        <v>7</v>
      </c>
      <c r="Q21" s="174">
        <v>4.9800000000000004</v>
      </c>
      <c r="R21" s="176">
        <f t="shared" si="11"/>
        <v>1.4817</v>
      </c>
      <c r="S21" s="370"/>
      <c r="T21" s="176">
        <f t="shared" si="12"/>
        <v>0</v>
      </c>
      <c r="U21" s="175">
        <f t="shared" si="0"/>
        <v>0</v>
      </c>
      <c r="V21" s="170">
        <v>0.45</v>
      </c>
      <c r="W21" s="179">
        <v>0.19</v>
      </c>
      <c r="X21" s="216">
        <f t="shared" si="13"/>
        <v>1.0317000000000001</v>
      </c>
      <c r="Y21" s="216">
        <f t="shared" si="1"/>
        <v>6.4617000000000004</v>
      </c>
      <c r="Z21" s="180">
        <f t="shared" si="14"/>
        <v>9627933</v>
      </c>
      <c r="AA21" s="180"/>
      <c r="AB21" s="180">
        <f t="shared" si="2"/>
        <v>0</v>
      </c>
      <c r="AC21" s="180">
        <f t="shared" si="3"/>
        <v>0</v>
      </c>
      <c r="AD21" s="180">
        <f t="shared" si="4"/>
        <v>9627933</v>
      </c>
      <c r="AE21" s="178">
        <f t="shared" si="5"/>
        <v>770234.64</v>
      </c>
      <c r="AF21" s="178">
        <f t="shared" si="6"/>
        <v>144418.995</v>
      </c>
      <c r="AG21" s="178">
        <f t="shared" si="7"/>
        <v>96279.33</v>
      </c>
      <c r="AH21" s="178"/>
      <c r="AI21" s="178">
        <f t="shared" si="15"/>
        <v>1010932.965</v>
      </c>
      <c r="AJ21" s="192">
        <v>0.3</v>
      </c>
      <c r="AK21" s="182">
        <f t="shared" si="16"/>
        <v>447000</v>
      </c>
      <c r="AL21" s="182"/>
      <c r="AM21" s="182"/>
      <c r="AN21" s="183">
        <f t="shared" si="8"/>
        <v>5.4300000000000006</v>
      </c>
      <c r="AO21" s="443">
        <v>0.25</v>
      </c>
      <c r="AP21" s="185">
        <f t="shared" si="17"/>
        <v>1.3574999999999999</v>
      </c>
      <c r="AQ21" s="178">
        <f t="shared" si="18"/>
        <v>2022675</v>
      </c>
      <c r="AR21" s="178"/>
      <c r="AS21" s="178">
        <f t="shared" si="9"/>
        <v>11086675</v>
      </c>
      <c r="AT21" s="469" t="str">
        <f t="shared" si="10"/>
        <v>08</v>
      </c>
      <c r="AU21" s="195"/>
      <c r="AV21" s="198"/>
    </row>
    <row r="22" spans="1:58" s="189" customFormat="1" ht="25.5" x14ac:dyDescent="0.25">
      <c r="A22" s="168" t="s">
        <v>12</v>
      </c>
      <c r="B22" s="168" t="str">
        <f>VLOOKUP(D22,[1]LuongBC_T01!$B$9:$C$292,2,FALSE)</f>
        <v>0016100006639008</v>
      </c>
      <c r="C22" s="361" t="s">
        <v>840</v>
      </c>
      <c r="D22" s="169" t="s">
        <v>800</v>
      </c>
      <c r="E22" s="263" t="s">
        <v>1245</v>
      </c>
      <c r="F22" s="169"/>
      <c r="G22" s="170"/>
      <c r="H22" s="170"/>
      <c r="I22" s="170"/>
      <c r="J22" s="169"/>
      <c r="K22" s="168" t="s">
        <v>1349</v>
      </c>
      <c r="L22" s="171"/>
      <c r="M22" s="171" t="s">
        <v>840</v>
      </c>
      <c r="N22" s="390" t="s">
        <v>1438</v>
      </c>
      <c r="O22" s="172" t="s">
        <v>692</v>
      </c>
      <c r="P22" s="173">
        <v>7</v>
      </c>
      <c r="Q22" s="174">
        <v>4.6500000000000004</v>
      </c>
      <c r="R22" s="176">
        <f t="shared" si="11"/>
        <v>1.1639999999999999</v>
      </c>
      <c r="S22" s="377"/>
      <c r="T22" s="176">
        <f t="shared" si="12"/>
        <v>0</v>
      </c>
      <c r="U22" s="175">
        <f t="shared" si="0"/>
        <v>0</v>
      </c>
      <c r="V22" s="170">
        <v>0.45</v>
      </c>
      <c r="W22" s="179">
        <v>0.14000000000000001</v>
      </c>
      <c r="X22" s="216">
        <f t="shared" si="13"/>
        <v>0.71399999999999997</v>
      </c>
      <c r="Y22" s="216">
        <f>ROUND(Q22+T22+V22+X22,4)</f>
        <v>5.8140000000000001</v>
      </c>
      <c r="Z22" s="180">
        <f t="shared" si="14"/>
        <v>8662860</v>
      </c>
      <c r="AA22" s="180"/>
      <c r="AB22" s="180">
        <f t="shared" si="2"/>
        <v>0</v>
      </c>
      <c r="AC22" s="180">
        <f t="shared" si="3"/>
        <v>0</v>
      </c>
      <c r="AD22" s="180">
        <f t="shared" si="4"/>
        <v>8662860</v>
      </c>
      <c r="AE22" s="178">
        <f t="shared" si="5"/>
        <v>693028.8</v>
      </c>
      <c r="AF22" s="178">
        <f t="shared" si="6"/>
        <v>129942.9</v>
      </c>
      <c r="AG22" s="178">
        <f t="shared" si="7"/>
        <v>86628.6</v>
      </c>
      <c r="AH22" s="178"/>
      <c r="AI22" s="178">
        <f t="shared" si="15"/>
        <v>909600.3</v>
      </c>
      <c r="AJ22" s="181"/>
      <c r="AK22" s="182">
        <f t="shared" si="16"/>
        <v>0</v>
      </c>
      <c r="AL22" s="182"/>
      <c r="AM22" s="182"/>
      <c r="AN22" s="183">
        <f t="shared" si="8"/>
        <v>5.1000000000000005</v>
      </c>
      <c r="AO22" s="443">
        <v>0.25</v>
      </c>
      <c r="AP22" s="185">
        <f t="shared" si="17"/>
        <v>1.2749999999999999</v>
      </c>
      <c r="AQ22" s="178">
        <f t="shared" si="18"/>
        <v>1899750</v>
      </c>
      <c r="AR22" s="178"/>
      <c r="AS22" s="178">
        <f t="shared" si="9"/>
        <v>9653010</v>
      </c>
      <c r="AT22" s="469" t="str">
        <f t="shared" si="10"/>
        <v>09</v>
      </c>
      <c r="AU22" s="195"/>
      <c r="AV22" s="198"/>
    </row>
    <row r="23" spans="1:58" s="189" customFormat="1" ht="35.25" customHeight="1" x14ac:dyDescent="0.25">
      <c r="A23" s="168" t="s">
        <v>13</v>
      </c>
      <c r="B23" s="168" t="str">
        <f>VLOOKUP(D23,[1]LuongBC_T01!$B$9:$C$292,2,FALSE)</f>
        <v>0016100006567007</v>
      </c>
      <c r="C23" s="361" t="s">
        <v>843</v>
      </c>
      <c r="D23" s="169" t="s">
        <v>1145</v>
      </c>
      <c r="E23" s="263" t="s">
        <v>1246</v>
      </c>
      <c r="F23" s="169" t="s">
        <v>550</v>
      </c>
      <c r="G23" s="170" t="s">
        <v>25</v>
      </c>
      <c r="H23" s="170"/>
      <c r="I23" s="170" t="s">
        <v>280</v>
      </c>
      <c r="J23" s="169" t="s">
        <v>184</v>
      </c>
      <c r="K23" s="168" t="s">
        <v>1354</v>
      </c>
      <c r="L23" s="171" t="s">
        <v>160</v>
      </c>
      <c r="M23" s="171" t="s">
        <v>843</v>
      </c>
      <c r="N23" s="391" t="s">
        <v>1119</v>
      </c>
      <c r="O23" s="172" t="s">
        <v>692</v>
      </c>
      <c r="P23" s="173">
        <v>6</v>
      </c>
      <c r="Q23" s="174">
        <v>4.32</v>
      </c>
      <c r="R23" s="176">
        <f t="shared" si="11"/>
        <v>0.45</v>
      </c>
      <c r="S23" s="370"/>
      <c r="T23" s="176">
        <f t="shared" si="12"/>
        <v>0</v>
      </c>
      <c r="U23" s="175">
        <f t="shared" si="0"/>
        <v>0</v>
      </c>
      <c r="V23" s="170">
        <v>0.45</v>
      </c>
      <c r="W23" s="179">
        <f>VLOOKUP(D23,[3]BC!$D$14:$X$294,20,FALSE)</f>
        <v>0</v>
      </c>
      <c r="X23" s="216">
        <f t="shared" si="13"/>
        <v>0</v>
      </c>
      <c r="Y23" s="216">
        <f t="shared" si="1"/>
        <v>4.7699999999999996</v>
      </c>
      <c r="Z23" s="180">
        <f t="shared" si="14"/>
        <v>7107300</v>
      </c>
      <c r="AA23" s="180"/>
      <c r="AB23" s="180">
        <f t="shared" si="2"/>
        <v>0</v>
      </c>
      <c r="AC23" s="180">
        <f t="shared" si="3"/>
        <v>0</v>
      </c>
      <c r="AD23" s="180">
        <f t="shared" si="4"/>
        <v>7107300</v>
      </c>
      <c r="AE23" s="178">
        <f t="shared" si="5"/>
        <v>568584</v>
      </c>
      <c r="AF23" s="178">
        <f t="shared" si="6"/>
        <v>106609.5</v>
      </c>
      <c r="AG23" s="178">
        <f t="shared" si="7"/>
        <v>71073</v>
      </c>
      <c r="AH23" s="178"/>
      <c r="AI23" s="178">
        <f t="shared" si="15"/>
        <v>746266.5</v>
      </c>
      <c r="AJ23" s="181"/>
      <c r="AK23" s="182">
        <f t="shared" si="16"/>
        <v>0</v>
      </c>
      <c r="AL23" s="182"/>
      <c r="AM23" s="182"/>
      <c r="AN23" s="183">
        <f t="shared" si="8"/>
        <v>4.7700000000000005</v>
      </c>
      <c r="AO23" s="184">
        <v>0.2</v>
      </c>
      <c r="AP23" s="185">
        <f t="shared" si="17"/>
        <v>0.95399999999999996</v>
      </c>
      <c r="AQ23" s="178">
        <f t="shared" si="18"/>
        <v>1421460</v>
      </c>
      <c r="AR23" s="178"/>
      <c r="AS23" s="178">
        <f t="shared" si="9"/>
        <v>7782494</v>
      </c>
      <c r="AT23" s="469" t="str">
        <f t="shared" si="10"/>
        <v>10</v>
      </c>
      <c r="AU23" s="195" t="s">
        <v>795</v>
      </c>
      <c r="AV23" s="219" t="s">
        <v>713</v>
      </c>
      <c r="AW23" s="29"/>
      <c r="AX23" s="29"/>
      <c r="AY23" s="29"/>
      <c r="AZ23" s="29"/>
      <c r="BA23" s="29"/>
      <c r="BB23" s="29"/>
      <c r="BC23" s="29"/>
      <c r="BD23" s="29"/>
      <c r="BE23" s="29"/>
      <c r="BF23" s="29"/>
    </row>
    <row r="24" spans="1:58" s="191" customFormat="1" ht="47.25" customHeight="1" x14ac:dyDescent="0.25">
      <c r="A24" s="168" t="s">
        <v>14</v>
      </c>
      <c r="B24" s="168" t="str">
        <f>VLOOKUP(D24,[1]LuongBC_T01!$B$9:$C$292,2,FALSE)</f>
        <v>0016100006766007</v>
      </c>
      <c r="C24" s="361" t="s">
        <v>845</v>
      </c>
      <c r="D24" s="169" t="s">
        <v>1147</v>
      </c>
      <c r="E24" s="263" t="s">
        <v>1433</v>
      </c>
      <c r="F24" s="169" t="s">
        <v>549</v>
      </c>
      <c r="G24" s="170"/>
      <c r="H24" s="170"/>
      <c r="I24" s="170" t="s">
        <v>284</v>
      </c>
      <c r="J24" s="169" t="s">
        <v>204</v>
      </c>
      <c r="K24" s="168" t="s">
        <v>1356</v>
      </c>
      <c r="L24" s="171" t="s">
        <v>155</v>
      </c>
      <c r="M24" s="171" t="s">
        <v>845</v>
      </c>
      <c r="N24" s="391" t="s">
        <v>39</v>
      </c>
      <c r="O24" s="172" t="s">
        <v>692</v>
      </c>
      <c r="P24" s="173">
        <v>8</v>
      </c>
      <c r="Q24" s="174">
        <v>4.9800000000000004</v>
      </c>
      <c r="R24" s="176">
        <f>T24+V24+X24</f>
        <v>0.45</v>
      </c>
      <c r="S24" s="370"/>
      <c r="T24" s="176">
        <f>ROUND(Q24*S24/100,4)</f>
        <v>0</v>
      </c>
      <c r="U24" s="175">
        <f>Q24*S24*$D$8/100</f>
        <v>0</v>
      </c>
      <c r="V24" s="170">
        <v>0.45</v>
      </c>
      <c r="W24" s="179">
        <f>VLOOKUP(D24,[3]BC!$D$14:$X$294,20,FALSE)</f>
        <v>0</v>
      </c>
      <c r="X24" s="216">
        <f>ROUND((Q24+T24+V24)*W24,4)</f>
        <v>0</v>
      </c>
      <c r="Y24" s="216">
        <f>ROUND(Q24+T24+V24+X24,4)</f>
        <v>5.43</v>
      </c>
      <c r="Z24" s="180">
        <f>ROUND(Y24*$D$8,0)</f>
        <v>8090700</v>
      </c>
      <c r="AA24" s="180"/>
      <c r="AB24" s="180">
        <f>Z24/24*AA24</f>
        <v>0</v>
      </c>
      <c r="AC24" s="180">
        <f>Z24/24*AA24*75%</f>
        <v>0</v>
      </c>
      <c r="AD24" s="180">
        <f>ROUND(Z24-AB24+AC24,0)</f>
        <v>8090700</v>
      </c>
      <c r="AE24" s="178">
        <f t="shared" si="5"/>
        <v>647256</v>
      </c>
      <c r="AF24" s="178">
        <f t="shared" si="6"/>
        <v>121360.5</v>
      </c>
      <c r="AG24" s="178">
        <f t="shared" si="7"/>
        <v>80907</v>
      </c>
      <c r="AH24" s="178"/>
      <c r="AI24" s="178">
        <f>SUM(AE24:AH24)</f>
        <v>849523.5</v>
      </c>
      <c r="AJ24" s="555"/>
      <c r="AK24" s="182">
        <f>AJ24*$D$8</f>
        <v>0</v>
      </c>
      <c r="AL24" s="182"/>
      <c r="AM24" s="182"/>
      <c r="AN24" s="183">
        <f t="shared" si="8"/>
        <v>5.4300000000000006</v>
      </c>
      <c r="AO24" s="179"/>
      <c r="AP24" s="185">
        <f>ROUND(AN24*AO24,4)</f>
        <v>0</v>
      </c>
      <c r="AQ24" s="178">
        <f>ROUND(AP24*$D$8,0)</f>
        <v>0</v>
      </c>
      <c r="AR24" s="178"/>
      <c r="AS24" s="178">
        <f t="shared" si="9"/>
        <v>7241177</v>
      </c>
      <c r="AT24" s="469" t="str">
        <f t="shared" si="10"/>
        <v>11</v>
      </c>
      <c r="AU24" s="186"/>
      <c r="AV24" s="187"/>
      <c r="AW24" s="552"/>
      <c r="AX24" s="552"/>
      <c r="AY24" s="552"/>
      <c r="AZ24" s="552"/>
      <c r="BA24" s="552"/>
      <c r="BB24" s="552"/>
      <c r="BC24" s="552"/>
      <c r="BD24" s="552"/>
      <c r="BE24" s="552"/>
      <c r="BF24" s="552"/>
    </row>
    <row r="25" spans="1:58" s="191" customFormat="1" ht="33.75" customHeight="1" x14ac:dyDescent="0.25">
      <c r="A25" s="168" t="s">
        <v>15</v>
      </c>
      <c r="B25" s="168" t="str">
        <f>VLOOKUP(D25,[1]LuongBC_T01!$B$9:$C$292,2,FALSE)</f>
        <v>0016100006660007</v>
      </c>
      <c r="C25" s="361" t="s">
        <v>844</v>
      </c>
      <c r="D25" s="169" t="s">
        <v>1146</v>
      </c>
      <c r="E25" s="263" t="s">
        <v>1396</v>
      </c>
      <c r="F25" s="169" t="s">
        <v>549</v>
      </c>
      <c r="G25" s="170"/>
      <c r="H25" s="170" t="s">
        <v>283</v>
      </c>
      <c r="I25" s="170" t="s">
        <v>281</v>
      </c>
      <c r="J25" s="169" t="s">
        <v>186</v>
      </c>
      <c r="K25" s="168" t="s">
        <v>1355</v>
      </c>
      <c r="L25" s="171" t="s">
        <v>73</v>
      </c>
      <c r="M25" s="171" t="s">
        <v>844</v>
      </c>
      <c r="N25" s="390" t="s">
        <v>1438</v>
      </c>
      <c r="O25" s="172" t="s">
        <v>692</v>
      </c>
      <c r="P25" s="173">
        <v>9</v>
      </c>
      <c r="Q25" s="174">
        <v>4.9800000000000004</v>
      </c>
      <c r="R25" s="176">
        <f t="shared" si="11"/>
        <v>2.8504</v>
      </c>
      <c r="S25" s="370">
        <v>13</v>
      </c>
      <c r="T25" s="176">
        <f t="shared" si="12"/>
        <v>0.64739999999999998</v>
      </c>
      <c r="U25" s="175">
        <f t="shared" si="0"/>
        <v>964626.00000000012</v>
      </c>
      <c r="V25" s="170">
        <v>0.35</v>
      </c>
      <c r="W25" s="179">
        <v>0.31</v>
      </c>
      <c r="X25" s="216">
        <f t="shared" si="13"/>
        <v>1.853</v>
      </c>
      <c r="Y25" s="216">
        <f t="shared" si="1"/>
        <v>7.8304</v>
      </c>
      <c r="Z25" s="180">
        <f t="shared" si="14"/>
        <v>11667296</v>
      </c>
      <c r="AA25" s="180"/>
      <c r="AB25" s="180">
        <f t="shared" si="2"/>
        <v>0</v>
      </c>
      <c r="AC25" s="180">
        <f t="shared" si="3"/>
        <v>0</v>
      </c>
      <c r="AD25" s="180">
        <f t="shared" si="4"/>
        <v>11667296</v>
      </c>
      <c r="AE25" s="178">
        <f t="shared" si="5"/>
        <v>933383.68000000005</v>
      </c>
      <c r="AF25" s="178">
        <f t="shared" si="6"/>
        <v>175009.44</v>
      </c>
      <c r="AG25" s="178">
        <f t="shared" si="7"/>
        <v>116672.96000000001</v>
      </c>
      <c r="AH25" s="178"/>
      <c r="AI25" s="178">
        <f t="shared" si="15"/>
        <v>1225066.08</v>
      </c>
      <c r="AJ25" s="192"/>
      <c r="AK25" s="182">
        <f>AJ25*$D$8</f>
        <v>0</v>
      </c>
      <c r="AL25" s="182"/>
      <c r="AM25" s="182"/>
      <c r="AN25" s="183">
        <f t="shared" si="8"/>
        <v>5.9774000000000003</v>
      </c>
      <c r="AO25" s="443">
        <v>0.25</v>
      </c>
      <c r="AP25" s="185">
        <f t="shared" si="17"/>
        <v>1.4944</v>
      </c>
      <c r="AQ25" s="178">
        <f t="shared" si="18"/>
        <v>2226656</v>
      </c>
      <c r="AR25" s="178"/>
      <c r="AS25" s="178">
        <f t="shared" si="9"/>
        <v>12668886</v>
      </c>
      <c r="AT25" s="469" t="str">
        <f t="shared" si="10"/>
        <v>12</v>
      </c>
      <c r="AU25" s="195"/>
      <c r="AV25" s="198" t="s">
        <v>285</v>
      </c>
    </row>
    <row r="26" spans="1:58" s="191" customFormat="1" ht="30.75" customHeight="1" x14ac:dyDescent="0.25">
      <c r="A26" s="168" t="s">
        <v>16</v>
      </c>
      <c r="B26" s="168" t="str">
        <f>VLOOKUP(D26,[1]LuongBC_T01!$B$9:$C$292,2,FALSE)</f>
        <v>0016100006537008</v>
      </c>
      <c r="C26" s="361" t="s">
        <v>836</v>
      </c>
      <c r="D26" s="169" t="s">
        <v>0</v>
      </c>
      <c r="E26" s="263" t="s">
        <v>1467</v>
      </c>
      <c r="F26" s="169" t="s">
        <v>550</v>
      </c>
      <c r="G26" s="170"/>
      <c r="H26" s="170"/>
      <c r="I26" s="170" t="s">
        <v>280</v>
      </c>
      <c r="J26" s="169" t="s">
        <v>179</v>
      </c>
      <c r="K26" s="170" t="str">
        <f>VLOOKUP(D26,[2]T3!$B$2:$D$328,3,FALSE)</f>
        <v>020505708</v>
      </c>
      <c r="L26" s="171" t="s">
        <v>149</v>
      </c>
      <c r="M26" s="171" t="s">
        <v>836</v>
      </c>
      <c r="N26" s="390" t="s">
        <v>1438</v>
      </c>
      <c r="O26" s="172" t="s">
        <v>692</v>
      </c>
      <c r="P26" s="173">
        <v>9</v>
      </c>
      <c r="Q26" s="174">
        <v>4.9800000000000004</v>
      </c>
      <c r="R26" s="176">
        <f>T26+V26+X26</f>
        <v>0.9476</v>
      </c>
      <c r="S26" s="370">
        <v>12</v>
      </c>
      <c r="T26" s="176">
        <f>ROUND(Q26*S26/100,4)</f>
        <v>0.59760000000000002</v>
      </c>
      <c r="U26" s="175">
        <f>Q26*S26*$D$8/100</f>
        <v>890424.00000000012</v>
      </c>
      <c r="V26" s="170">
        <v>0.35</v>
      </c>
      <c r="W26" s="179">
        <f>VLOOKUP(D26,[3]BC!$D$14:$X$294,20,FALSE)</f>
        <v>0</v>
      </c>
      <c r="X26" s="216">
        <f>ROUND((Q26+T26+V26)*W26,4)</f>
        <v>0</v>
      </c>
      <c r="Y26" s="216">
        <f>ROUND(Q26+T26+V26+X26,4)</f>
        <v>5.9276</v>
      </c>
      <c r="Z26" s="180">
        <f>ROUND(Y26*$D$8,0)</f>
        <v>8832124</v>
      </c>
      <c r="AA26" s="180"/>
      <c r="AB26" s="180">
        <f>Z26/24*AA26</f>
        <v>0</v>
      </c>
      <c r="AC26" s="180">
        <v>0</v>
      </c>
      <c r="AD26" s="180">
        <f>ROUND(Z26-AB26+AC26,0)</f>
        <v>8832124</v>
      </c>
      <c r="AE26" s="178">
        <f>Z26*8%</f>
        <v>706569.92</v>
      </c>
      <c r="AF26" s="178">
        <f>Z26*1.5%</f>
        <v>132481.85999999999</v>
      </c>
      <c r="AG26" s="178">
        <f>Z26*1%</f>
        <v>88321.24</v>
      </c>
      <c r="AH26" s="178"/>
      <c r="AI26" s="178">
        <f>SUM(AE26:AH26)</f>
        <v>927373.02</v>
      </c>
      <c r="AJ26" s="192"/>
      <c r="AK26" s="182">
        <f>AJ26*$D$8</f>
        <v>0</v>
      </c>
      <c r="AL26" s="182"/>
      <c r="AM26" s="182"/>
      <c r="AN26" s="183">
        <f>Q26+T26+V26</f>
        <v>5.9276</v>
      </c>
      <c r="AO26" s="179"/>
      <c r="AP26" s="185">
        <f>ROUND(AN26*AO26,4)</f>
        <v>0</v>
      </c>
      <c r="AQ26" s="178">
        <f>ROUND(AP26*$D$8,0)</f>
        <v>0</v>
      </c>
      <c r="AR26" s="178"/>
      <c r="AS26" s="178">
        <f>ROUND(AD26-AI26+AK26+AM26+AQ26,0)</f>
        <v>7904751</v>
      </c>
      <c r="AT26" s="469" t="str">
        <f>A26</f>
        <v>13</v>
      </c>
      <c r="AU26" s="195"/>
      <c r="AV26" s="187" t="s">
        <v>705</v>
      </c>
    </row>
    <row r="27" spans="1:58" s="189" customFormat="1" ht="45.75" customHeight="1" x14ac:dyDescent="0.25">
      <c r="A27" s="168" t="s">
        <v>17</v>
      </c>
      <c r="B27" s="168" t="str">
        <f>VLOOKUP(D27,[1]LuongBC_T01!$B$9:$C$292,2,FALSE)</f>
        <v>0016100006781009</v>
      </c>
      <c r="C27" s="361" t="s">
        <v>841</v>
      </c>
      <c r="D27" s="169" t="s">
        <v>1144</v>
      </c>
      <c r="E27" s="263" t="s">
        <v>1432</v>
      </c>
      <c r="F27" s="169" t="s">
        <v>549</v>
      </c>
      <c r="G27" s="170"/>
      <c r="H27" s="170"/>
      <c r="I27" s="170" t="s">
        <v>280</v>
      </c>
      <c r="J27" s="169" t="s">
        <v>183</v>
      </c>
      <c r="K27" s="170" t="str">
        <f>VLOOKUP(D27,[2]T3!$B$2:$D$328,3,FALSE)</f>
        <v>001062010054</v>
      </c>
      <c r="L27" s="171" t="s">
        <v>72</v>
      </c>
      <c r="M27" s="171" t="s">
        <v>841</v>
      </c>
      <c r="N27" s="390" t="s">
        <v>39</v>
      </c>
      <c r="O27" s="172" t="s">
        <v>692</v>
      </c>
      <c r="P27" s="173">
        <v>9</v>
      </c>
      <c r="Q27" s="174">
        <v>4.9800000000000004</v>
      </c>
      <c r="R27" s="176">
        <f>T27+V27+X27</f>
        <v>0.79820000000000002</v>
      </c>
      <c r="S27" s="370">
        <v>9</v>
      </c>
      <c r="T27" s="176">
        <f>ROUND(Q27*S27/100,4)</f>
        <v>0.44819999999999999</v>
      </c>
      <c r="U27" s="175">
        <f>Q27*S27*$D$8/100</f>
        <v>667818.00000000012</v>
      </c>
      <c r="V27" s="177">
        <v>0.35</v>
      </c>
      <c r="W27" s="179">
        <f>VLOOKUP(D27,[3]BC!$D$14:$X$294,20,FALSE)</f>
        <v>0</v>
      </c>
      <c r="X27" s="216">
        <f>ROUND((Q27+T27+V27)*W27,4)</f>
        <v>0</v>
      </c>
      <c r="Y27" s="216">
        <f>ROUND(Q27+T27+V27+X27,4)</f>
        <v>5.7782</v>
      </c>
      <c r="Z27" s="180">
        <f>ROUND(Y27*$D$8,0)</f>
        <v>8609518</v>
      </c>
      <c r="AA27" s="180"/>
      <c r="AB27" s="180">
        <f>Z27/24*AA27</f>
        <v>0</v>
      </c>
      <c r="AC27" s="180">
        <v>0</v>
      </c>
      <c r="AD27" s="180">
        <f>ROUND(Z27-AB27+AC27,0)</f>
        <v>8609518</v>
      </c>
      <c r="AE27" s="178">
        <f>Z27*8%</f>
        <v>688761.44000000006</v>
      </c>
      <c r="AF27" s="178">
        <f>Z27*1.5%</f>
        <v>129142.76999999999</v>
      </c>
      <c r="AG27" s="178">
        <f>Z27*1%</f>
        <v>86095.180000000008</v>
      </c>
      <c r="AH27" s="178"/>
      <c r="AI27" s="178">
        <f>SUM(AE27:AH27)</f>
        <v>903999.39000000013</v>
      </c>
      <c r="AJ27" s="181"/>
      <c r="AK27" s="182">
        <f>AJ27*$D$8</f>
        <v>0</v>
      </c>
      <c r="AL27" s="182"/>
      <c r="AM27" s="182"/>
      <c r="AN27" s="183">
        <f>Q27+T27+V27</f>
        <v>5.7782</v>
      </c>
      <c r="AO27" s="184"/>
      <c r="AP27" s="185">
        <f>ROUND(AN27*AO27,4)</f>
        <v>0</v>
      </c>
      <c r="AQ27" s="178">
        <f>ROUND(AP27*$D$8,0)</f>
        <v>0</v>
      </c>
      <c r="AR27" s="178"/>
      <c r="AS27" s="178">
        <f>ROUND(AD27-AI27+AK27+AM27+AQ27,0)</f>
        <v>7705519</v>
      </c>
      <c r="AT27" s="469" t="str">
        <f>A27</f>
        <v>14</v>
      </c>
      <c r="AU27" s="447"/>
      <c r="AV27" s="198" t="s">
        <v>712</v>
      </c>
      <c r="AW27" s="29"/>
      <c r="AX27" s="29"/>
      <c r="AY27" s="29"/>
      <c r="AZ27" s="29"/>
      <c r="BA27" s="29"/>
      <c r="BB27" s="29"/>
      <c r="BC27" s="29"/>
      <c r="BD27" s="29"/>
      <c r="BE27" s="29"/>
      <c r="BF27" s="29"/>
    </row>
    <row r="28" spans="1:58" s="191" customFormat="1" ht="33" customHeight="1" x14ac:dyDescent="0.25">
      <c r="A28" s="168" t="s">
        <v>18</v>
      </c>
      <c r="B28" s="168" t="str">
        <f>VLOOKUP(D28,[1]LuongBC_T01!$B$9:$C$292,2,FALSE)</f>
        <v>0016100006495006</v>
      </c>
      <c r="C28" s="361" t="s">
        <v>847</v>
      </c>
      <c r="D28" s="169" t="s">
        <v>1148</v>
      </c>
      <c r="E28" s="263" t="s">
        <v>1247</v>
      </c>
      <c r="F28" s="169" t="s">
        <v>549</v>
      </c>
      <c r="G28" s="170"/>
      <c r="H28" s="170"/>
      <c r="I28" s="170" t="s">
        <v>283</v>
      </c>
      <c r="J28" s="169" t="s">
        <v>225</v>
      </c>
      <c r="K28" s="170" t="str">
        <f>VLOOKUP(D28,[2]T3!$B$2:$D$328,3,FALSE)</f>
        <v>079074000549</v>
      </c>
      <c r="L28" s="171" t="s">
        <v>91</v>
      </c>
      <c r="M28" s="171" t="s">
        <v>847</v>
      </c>
      <c r="N28" s="390" t="s">
        <v>1438</v>
      </c>
      <c r="O28" s="172" t="s">
        <v>692</v>
      </c>
      <c r="P28" s="173">
        <v>8</v>
      </c>
      <c r="Q28" s="174">
        <v>4.9800000000000004</v>
      </c>
      <c r="R28" s="176">
        <f t="shared" si="11"/>
        <v>1.3094000000000001</v>
      </c>
      <c r="S28" s="370"/>
      <c r="T28" s="176">
        <f t="shared" si="12"/>
        <v>0</v>
      </c>
      <c r="U28" s="175">
        <f t="shared" si="0"/>
        <v>0</v>
      </c>
      <c r="V28" s="170">
        <v>0.35</v>
      </c>
      <c r="W28" s="179">
        <f>VLOOKUP(D28,[3]BC!$D$14:$X$294,20,FALSE)</f>
        <v>0.18</v>
      </c>
      <c r="X28" s="216">
        <f t="shared" si="13"/>
        <v>0.95940000000000003</v>
      </c>
      <c r="Y28" s="216">
        <f t="shared" si="1"/>
        <v>6.2893999999999997</v>
      </c>
      <c r="Z28" s="180">
        <f t="shared" si="14"/>
        <v>9371206</v>
      </c>
      <c r="AA28" s="180"/>
      <c r="AB28" s="180">
        <f t="shared" si="2"/>
        <v>0</v>
      </c>
      <c r="AC28" s="180">
        <f t="shared" si="3"/>
        <v>0</v>
      </c>
      <c r="AD28" s="180">
        <f t="shared" si="4"/>
        <v>9371206</v>
      </c>
      <c r="AE28" s="178">
        <f t="shared" si="5"/>
        <v>749696.48</v>
      </c>
      <c r="AF28" s="178">
        <f t="shared" si="6"/>
        <v>140568.09</v>
      </c>
      <c r="AG28" s="178">
        <f t="shared" si="7"/>
        <v>93712.06</v>
      </c>
      <c r="AH28" s="178"/>
      <c r="AI28" s="178">
        <f t="shared" si="15"/>
        <v>983976.62999999989</v>
      </c>
      <c r="AJ28" s="192"/>
      <c r="AK28" s="182">
        <f t="shared" si="16"/>
        <v>0</v>
      </c>
      <c r="AL28" s="182"/>
      <c r="AM28" s="182"/>
      <c r="AN28" s="183">
        <f t="shared" si="8"/>
        <v>5.33</v>
      </c>
      <c r="AO28" s="443">
        <v>0.25</v>
      </c>
      <c r="AP28" s="185">
        <f t="shared" si="17"/>
        <v>1.3325</v>
      </c>
      <c r="AQ28" s="178">
        <f t="shared" si="18"/>
        <v>1985425</v>
      </c>
      <c r="AR28" s="178"/>
      <c r="AS28" s="178">
        <f t="shared" si="9"/>
        <v>10372654</v>
      </c>
      <c r="AT28" s="469" t="str">
        <f t="shared" si="10"/>
        <v>15</v>
      </c>
      <c r="AU28" s="195"/>
      <c r="AV28" s="218" t="s">
        <v>730</v>
      </c>
      <c r="AW28" s="552"/>
      <c r="AX28" s="552"/>
      <c r="AY28" s="552"/>
      <c r="AZ28" s="552"/>
      <c r="BA28" s="552"/>
      <c r="BB28" s="552"/>
      <c r="BC28" s="552"/>
      <c r="BD28" s="552"/>
      <c r="BE28" s="552"/>
      <c r="BF28" s="552"/>
    </row>
    <row r="29" spans="1:58" s="189" customFormat="1" ht="39" customHeight="1" x14ac:dyDescent="0.25">
      <c r="A29" s="168" t="s">
        <v>19</v>
      </c>
      <c r="B29" s="168" t="str">
        <f>VLOOKUP(D29,[1]LuongBC_T01!$B$9:$C$292,2,FALSE)</f>
        <v>0016100006538007</v>
      </c>
      <c r="C29" s="361" t="s">
        <v>846</v>
      </c>
      <c r="D29" s="169" t="s">
        <v>46</v>
      </c>
      <c r="E29" s="263" t="s">
        <v>1426</v>
      </c>
      <c r="F29" s="169" t="s">
        <v>550</v>
      </c>
      <c r="G29" s="170"/>
      <c r="H29" s="170"/>
      <c r="I29" s="170" t="s">
        <v>281</v>
      </c>
      <c r="J29" s="169" t="s">
        <v>187</v>
      </c>
      <c r="K29" s="170" t="str">
        <f>VLOOKUP(D29,[2]T3!$B$2:$D$328,3,FALSE)</f>
        <v>022764854</v>
      </c>
      <c r="L29" s="171" t="s">
        <v>150</v>
      </c>
      <c r="M29" s="171" t="s">
        <v>846</v>
      </c>
      <c r="N29" s="390" t="s">
        <v>1438</v>
      </c>
      <c r="O29" s="172" t="s">
        <v>692</v>
      </c>
      <c r="P29" s="173">
        <v>8</v>
      </c>
      <c r="Q29" s="174">
        <v>4.9800000000000004</v>
      </c>
      <c r="R29" s="176">
        <f t="shared" si="11"/>
        <v>1.536</v>
      </c>
      <c r="S29" s="370"/>
      <c r="T29" s="176">
        <f t="shared" si="12"/>
        <v>0</v>
      </c>
      <c r="U29" s="175">
        <f t="shared" si="0"/>
        <v>0</v>
      </c>
      <c r="V29" s="170">
        <v>0.45</v>
      </c>
      <c r="W29" s="179">
        <f>VLOOKUP(D29,[3]BC!$D$14:$X$294,20,FALSE)</f>
        <v>0.2</v>
      </c>
      <c r="X29" s="216">
        <f t="shared" si="13"/>
        <v>1.0860000000000001</v>
      </c>
      <c r="Y29" s="216">
        <f t="shared" si="1"/>
        <v>6.516</v>
      </c>
      <c r="Z29" s="180">
        <f t="shared" si="14"/>
        <v>9708840</v>
      </c>
      <c r="AA29" s="180"/>
      <c r="AB29" s="180">
        <f t="shared" si="2"/>
        <v>0</v>
      </c>
      <c r="AC29" s="180">
        <f t="shared" si="3"/>
        <v>0</v>
      </c>
      <c r="AD29" s="180">
        <f t="shared" si="4"/>
        <v>9708840</v>
      </c>
      <c r="AE29" s="178">
        <f t="shared" si="5"/>
        <v>776707.20000000007</v>
      </c>
      <c r="AF29" s="178">
        <f t="shared" si="6"/>
        <v>145632.6</v>
      </c>
      <c r="AG29" s="178">
        <f t="shared" si="7"/>
        <v>97088.400000000009</v>
      </c>
      <c r="AH29" s="178"/>
      <c r="AI29" s="178">
        <f t="shared" si="15"/>
        <v>1019428.2000000001</v>
      </c>
      <c r="AJ29" s="192"/>
      <c r="AK29" s="182">
        <f t="shared" si="16"/>
        <v>0</v>
      </c>
      <c r="AL29" s="182"/>
      <c r="AM29" s="182"/>
      <c r="AN29" s="193">
        <f t="shared" si="8"/>
        <v>5.4300000000000006</v>
      </c>
      <c r="AO29" s="246">
        <v>0.25</v>
      </c>
      <c r="AP29" s="185">
        <f t="shared" si="17"/>
        <v>1.3574999999999999</v>
      </c>
      <c r="AQ29" s="178">
        <f t="shared" si="18"/>
        <v>2022675</v>
      </c>
      <c r="AR29" s="178"/>
      <c r="AS29" s="178">
        <f t="shared" si="9"/>
        <v>10712087</v>
      </c>
      <c r="AT29" s="469" t="str">
        <f t="shared" si="10"/>
        <v>16</v>
      </c>
      <c r="AU29" s="195"/>
      <c r="AV29" s="196" t="s">
        <v>705</v>
      </c>
      <c r="AW29" s="29"/>
      <c r="AX29" s="29"/>
      <c r="AY29" s="29"/>
      <c r="AZ29" s="29"/>
      <c r="BA29" s="29"/>
      <c r="BB29" s="29"/>
      <c r="BC29" s="29"/>
      <c r="BD29" s="29"/>
      <c r="BE29" s="29"/>
      <c r="BF29" s="29"/>
    </row>
    <row r="30" spans="1:58" s="191" customFormat="1" ht="41.25" customHeight="1" x14ac:dyDescent="0.25">
      <c r="A30" s="168" t="s">
        <v>20</v>
      </c>
      <c r="B30" s="168" t="str">
        <f>VLOOKUP(D30,[1]LuongBC_T01!$B$9:$C$292,2,FALSE)</f>
        <v>0016100006783001</v>
      </c>
      <c r="C30" s="361" t="s">
        <v>872</v>
      </c>
      <c r="D30" s="169" t="s">
        <v>1173</v>
      </c>
      <c r="E30" s="263" t="s">
        <v>1434</v>
      </c>
      <c r="F30" s="169" t="s">
        <v>549</v>
      </c>
      <c r="G30" s="170"/>
      <c r="H30" s="170"/>
      <c r="I30" s="170" t="s">
        <v>283</v>
      </c>
      <c r="J30" s="169" t="s">
        <v>210</v>
      </c>
      <c r="K30" s="170" t="str">
        <f>VLOOKUP(D30,[2]T3!$B$2:$D$328,3,FALSE)</f>
        <v>022776286</v>
      </c>
      <c r="L30" s="171" t="s">
        <v>92</v>
      </c>
      <c r="M30" s="171" t="s">
        <v>872</v>
      </c>
      <c r="N30" s="390" t="s">
        <v>1438</v>
      </c>
      <c r="O30" s="172" t="s">
        <v>692</v>
      </c>
      <c r="P30" s="173">
        <v>8</v>
      </c>
      <c r="Q30" s="174">
        <v>4.9800000000000004</v>
      </c>
      <c r="R30" s="176">
        <f>T30+V30+X30</f>
        <v>1.4159999999999999</v>
      </c>
      <c r="S30" s="370"/>
      <c r="T30" s="176">
        <f>ROUND(Q30*S30/100,4)</f>
        <v>0</v>
      </c>
      <c r="U30" s="175">
        <f>Q30*S30*$D$8/100</f>
        <v>0</v>
      </c>
      <c r="V30" s="170">
        <v>0.35</v>
      </c>
      <c r="W30" s="179">
        <f>VLOOKUP(D30,[3]BC!$D$14:$X$294,20,FALSE)</f>
        <v>0.2</v>
      </c>
      <c r="X30" s="216">
        <f>ROUND((Q30+T30+V30)*W30,4)</f>
        <v>1.0660000000000001</v>
      </c>
      <c r="Y30" s="216">
        <f>ROUND(Q30+T30+V30+X30,4)</f>
        <v>6.3959999999999999</v>
      </c>
      <c r="Z30" s="180">
        <f t="shared" si="14"/>
        <v>9530040</v>
      </c>
      <c r="AA30" s="180"/>
      <c r="AB30" s="180">
        <f>Z30/24*AA30</f>
        <v>0</v>
      </c>
      <c r="AC30" s="180">
        <f>Z30/24*AA30*75%</f>
        <v>0</v>
      </c>
      <c r="AD30" s="180">
        <f>ROUND(Z30-AB30+AC30,0)</f>
        <v>9530040</v>
      </c>
      <c r="AE30" s="178">
        <f t="shared" si="5"/>
        <v>762403.20000000007</v>
      </c>
      <c r="AF30" s="178">
        <f t="shared" si="6"/>
        <v>142950.6</v>
      </c>
      <c r="AG30" s="178">
        <f t="shared" si="7"/>
        <v>95300.400000000009</v>
      </c>
      <c r="AH30" s="178"/>
      <c r="AI30" s="178">
        <f>SUM(AE30:AH30)</f>
        <v>1000654.2000000001</v>
      </c>
      <c r="AJ30" s="192"/>
      <c r="AK30" s="182">
        <f>AJ30*$D$8</f>
        <v>0</v>
      </c>
      <c r="AL30" s="182"/>
      <c r="AM30" s="182"/>
      <c r="AN30" s="183">
        <f t="shared" si="8"/>
        <v>5.33</v>
      </c>
      <c r="AO30" s="443">
        <v>0.25</v>
      </c>
      <c r="AP30" s="185">
        <f>ROUND(AN30*AO30,4)</f>
        <v>1.3325</v>
      </c>
      <c r="AQ30" s="178">
        <f t="shared" si="18"/>
        <v>1985425</v>
      </c>
      <c r="AR30" s="178"/>
      <c r="AS30" s="178">
        <f t="shared" si="9"/>
        <v>10514811</v>
      </c>
      <c r="AT30" s="469" t="str">
        <f t="shared" si="10"/>
        <v>17</v>
      </c>
      <c r="AU30" s="195"/>
      <c r="AV30" s="244" t="s">
        <v>729</v>
      </c>
      <c r="AW30" s="552"/>
      <c r="AX30" s="552"/>
      <c r="AY30" s="552"/>
      <c r="AZ30" s="552"/>
      <c r="BA30" s="552"/>
      <c r="BB30" s="552"/>
      <c r="BC30" s="552"/>
      <c r="BD30" s="552"/>
      <c r="BE30" s="552"/>
      <c r="BF30" s="552"/>
    </row>
    <row r="31" spans="1:58" s="189" customFormat="1" ht="34.5" customHeight="1" x14ac:dyDescent="0.25">
      <c r="A31" s="168" t="s">
        <v>21</v>
      </c>
      <c r="B31" s="168" t="str">
        <f>VLOOKUP(D31,[1]LuongBC_T01!$B$9:$C$292,2,FALSE)</f>
        <v>0016100006617004</v>
      </c>
      <c r="C31" s="361" t="s">
        <v>853</v>
      </c>
      <c r="D31" s="169" t="s">
        <v>1154</v>
      </c>
      <c r="E31" s="263" t="s">
        <v>1396</v>
      </c>
      <c r="F31" s="169" t="s">
        <v>550</v>
      </c>
      <c r="G31" s="170"/>
      <c r="H31" s="170" t="s">
        <v>283</v>
      </c>
      <c r="I31" s="170" t="s">
        <v>282</v>
      </c>
      <c r="J31" s="169" t="s">
        <v>193</v>
      </c>
      <c r="K31" s="170" t="str">
        <f>VLOOKUP(D31,[2]T3!$B$2:$D$328,3,FALSE)</f>
        <v>023230246</v>
      </c>
      <c r="L31" s="171" t="s">
        <v>77</v>
      </c>
      <c r="M31" s="171" t="s">
        <v>853</v>
      </c>
      <c r="N31" s="390" t="s">
        <v>1438</v>
      </c>
      <c r="O31" s="172" t="s">
        <v>692</v>
      </c>
      <c r="P31" s="173">
        <v>9</v>
      </c>
      <c r="Q31" s="174">
        <v>4.9800000000000004</v>
      </c>
      <c r="R31" s="176">
        <f>T31+V31+X31</f>
        <v>1.8264</v>
      </c>
      <c r="S31" s="370">
        <v>5</v>
      </c>
      <c r="T31" s="176">
        <f>ROUND(Q31*S31/100,4)</f>
        <v>0.249</v>
      </c>
      <c r="U31" s="175">
        <f>Q31*S31*$D$8/100</f>
        <v>371010</v>
      </c>
      <c r="V31" s="170">
        <v>0.35</v>
      </c>
      <c r="W31" s="179">
        <f>VLOOKUP(D31,[3]BC!$D$14:$X$294,20,FALSE)</f>
        <v>0.22</v>
      </c>
      <c r="X31" s="216">
        <f>ROUND((Q31+T31+V31)*W31,4)</f>
        <v>1.2274</v>
      </c>
      <c r="Y31" s="216">
        <f>ROUND(Q31+T31+V31+X31,4)</f>
        <v>6.8064</v>
      </c>
      <c r="Z31" s="180">
        <f t="shared" si="14"/>
        <v>10141536</v>
      </c>
      <c r="AA31" s="180"/>
      <c r="AB31" s="180">
        <f>Z31/24*AA31</f>
        <v>0</v>
      </c>
      <c r="AC31" s="180">
        <f>Z31/24*AA31*75%</f>
        <v>0</v>
      </c>
      <c r="AD31" s="180">
        <f>ROUND(Z31-AB31+AC31,0)</f>
        <v>10141536</v>
      </c>
      <c r="AE31" s="178">
        <f t="shared" si="5"/>
        <v>811322.88</v>
      </c>
      <c r="AF31" s="178">
        <f t="shared" si="6"/>
        <v>152123.04</v>
      </c>
      <c r="AG31" s="178">
        <f t="shared" si="7"/>
        <v>101415.36</v>
      </c>
      <c r="AH31" s="178"/>
      <c r="AI31" s="178">
        <f>SUM(AE31:AH31)</f>
        <v>1064861.28</v>
      </c>
      <c r="AJ31" s="192"/>
      <c r="AK31" s="182">
        <f>AJ31*$D$8</f>
        <v>0</v>
      </c>
      <c r="AL31" s="182"/>
      <c r="AM31" s="182"/>
      <c r="AN31" s="183">
        <f t="shared" si="8"/>
        <v>5.5789999999999997</v>
      </c>
      <c r="AO31" s="443">
        <v>0.25</v>
      </c>
      <c r="AP31" s="185">
        <f>ROUND(AN31*AO31,4)</f>
        <v>1.3948</v>
      </c>
      <c r="AQ31" s="178">
        <f t="shared" si="18"/>
        <v>2078252</v>
      </c>
      <c r="AR31" s="178"/>
      <c r="AS31" s="178">
        <f t="shared" si="9"/>
        <v>11154927</v>
      </c>
      <c r="AT31" s="469" t="str">
        <f t="shared" si="10"/>
        <v>18</v>
      </c>
      <c r="AU31" s="195"/>
      <c r="AV31" s="198" t="s">
        <v>704</v>
      </c>
      <c r="AW31" s="29"/>
      <c r="AX31" s="29"/>
      <c r="AY31" s="29"/>
      <c r="AZ31" s="29"/>
      <c r="BA31" s="29"/>
      <c r="BB31" s="29"/>
      <c r="BC31" s="29"/>
      <c r="BD31" s="29"/>
      <c r="BE31" s="29"/>
      <c r="BF31" s="29"/>
    </row>
    <row r="32" spans="1:58" s="191" customFormat="1" ht="30.75" customHeight="1" x14ac:dyDescent="0.25">
      <c r="A32" s="168" t="s">
        <v>34</v>
      </c>
      <c r="B32" s="168" t="str">
        <f>VLOOKUP(D32,[1]LuongBC_T01!$B$9:$C$292,2,FALSE)</f>
        <v>0016100006810009</v>
      </c>
      <c r="C32" s="361" t="s">
        <v>855</v>
      </c>
      <c r="D32" s="169" t="s">
        <v>1157</v>
      </c>
      <c r="E32" s="263" t="s">
        <v>1287</v>
      </c>
      <c r="F32" s="169" t="s">
        <v>550</v>
      </c>
      <c r="G32" s="170" t="s">
        <v>25</v>
      </c>
      <c r="H32" s="170" t="s">
        <v>283</v>
      </c>
      <c r="I32" s="170" t="s">
        <v>282</v>
      </c>
      <c r="J32" s="169" t="s">
        <v>198</v>
      </c>
      <c r="K32" s="170" t="str">
        <f>VLOOKUP(D32,[2]T3!$B$2:$D$328,3,FALSE)</f>
        <v>040176000521</v>
      </c>
      <c r="L32" s="171" t="s">
        <v>166</v>
      </c>
      <c r="M32" s="171" t="s">
        <v>855</v>
      </c>
      <c r="N32" s="390" t="s">
        <v>807</v>
      </c>
      <c r="O32" s="172" t="s">
        <v>692</v>
      </c>
      <c r="P32" s="173">
        <v>6</v>
      </c>
      <c r="Q32" s="174">
        <v>4.6500000000000004</v>
      </c>
      <c r="R32" s="176">
        <f>T32+V32+X32</f>
        <v>1.25</v>
      </c>
      <c r="S32" s="370"/>
      <c r="T32" s="176">
        <f>ROUND(Q32*S32/100,4)</f>
        <v>0</v>
      </c>
      <c r="U32" s="175">
        <f>Q32*S32*$D$8/100</f>
        <v>0</v>
      </c>
      <c r="V32" s="177">
        <v>0.35</v>
      </c>
      <c r="W32" s="179">
        <v>0.18</v>
      </c>
      <c r="X32" s="216">
        <f>ROUND((Q32+T32+V32)*W32,4)</f>
        <v>0.9</v>
      </c>
      <c r="Y32" s="216">
        <f>ROUND(Q32+T32+V32+X32,4)</f>
        <v>5.9</v>
      </c>
      <c r="Z32" s="180">
        <f t="shared" si="14"/>
        <v>8791000</v>
      </c>
      <c r="AA32" s="180"/>
      <c r="AB32" s="180">
        <f>Z32/24*AA32</f>
        <v>0</v>
      </c>
      <c r="AC32" s="180">
        <v>0</v>
      </c>
      <c r="AD32" s="180">
        <f>ROUND(Z32-AB32+AC32,0)</f>
        <v>8791000</v>
      </c>
      <c r="AE32" s="178">
        <f t="shared" si="5"/>
        <v>703280</v>
      </c>
      <c r="AF32" s="178">
        <f t="shared" si="6"/>
        <v>131865</v>
      </c>
      <c r="AG32" s="178">
        <f t="shared" si="7"/>
        <v>87910</v>
      </c>
      <c r="AH32" s="178"/>
      <c r="AI32" s="178">
        <f>SUM(AE32:AH32)</f>
        <v>923055</v>
      </c>
      <c r="AJ32" s="192"/>
      <c r="AK32" s="182">
        <f>AJ32*$D$8</f>
        <v>0</v>
      </c>
      <c r="AL32" s="182"/>
      <c r="AM32" s="182"/>
      <c r="AN32" s="183">
        <f t="shared" si="8"/>
        <v>5</v>
      </c>
      <c r="AO32" s="443">
        <v>0.25</v>
      </c>
      <c r="AP32" s="185">
        <f>ROUND(AN32*AO32,4)</f>
        <v>1.25</v>
      </c>
      <c r="AQ32" s="178">
        <f t="shared" si="18"/>
        <v>1862500</v>
      </c>
      <c r="AR32" s="178"/>
      <c r="AS32" s="178">
        <f t="shared" si="9"/>
        <v>9730445</v>
      </c>
      <c r="AT32" s="469" t="str">
        <f t="shared" si="10"/>
        <v>19</v>
      </c>
      <c r="AU32" s="195"/>
      <c r="AV32" s="198" t="s">
        <v>710</v>
      </c>
    </row>
    <row r="33" spans="1:58" s="189" customFormat="1" ht="27.75" customHeight="1" x14ac:dyDescent="0.25">
      <c r="A33" s="168" t="s">
        <v>35</v>
      </c>
      <c r="B33" s="168" t="str">
        <f>VLOOKUP(D33,[1]LuongBC_T01!$B$9:$C$292,2,FALSE)</f>
        <v>0016100006509007</v>
      </c>
      <c r="C33" s="361" t="s">
        <v>848</v>
      </c>
      <c r="D33" s="169" t="s">
        <v>1149</v>
      </c>
      <c r="E33" s="263" t="s">
        <v>1248</v>
      </c>
      <c r="F33" s="169" t="s">
        <v>549</v>
      </c>
      <c r="G33" s="170"/>
      <c r="H33" s="170" t="s">
        <v>283</v>
      </c>
      <c r="I33" s="170" t="s">
        <v>281</v>
      </c>
      <c r="J33" s="169" t="s">
        <v>189</v>
      </c>
      <c r="K33" s="170" t="str">
        <f>VLOOKUP(D33,[2]T3!$B$2:$D$328,3,FALSE)</f>
        <v>020634880</v>
      </c>
      <c r="L33" s="171" t="s">
        <v>136</v>
      </c>
      <c r="M33" s="171" t="s">
        <v>848</v>
      </c>
      <c r="N33" s="390" t="s">
        <v>1438</v>
      </c>
      <c r="O33" s="172" t="s">
        <v>692</v>
      </c>
      <c r="P33" s="173">
        <v>6</v>
      </c>
      <c r="Q33" s="174">
        <v>4.32</v>
      </c>
      <c r="R33" s="176">
        <f t="shared" si="11"/>
        <v>1.1905999999999999</v>
      </c>
      <c r="S33" s="370"/>
      <c r="T33" s="176">
        <f t="shared" si="12"/>
        <v>0</v>
      </c>
      <c r="U33" s="175">
        <f t="shared" si="0"/>
        <v>0</v>
      </c>
      <c r="V33" s="170">
        <v>0.35</v>
      </c>
      <c r="W33" s="179">
        <v>0.18</v>
      </c>
      <c r="X33" s="216">
        <f t="shared" si="13"/>
        <v>0.84060000000000001</v>
      </c>
      <c r="Y33" s="216">
        <f t="shared" si="1"/>
        <v>5.5106000000000002</v>
      </c>
      <c r="Z33" s="180">
        <f t="shared" si="14"/>
        <v>8210794</v>
      </c>
      <c r="AA33" s="180"/>
      <c r="AB33" s="180">
        <f t="shared" si="2"/>
        <v>0</v>
      </c>
      <c r="AC33" s="180">
        <f t="shared" si="3"/>
        <v>0</v>
      </c>
      <c r="AD33" s="180">
        <f t="shared" si="4"/>
        <v>8210794</v>
      </c>
      <c r="AE33" s="178">
        <f t="shared" si="5"/>
        <v>656863.52</v>
      </c>
      <c r="AF33" s="178">
        <f t="shared" si="6"/>
        <v>123161.90999999999</v>
      </c>
      <c r="AG33" s="178">
        <f t="shared" si="7"/>
        <v>82107.94</v>
      </c>
      <c r="AH33" s="178"/>
      <c r="AI33" s="178">
        <f t="shared" si="15"/>
        <v>862133.37000000011</v>
      </c>
      <c r="AJ33" s="192"/>
      <c r="AK33" s="182">
        <f t="shared" si="16"/>
        <v>0</v>
      </c>
      <c r="AL33" s="182"/>
      <c r="AM33" s="182"/>
      <c r="AN33" s="183">
        <f t="shared" si="8"/>
        <v>4.67</v>
      </c>
      <c r="AO33" s="443">
        <v>0.25</v>
      </c>
      <c r="AP33" s="185">
        <f t="shared" si="17"/>
        <v>1.1675</v>
      </c>
      <c r="AQ33" s="178">
        <f t="shared" si="18"/>
        <v>1739575</v>
      </c>
      <c r="AR33" s="178"/>
      <c r="AS33" s="178">
        <f t="shared" si="9"/>
        <v>9088236</v>
      </c>
      <c r="AT33" s="469" t="str">
        <f t="shared" si="10"/>
        <v>20</v>
      </c>
      <c r="AU33" s="186"/>
      <c r="AV33" s="198" t="s">
        <v>711</v>
      </c>
    </row>
    <row r="34" spans="1:58" s="189" customFormat="1" ht="26.25" customHeight="1" x14ac:dyDescent="0.25">
      <c r="A34" s="168" t="s">
        <v>36</v>
      </c>
      <c r="B34" s="168" t="str">
        <f>VLOOKUP(D34,[1]LuongBC_T01!$B$9:$C$292,2,FALSE)</f>
        <v>0016100006694009</v>
      </c>
      <c r="C34" s="361" t="s">
        <v>850</v>
      </c>
      <c r="D34" s="169" t="s">
        <v>1150</v>
      </c>
      <c r="E34" s="263" t="s">
        <v>1469</v>
      </c>
      <c r="F34" s="169" t="s">
        <v>549</v>
      </c>
      <c r="G34" s="170"/>
      <c r="H34" s="170" t="s">
        <v>283</v>
      </c>
      <c r="I34" s="170" t="s">
        <v>281</v>
      </c>
      <c r="J34" s="169" t="s">
        <v>192</v>
      </c>
      <c r="K34" s="170" t="str">
        <f>VLOOKUP(D34,[2]T3!$B$2:$D$328,3,FALSE)</f>
        <v>079079003245</v>
      </c>
      <c r="L34" s="171" t="s">
        <v>83</v>
      </c>
      <c r="M34" s="171" t="s">
        <v>850</v>
      </c>
      <c r="N34" s="390" t="s">
        <v>1438</v>
      </c>
      <c r="O34" s="172" t="s">
        <v>692</v>
      </c>
      <c r="P34" s="173">
        <v>6</v>
      </c>
      <c r="Q34" s="174">
        <v>4.32</v>
      </c>
      <c r="R34" s="176">
        <f t="shared" si="11"/>
        <v>1.1438999999999999</v>
      </c>
      <c r="S34" s="370"/>
      <c r="T34" s="176">
        <f t="shared" si="12"/>
        <v>0</v>
      </c>
      <c r="U34" s="175">
        <f t="shared" si="0"/>
        <v>0</v>
      </c>
      <c r="V34" s="170">
        <v>0.35</v>
      </c>
      <c r="W34" s="179">
        <v>0.17</v>
      </c>
      <c r="X34" s="216">
        <f t="shared" si="13"/>
        <v>0.79390000000000005</v>
      </c>
      <c r="Y34" s="216">
        <f t="shared" si="1"/>
        <v>5.4638999999999998</v>
      </c>
      <c r="Z34" s="180">
        <f t="shared" si="14"/>
        <v>8141211</v>
      </c>
      <c r="AA34" s="180"/>
      <c r="AB34" s="180">
        <f t="shared" si="2"/>
        <v>0</v>
      </c>
      <c r="AC34" s="180">
        <f t="shared" si="3"/>
        <v>0</v>
      </c>
      <c r="AD34" s="180">
        <f t="shared" si="4"/>
        <v>8141211</v>
      </c>
      <c r="AE34" s="178">
        <f t="shared" si="5"/>
        <v>651296.88</v>
      </c>
      <c r="AF34" s="178">
        <f t="shared" si="6"/>
        <v>122118.16499999999</v>
      </c>
      <c r="AG34" s="178">
        <f t="shared" si="7"/>
        <v>81412.11</v>
      </c>
      <c r="AH34" s="178"/>
      <c r="AI34" s="178">
        <f t="shared" si="15"/>
        <v>854827.15500000003</v>
      </c>
      <c r="AJ34" s="192"/>
      <c r="AK34" s="182">
        <f t="shared" si="16"/>
        <v>0</v>
      </c>
      <c r="AL34" s="182"/>
      <c r="AM34" s="182"/>
      <c r="AN34" s="183">
        <f t="shared" si="8"/>
        <v>4.67</v>
      </c>
      <c r="AO34" s="443">
        <v>0.25</v>
      </c>
      <c r="AP34" s="185">
        <f t="shared" si="17"/>
        <v>1.1675</v>
      </c>
      <c r="AQ34" s="178">
        <f t="shared" si="18"/>
        <v>1739575</v>
      </c>
      <c r="AR34" s="178"/>
      <c r="AS34" s="178">
        <f t="shared" si="9"/>
        <v>9025959</v>
      </c>
      <c r="AT34" s="469" t="str">
        <f t="shared" si="10"/>
        <v>21</v>
      </c>
      <c r="AU34" s="186"/>
      <c r="AV34" s="187" t="s">
        <v>714</v>
      </c>
    </row>
    <row r="35" spans="1:58" s="189" customFormat="1" ht="42.75" customHeight="1" x14ac:dyDescent="0.25">
      <c r="A35" s="682" t="s">
        <v>37</v>
      </c>
      <c r="B35" s="682" t="str">
        <f>VLOOKUP(D35,[1]LuongBC_T01!$B$9:$C$292,2,FALSE)</f>
        <v>0016100006592001</v>
      </c>
      <c r="C35" s="763" t="s">
        <v>849</v>
      </c>
      <c r="D35" s="683" t="s">
        <v>1151</v>
      </c>
      <c r="E35" s="684" t="s">
        <v>1464</v>
      </c>
      <c r="F35" s="683" t="s">
        <v>549</v>
      </c>
      <c r="G35" s="685"/>
      <c r="H35" s="685" t="s">
        <v>283</v>
      </c>
      <c r="I35" s="685" t="s">
        <v>282</v>
      </c>
      <c r="J35" s="683" t="s">
        <v>199</v>
      </c>
      <c r="K35" s="685" t="str">
        <f>VLOOKUP(D35,[2]T3!$B$2:$D$328,3,FALSE)</f>
        <v>024257826</v>
      </c>
      <c r="L35" s="700" t="s">
        <v>82</v>
      </c>
      <c r="M35" s="700" t="s">
        <v>849</v>
      </c>
      <c r="N35" s="686" t="s">
        <v>1438</v>
      </c>
      <c r="O35" s="687" t="s">
        <v>692</v>
      </c>
      <c r="P35" s="688">
        <v>6</v>
      </c>
      <c r="Q35" s="689">
        <v>4.32</v>
      </c>
      <c r="R35" s="690">
        <f t="shared" si="11"/>
        <v>1.6901999999999999</v>
      </c>
      <c r="S35" s="691"/>
      <c r="T35" s="690">
        <f t="shared" si="12"/>
        <v>0</v>
      </c>
      <c r="U35" s="692">
        <f t="shared" si="0"/>
        <v>0</v>
      </c>
      <c r="V35" s="685">
        <v>0.45</v>
      </c>
      <c r="W35" s="693">
        <v>0.26</v>
      </c>
      <c r="X35" s="694">
        <f t="shared" si="13"/>
        <v>1.2402</v>
      </c>
      <c r="Y35" s="694">
        <f t="shared" si="1"/>
        <v>6.0102000000000002</v>
      </c>
      <c r="Z35" s="695">
        <f t="shared" si="14"/>
        <v>8955198</v>
      </c>
      <c r="AA35" s="695"/>
      <c r="AB35" s="695">
        <f t="shared" si="2"/>
        <v>0</v>
      </c>
      <c r="AC35" s="695">
        <f t="shared" si="3"/>
        <v>0</v>
      </c>
      <c r="AD35" s="695">
        <f t="shared" si="4"/>
        <v>8955198</v>
      </c>
      <c r="AE35" s="696">
        <f t="shared" si="5"/>
        <v>716415.84</v>
      </c>
      <c r="AF35" s="696">
        <f t="shared" si="6"/>
        <v>134327.97</v>
      </c>
      <c r="AG35" s="696">
        <f t="shared" si="7"/>
        <v>89551.98</v>
      </c>
      <c r="AH35" s="696"/>
      <c r="AI35" s="696">
        <f t="shared" si="15"/>
        <v>940295.78999999992</v>
      </c>
      <c r="AJ35" s="701"/>
      <c r="AK35" s="697">
        <f t="shared" si="16"/>
        <v>0</v>
      </c>
      <c r="AL35" s="697"/>
      <c r="AM35" s="697"/>
      <c r="AN35" s="764">
        <f t="shared" si="8"/>
        <v>4.7700000000000005</v>
      </c>
      <c r="AO35" s="765">
        <v>0.25</v>
      </c>
      <c r="AP35" s="766">
        <f t="shared" si="17"/>
        <v>1.1924999999999999</v>
      </c>
      <c r="AQ35" s="696">
        <f t="shared" si="18"/>
        <v>1776825</v>
      </c>
      <c r="AR35" s="696"/>
      <c r="AS35" s="696">
        <f t="shared" si="9"/>
        <v>9791727</v>
      </c>
      <c r="AT35" s="698" t="str">
        <f t="shared" si="10"/>
        <v>22</v>
      </c>
      <c r="AU35" s="699"/>
      <c r="AV35" s="198" t="s">
        <v>704</v>
      </c>
    </row>
    <row r="36" spans="1:58" s="189" customFormat="1" ht="26.25" customHeight="1" x14ac:dyDescent="0.25">
      <c r="A36" s="168" t="s">
        <v>315</v>
      </c>
      <c r="B36" s="168" t="str">
        <f>VLOOKUP(D36,[1]LuongBC_T01!$B$9:$C$292,2,FALSE)</f>
        <v>0016100006689005</v>
      </c>
      <c r="C36" s="361" t="s">
        <v>851</v>
      </c>
      <c r="D36" s="169" t="s">
        <v>1152</v>
      </c>
      <c r="E36" s="263" t="s">
        <v>1288</v>
      </c>
      <c r="F36" s="169" t="s">
        <v>549</v>
      </c>
      <c r="G36" s="170"/>
      <c r="H36" s="170"/>
      <c r="I36" s="170" t="s">
        <v>281</v>
      </c>
      <c r="J36" s="169" t="s">
        <v>191</v>
      </c>
      <c r="K36" s="170" t="str">
        <f>VLOOKUP(D36,[2]T3!$B$2:$D$328,3,FALSE)</f>
        <v>023176396</v>
      </c>
      <c r="L36" s="171" t="s">
        <v>75</v>
      </c>
      <c r="M36" s="171" t="s">
        <v>851</v>
      </c>
      <c r="N36" s="390" t="s">
        <v>807</v>
      </c>
      <c r="O36" s="172" t="s">
        <v>692</v>
      </c>
      <c r="P36" s="173">
        <v>5</v>
      </c>
      <c r="Q36" s="174">
        <v>4.32</v>
      </c>
      <c r="R36" s="176">
        <f t="shared" si="11"/>
        <v>1.2132000000000001</v>
      </c>
      <c r="S36" s="370"/>
      <c r="T36" s="176">
        <f t="shared" si="12"/>
        <v>0</v>
      </c>
      <c r="U36" s="175">
        <f t="shared" si="0"/>
        <v>0</v>
      </c>
      <c r="V36" s="170">
        <v>0.45</v>
      </c>
      <c r="W36" s="179">
        <v>0.16</v>
      </c>
      <c r="X36" s="216">
        <f t="shared" si="13"/>
        <v>0.76319999999999999</v>
      </c>
      <c r="Y36" s="216">
        <f t="shared" si="1"/>
        <v>5.5331999999999999</v>
      </c>
      <c r="Z36" s="180">
        <f t="shared" si="14"/>
        <v>8244468</v>
      </c>
      <c r="AA36" s="180"/>
      <c r="AB36" s="180">
        <f t="shared" si="2"/>
        <v>0</v>
      </c>
      <c r="AC36" s="180">
        <f t="shared" si="3"/>
        <v>0</v>
      </c>
      <c r="AD36" s="180">
        <f t="shared" si="4"/>
        <v>8244468</v>
      </c>
      <c r="AE36" s="178">
        <f t="shared" si="5"/>
        <v>659557.44000000006</v>
      </c>
      <c r="AF36" s="178">
        <f t="shared" si="6"/>
        <v>123667.01999999999</v>
      </c>
      <c r="AG36" s="178">
        <f t="shared" si="7"/>
        <v>82444.680000000008</v>
      </c>
      <c r="AH36" s="178"/>
      <c r="AI36" s="178">
        <f t="shared" si="15"/>
        <v>865669.14000000013</v>
      </c>
      <c r="AJ36" s="192"/>
      <c r="AK36" s="182">
        <f t="shared" si="16"/>
        <v>0</v>
      </c>
      <c r="AL36" s="182"/>
      <c r="AM36" s="182"/>
      <c r="AN36" s="183">
        <f t="shared" si="8"/>
        <v>4.7700000000000005</v>
      </c>
      <c r="AO36" s="443">
        <v>0.25</v>
      </c>
      <c r="AP36" s="185">
        <f t="shared" si="17"/>
        <v>1.1924999999999999</v>
      </c>
      <c r="AQ36" s="178">
        <f t="shared" si="18"/>
        <v>1776825</v>
      </c>
      <c r="AR36" s="178"/>
      <c r="AS36" s="178">
        <f t="shared" si="9"/>
        <v>9155624</v>
      </c>
      <c r="AT36" s="469" t="str">
        <f t="shared" si="10"/>
        <v>23</v>
      </c>
      <c r="AU36" s="195"/>
      <c r="AV36" s="198" t="s">
        <v>706</v>
      </c>
    </row>
    <row r="37" spans="1:58" s="189" customFormat="1" ht="25.5" x14ac:dyDescent="0.25">
      <c r="A37" s="168" t="s">
        <v>175</v>
      </c>
      <c r="B37" s="168" t="str">
        <f>VLOOKUP(D37,[1]LuongBC_T01!$B$9:$C$292,2,FALSE)</f>
        <v>0016100006510005</v>
      </c>
      <c r="C37" s="361" t="s">
        <v>852</v>
      </c>
      <c r="D37" s="169" t="s">
        <v>1153</v>
      </c>
      <c r="E37" s="263" t="s">
        <v>1260</v>
      </c>
      <c r="F37" s="169" t="s">
        <v>550</v>
      </c>
      <c r="G37" s="170" t="s">
        <v>25</v>
      </c>
      <c r="H37" s="170" t="s">
        <v>283</v>
      </c>
      <c r="I37" s="170" t="s">
        <v>280</v>
      </c>
      <c r="J37" s="169" t="s">
        <v>182</v>
      </c>
      <c r="K37" s="170" t="str">
        <f>VLOOKUP(D37,[2]T3!$B$2:$D$328,3,FALSE)</f>
        <v>022157496</v>
      </c>
      <c r="L37" s="171" t="s">
        <v>135</v>
      </c>
      <c r="M37" s="171" t="s">
        <v>852</v>
      </c>
      <c r="N37" s="390" t="s">
        <v>1450</v>
      </c>
      <c r="O37" s="172" t="s">
        <v>696</v>
      </c>
      <c r="P37" s="173">
        <v>7</v>
      </c>
      <c r="Q37" s="174">
        <v>6.44</v>
      </c>
      <c r="R37" s="176">
        <f t="shared" si="11"/>
        <v>1.9319999999999999</v>
      </c>
      <c r="S37" s="370"/>
      <c r="T37" s="176">
        <f t="shared" si="12"/>
        <v>0</v>
      </c>
      <c r="U37" s="175">
        <f t="shared" si="0"/>
        <v>0</v>
      </c>
      <c r="V37" s="177"/>
      <c r="W37" s="179">
        <v>0.3</v>
      </c>
      <c r="X37" s="216">
        <f t="shared" si="13"/>
        <v>1.9319999999999999</v>
      </c>
      <c r="Y37" s="216">
        <f t="shared" si="1"/>
        <v>8.3719999999999999</v>
      </c>
      <c r="Z37" s="180">
        <f t="shared" si="14"/>
        <v>12474280</v>
      </c>
      <c r="AA37" s="180"/>
      <c r="AB37" s="180">
        <f t="shared" si="2"/>
        <v>0</v>
      </c>
      <c r="AC37" s="180">
        <f t="shared" si="3"/>
        <v>0</v>
      </c>
      <c r="AD37" s="180">
        <f t="shared" si="4"/>
        <v>12474280</v>
      </c>
      <c r="AE37" s="178">
        <f t="shared" si="5"/>
        <v>997942.4</v>
      </c>
      <c r="AF37" s="178">
        <f t="shared" si="6"/>
        <v>187114.19999999998</v>
      </c>
      <c r="AG37" s="178">
        <f t="shared" si="7"/>
        <v>124742.8</v>
      </c>
      <c r="AH37" s="178"/>
      <c r="AI37" s="178">
        <f t="shared" si="15"/>
        <v>1309799.4000000001</v>
      </c>
      <c r="AJ37" s="192"/>
      <c r="AK37" s="182">
        <f t="shared" si="16"/>
        <v>0</v>
      </c>
      <c r="AL37" s="182"/>
      <c r="AM37" s="182"/>
      <c r="AN37" s="183">
        <f t="shared" si="8"/>
        <v>6.44</v>
      </c>
      <c r="AO37" s="443">
        <v>0.25</v>
      </c>
      <c r="AP37" s="185">
        <f t="shared" si="17"/>
        <v>1.61</v>
      </c>
      <c r="AQ37" s="178">
        <f t="shared" si="18"/>
        <v>2398900</v>
      </c>
      <c r="AR37" s="178"/>
      <c r="AS37" s="178">
        <f t="shared" si="9"/>
        <v>13563381</v>
      </c>
      <c r="AT37" s="469" t="str">
        <f t="shared" si="10"/>
        <v>24</v>
      </c>
      <c r="AU37" s="195"/>
      <c r="AV37" s="187" t="s">
        <v>711</v>
      </c>
    </row>
    <row r="38" spans="1:58" s="189" customFormat="1" ht="31.5" customHeight="1" x14ac:dyDescent="0.25">
      <c r="A38" s="168" t="s">
        <v>316</v>
      </c>
      <c r="B38" s="168" t="str">
        <f>VLOOKUP(D38,[1]LuongBC_T01!$B$9:$C$292,2,FALSE)</f>
        <v>0016100006615001</v>
      </c>
      <c r="C38" s="361" t="s">
        <v>854</v>
      </c>
      <c r="D38" s="169" t="s">
        <v>1155</v>
      </c>
      <c r="E38" s="263" t="s">
        <v>1249</v>
      </c>
      <c r="F38" s="169" t="s">
        <v>549</v>
      </c>
      <c r="G38" s="170" t="s">
        <v>25</v>
      </c>
      <c r="H38" s="170" t="s">
        <v>283</v>
      </c>
      <c r="I38" s="170" t="s">
        <v>283</v>
      </c>
      <c r="J38" s="169" t="s">
        <v>212</v>
      </c>
      <c r="K38" s="170" t="str">
        <f>VLOOKUP(D38,[2]T3!$B$2:$D$328,3,FALSE)</f>
        <v>040174000144</v>
      </c>
      <c r="L38" s="171" t="s">
        <v>93</v>
      </c>
      <c r="M38" s="171" t="s">
        <v>854</v>
      </c>
      <c r="N38" s="390" t="s">
        <v>807</v>
      </c>
      <c r="O38" s="172" t="s">
        <v>692</v>
      </c>
      <c r="P38" s="173">
        <v>8</v>
      </c>
      <c r="Q38" s="174">
        <v>4.9800000000000004</v>
      </c>
      <c r="R38" s="176">
        <f t="shared" si="11"/>
        <v>1.3483000000000001</v>
      </c>
      <c r="S38" s="370"/>
      <c r="T38" s="176">
        <f t="shared" si="12"/>
        <v>0</v>
      </c>
      <c r="U38" s="175">
        <f t="shared" si="0"/>
        <v>0</v>
      </c>
      <c r="V38" s="170">
        <v>0.25</v>
      </c>
      <c r="W38" s="179">
        <v>0.21</v>
      </c>
      <c r="X38" s="216">
        <f t="shared" si="13"/>
        <v>1.0983000000000001</v>
      </c>
      <c r="Y38" s="216">
        <f t="shared" si="1"/>
        <v>6.3282999999999996</v>
      </c>
      <c r="Z38" s="180">
        <f t="shared" si="14"/>
        <v>9429167</v>
      </c>
      <c r="AA38" s="180"/>
      <c r="AB38" s="180">
        <f t="shared" si="2"/>
        <v>0</v>
      </c>
      <c r="AC38" s="180">
        <f t="shared" si="3"/>
        <v>0</v>
      </c>
      <c r="AD38" s="180">
        <f t="shared" si="4"/>
        <v>9429167</v>
      </c>
      <c r="AE38" s="178">
        <f t="shared" si="5"/>
        <v>754333.36</v>
      </c>
      <c r="AF38" s="178">
        <f t="shared" si="6"/>
        <v>141437.505</v>
      </c>
      <c r="AG38" s="178">
        <f t="shared" si="7"/>
        <v>94291.67</v>
      </c>
      <c r="AH38" s="178"/>
      <c r="AI38" s="178">
        <f t="shared" si="15"/>
        <v>990062.53500000003</v>
      </c>
      <c r="AJ38" s="192"/>
      <c r="AK38" s="182">
        <f t="shared" si="16"/>
        <v>0</v>
      </c>
      <c r="AL38" s="182"/>
      <c r="AM38" s="182"/>
      <c r="AN38" s="183">
        <f t="shared" si="8"/>
        <v>5.23</v>
      </c>
      <c r="AO38" s="443">
        <v>0.25</v>
      </c>
      <c r="AP38" s="185">
        <f t="shared" si="17"/>
        <v>1.3075000000000001</v>
      </c>
      <c r="AQ38" s="178">
        <f t="shared" si="18"/>
        <v>1948175</v>
      </c>
      <c r="AR38" s="178"/>
      <c r="AS38" s="178">
        <f t="shared" si="9"/>
        <v>10387279</v>
      </c>
      <c r="AT38" s="469" t="str">
        <f t="shared" si="10"/>
        <v>25</v>
      </c>
      <c r="AU38" s="195"/>
      <c r="AV38" s="187" t="s">
        <v>710</v>
      </c>
    </row>
    <row r="39" spans="1:58" s="189" customFormat="1" ht="33.75" customHeight="1" x14ac:dyDescent="0.25">
      <c r="A39" s="726" t="s">
        <v>317</v>
      </c>
      <c r="B39" s="726" t="str">
        <f>VLOOKUP(D39,[1]LuongBC_T01!$B$9:$C$292,2,FALSE)</f>
        <v>0016100006708007</v>
      </c>
      <c r="C39" s="727" t="s">
        <v>856</v>
      </c>
      <c r="D39" s="728" t="s">
        <v>1156</v>
      </c>
      <c r="E39" s="729" t="s">
        <v>1250</v>
      </c>
      <c r="F39" s="728" t="s">
        <v>549</v>
      </c>
      <c r="G39" s="730"/>
      <c r="H39" s="730" t="s">
        <v>283</v>
      </c>
      <c r="I39" s="730" t="s">
        <v>283</v>
      </c>
      <c r="J39" s="728" t="s">
        <v>214</v>
      </c>
      <c r="K39" s="730" t="str">
        <f>VLOOKUP(D39,[2]T3!$B$2:$D$328,3,FALSE)</f>
        <v>022688264</v>
      </c>
      <c r="L39" s="731" t="s">
        <v>96</v>
      </c>
      <c r="M39" s="731" t="s">
        <v>856</v>
      </c>
      <c r="N39" s="732" t="s">
        <v>807</v>
      </c>
      <c r="O39" s="733" t="s">
        <v>692</v>
      </c>
      <c r="P39" s="734">
        <v>7</v>
      </c>
      <c r="Q39" s="735">
        <v>4.9800000000000004</v>
      </c>
      <c r="R39" s="736">
        <f t="shared" si="11"/>
        <v>1.2437</v>
      </c>
      <c r="S39" s="737"/>
      <c r="T39" s="736">
        <f t="shared" si="12"/>
        <v>0</v>
      </c>
      <c r="U39" s="738">
        <f t="shared" si="0"/>
        <v>0</v>
      </c>
      <c r="V39" s="730">
        <v>0.25</v>
      </c>
      <c r="W39" s="739">
        <v>0.19</v>
      </c>
      <c r="X39" s="740">
        <f t="shared" si="13"/>
        <v>0.99370000000000003</v>
      </c>
      <c r="Y39" s="740">
        <f t="shared" si="1"/>
        <v>6.2237</v>
      </c>
      <c r="Z39" s="741">
        <f t="shared" si="14"/>
        <v>9273313</v>
      </c>
      <c r="AA39" s="741">
        <v>4</v>
      </c>
      <c r="AB39" s="741">
        <f t="shared" si="2"/>
        <v>1545552.1666666667</v>
      </c>
      <c r="AC39" s="741">
        <v>0</v>
      </c>
      <c r="AD39" s="741">
        <f t="shared" si="4"/>
        <v>7727761</v>
      </c>
      <c r="AE39" s="742">
        <f t="shared" si="5"/>
        <v>741865.04</v>
      </c>
      <c r="AF39" s="742">
        <f t="shared" si="6"/>
        <v>139099.69500000001</v>
      </c>
      <c r="AG39" s="742">
        <f t="shared" si="7"/>
        <v>92733.13</v>
      </c>
      <c r="AH39" s="742"/>
      <c r="AI39" s="742">
        <f t="shared" si="15"/>
        <v>973697.86500000011</v>
      </c>
      <c r="AJ39" s="743"/>
      <c r="AK39" s="744">
        <f t="shared" si="16"/>
        <v>0</v>
      </c>
      <c r="AL39" s="744"/>
      <c r="AM39" s="744"/>
      <c r="AN39" s="745">
        <f t="shared" si="8"/>
        <v>5.23</v>
      </c>
      <c r="AO39" s="746">
        <v>0.25</v>
      </c>
      <c r="AP39" s="747">
        <f t="shared" si="17"/>
        <v>1.3075000000000001</v>
      </c>
      <c r="AQ39" s="742">
        <f t="shared" si="18"/>
        <v>1948175</v>
      </c>
      <c r="AR39" s="742"/>
      <c r="AS39" s="742">
        <f t="shared" si="9"/>
        <v>8702238</v>
      </c>
      <c r="AT39" s="748" t="str">
        <f t="shared" si="10"/>
        <v>26</v>
      </c>
      <c r="AU39" s="749" t="s">
        <v>1474</v>
      </c>
      <c r="AV39" s="198" t="s">
        <v>729</v>
      </c>
    </row>
    <row r="40" spans="1:58" s="191" customFormat="1" ht="31.5" customHeight="1" x14ac:dyDescent="0.25">
      <c r="A40" s="168" t="s">
        <v>318</v>
      </c>
      <c r="B40" s="168" t="str">
        <f>VLOOKUP(D40,[1]LuongBC_T01!$B$9:$C$292,2,FALSE)</f>
        <v>0016100006611006</v>
      </c>
      <c r="C40" s="361" t="s">
        <v>857</v>
      </c>
      <c r="D40" s="169" t="s">
        <v>1158</v>
      </c>
      <c r="E40" s="263" t="s">
        <v>1391</v>
      </c>
      <c r="F40" s="169" t="s">
        <v>549</v>
      </c>
      <c r="G40" s="170"/>
      <c r="H40" s="170" t="s">
        <v>283</v>
      </c>
      <c r="I40" s="170" t="s">
        <v>282</v>
      </c>
      <c r="J40" s="169" t="s">
        <v>200</v>
      </c>
      <c r="K40" s="170" t="str">
        <f>VLOOKUP(D40,[2]T3!$B$2:$D$328,3,FALSE)</f>
        <v>079066001159</v>
      </c>
      <c r="L40" s="171" t="s">
        <v>84</v>
      </c>
      <c r="M40" s="171" t="s">
        <v>857</v>
      </c>
      <c r="N40" s="390" t="s">
        <v>1438</v>
      </c>
      <c r="O40" s="172" t="s">
        <v>692</v>
      </c>
      <c r="P40" s="173">
        <v>6</v>
      </c>
      <c r="Q40" s="174">
        <v>4.32</v>
      </c>
      <c r="R40" s="176">
        <f t="shared" si="11"/>
        <v>1.0268999999999999</v>
      </c>
      <c r="S40" s="370"/>
      <c r="T40" s="176">
        <f t="shared" si="12"/>
        <v>0</v>
      </c>
      <c r="U40" s="175">
        <f t="shared" si="0"/>
        <v>0</v>
      </c>
      <c r="V40" s="170">
        <v>0.25</v>
      </c>
      <c r="W40" s="179">
        <v>0.17</v>
      </c>
      <c r="X40" s="216">
        <f t="shared" si="13"/>
        <v>0.77690000000000003</v>
      </c>
      <c r="Y40" s="216">
        <f t="shared" si="1"/>
        <v>5.3468999999999998</v>
      </c>
      <c r="Z40" s="180">
        <f t="shared" si="14"/>
        <v>7966881</v>
      </c>
      <c r="AA40" s="180"/>
      <c r="AB40" s="180">
        <f t="shared" si="2"/>
        <v>0</v>
      </c>
      <c r="AC40" s="180">
        <f t="shared" si="3"/>
        <v>0</v>
      </c>
      <c r="AD40" s="180">
        <f t="shared" si="4"/>
        <v>7966881</v>
      </c>
      <c r="AE40" s="178">
        <f t="shared" si="5"/>
        <v>637350.48</v>
      </c>
      <c r="AF40" s="178">
        <f t="shared" si="6"/>
        <v>119503.215</v>
      </c>
      <c r="AG40" s="178">
        <f t="shared" si="7"/>
        <v>79668.81</v>
      </c>
      <c r="AH40" s="178"/>
      <c r="AI40" s="178">
        <f t="shared" si="15"/>
        <v>836522.50499999989</v>
      </c>
      <c r="AJ40" s="192"/>
      <c r="AK40" s="182">
        <f t="shared" si="16"/>
        <v>0</v>
      </c>
      <c r="AL40" s="182"/>
      <c r="AM40" s="182"/>
      <c r="AN40" s="183">
        <f t="shared" si="8"/>
        <v>4.57</v>
      </c>
      <c r="AO40" s="443">
        <v>0.25</v>
      </c>
      <c r="AP40" s="185">
        <f t="shared" si="17"/>
        <v>1.1425000000000001</v>
      </c>
      <c r="AQ40" s="178">
        <f t="shared" si="18"/>
        <v>1702325</v>
      </c>
      <c r="AR40" s="178"/>
      <c r="AS40" s="178">
        <f t="shared" si="9"/>
        <v>8832683</v>
      </c>
      <c r="AT40" s="469" t="str">
        <f t="shared" si="10"/>
        <v>27</v>
      </c>
      <c r="AU40" s="186"/>
      <c r="AV40" s="198" t="s">
        <v>704</v>
      </c>
    </row>
    <row r="41" spans="1:58" s="189" customFormat="1" ht="25.5" x14ac:dyDescent="0.25">
      <c r="A41" s="168" t="s">
        <v>319</v>
      </c>
      <c r="B41" s="168" t="str">
        <f>VLOOKUP(D41,[1]LuongBC_T01!$B$9:$C$292,2,FALSE)</f>
        <v>0016100006815008</v>
      </c>
      <c r="C41" s="361" t="s">
        <v>858</v>
      </c>
      <c r="D41" s="169" t="s">
        <v>1160</v>
      </c>
      <c r="E41" s="263" t="s">
        <v>1095</v>
      </c>
      <c r="F41" s="169" t="s">
        <v>549</v>
      </c>
      <c r="G41" s="170"/>
      <c r="H41" s="170" t="s">
        <v>283</v>
      </c>
      <c r="I41" s="170" t="s">
        <v>283</v>
      </c>
      <c r="J41" s="169" t="s">
        <v>205</v>
      </c>
      <c r="K41" s="170" t="str">
        <f>VLOOKUP(D41,[2]T3!$B$2:$D$328,3,FALSE)</f>
        <v>021314535</v>
      </c>
      <c r="L41" s="171" t="s">
        <v>525</v>
      </c>
      <c r="M41" s="171" t="s">
        <v>858</v>
      </c>
      <c r="N41" s="390" t="s">
        <v>1438</v>
      </c>
      <c r="O41" s="172" t="s">
        <v>692</v>
      </c>
      <c r="P41" s="173">
        <v>9</v>
      </c>
      <c r="Q41" s="174">
        <v>4.9800000000000004</v>
      </c>
      <c r="R41" s="176">
        <f t="shared" si="11"/>
        <v>2.3267000000000002</v>
      </c>
      <c r="S41" s="370">
        <v>12</v>
      </c>
      <c r="T41" s="176">
        <f t="shared" si="12"/>
        <v>0.59760000000000002</v>
      </c>
      <c r="U41" s="175">
        <f t="shared" si="0"/>
        <v>890424.00000000012</v>
      </c>
      <c r="V41" s="170"/>
      <c r="W41" s="179">
        <v>0.31</v>
      </c>
      <c r="X41" s="216">
        <f t="shared" si="13"/>
        <v>1.7291000000000001</v>
      </c>
      <c r="Y41" s="216">
        <f t="shared" si="1"/>
        <v>7.3067000000000002</v>
      </c>
      <c r="Z41" s="180">
        <f t="shared" si="14"/>
        <v>10886983</v>
      </c>
      <c r="AA41" s="180"/>
      <c r="AB41" s="180">
        <f t="shared" si="2"/>
        <v>0</v>
      </c>
      <c r="AC41" s="180">
        <f t="shared" si="3"/>
        <v>0</v>
      </c>
      <c r="AD41" s="180">
        <f t="shared" si="4"/>
        <v>10886983</v>
      </c>
      <c r="AE41" s="178">
        <f t="shared" si="5"/>
        <v>870958.64</v>
      </c>
      <c r="AF41" s="178">
        <f t="shared" si="6"/>
        <v>163304.745</v>
      </c>
      <c r="AG41" s="178">
        <f t="shared" si="7"/>
        <v>108869.83</v>
      </c>
      <c r="AH41" s="178"/>
      <c r="AI41" s="178">
        <f t="shared" si="15"/>
        <v>1143133.2150000001</v>
      </c>
      <c r="AJ41" s="192"/>
      <c r="AK41" s="182">
        <f t="shared" si="16"/>
        <v>0</v>
      </c>
      <c r="AL41" s="182"/>
      <c r="AM41" s="182"/>
      <c r="AN41" s="183">
        <f t="shared" si="8"/>
        <v>5.5776000000000003</v>
      </c>
      <c r="AO41" s="443">
        <v>0.25</v>
      </c>
      <c r="AP41" s="185">
        <f t="shared" si="17"/>
        <v>1.3944000000000001</v>
      </c>
      <c r="AQ41" s="178">
        <f t="shared" si="18"/>
        <v>2077656</v>
      </c>
      <c r="AR41" s="178"/>
      <c r="AS41" s="178">
        <f t="shared" si="9"/>
        <v>11821506</v>
      </c>
      <c r="AT41" s="469" t="str">
        <f t="shared" si="10"/>
        <v>28</v>
      </c>
      <c r="AU41" s="195"/>
      <c r="AV41" s="187" t="s">
        <v>709</v>
      </c>
    </row>
    <row r="42" spans="1:58" s="189" customFormat="1" ht="25.5" x14ac:dyDescent="0.25">
      <c r="A42" s="168" t="s">
        <v>320</v>
      </c>
      <c r="B42" s="168" t="str">
        <f>VLOOKUP(D42,[1]LuongBC_T01!$B$9:$C$292,2,FALSE)</f>
        <v>0016100006728008</v>
      </c>
      <c r="C42" s="361" t="s">
        <v>859</v>
      </c>
      <c r="D42" s="169" t="s">
        <v>1161</v>
      </c>
      <c r="E42" s="263" t="s">
        <v>1251</v>
      </c>
      <c r="F42" s="169" t="s">
        <v>550</v>
      </c>
      <c r="G42" s="170" t="s">
        <v>25</v>
      </c>
      <c r="H42" s="170" t="s">
        <v>283</v>
      </c>
      <c r="I42" s="170" t="s">
        <v>283</v>
      </c>
      <c r="J42" s="169" t="s">
        <v>207</v>
      </c>
      <c r="K42" s="168" t="s">
        <v>1337</v>
      </c>
      <c r="L42" s="171" t="s">
        <v>88</v>
      </c>
      <c r="M42" s="171" t="s">
        <v>859</v>
      </c>
      <c r="N42" s="390" t="s">
        <v>807</v>
      </c>
      <c r="O42" s="172" t="s">
        <v>692</v>
      </c>
      <c r="P42" s="173">
        <v>9</v>
      </c>
      <c r="Q42" s="174">
        <v>4.9800000000000004</v>
      </c>
      <c r="R42" s="176">
        <f t="shared" si="11"/>
        <v>1.6892</v>
      </c>
      <c r="S42" s="370">
        <v>8</v>
      </c>
      <c r="T42" s="176">
        <f t="shared" si="12"/>
        <v>0.39839999999999998</v>
      </c>
      <c r="U42" s="175">
        <f t="shared" si="0"/>
        <v>593616.00000000012</v>
      </c>
      <c r="V42" s="170"/>
      <c r="W42" s="179">
        <v>0.24</v>
      </c>
      <c r="X42" s="216">
        <f t="shared" si="13"/>
        <v>1.2907999999999999</v>
      </c>
      <c r="Y42" s="216">
        <f t="shared" si="1"/>
        <v>6.6692</v>
      </c>
      <c r="Z42" s="180">
        <f t="shared" si="14"/>
        <v>9937108</v>
      </c>
      <c r="AA42" s="180"/>
      <c r="AB42" s="180">
        <f t="shared" si="2"/>
        <v>0</v>
      </c>
      <c r="AC42" s="180">
        <f t="shared" si="3"/>
        <v>0</v>
      </c>
      <c r="AD42" s="180">
        <f t="shared" si="4"/>
        <v>9937108</v>
      </c>
      <c r="AE42" s="178">
        <f t="shared" si="5"/>
        <v>794968.64</v>
      </c>
      <c r="AF42" s="178">
        <f t="shared" si="6"/>
        <v>149056.62</v>
      </c>
      <c r="AG42" s="178">
        <f t="shared" si="7"/>
        <v>99371.08</v>
      </c>
      <c r="AH42" s="178"/>
      <c r="AI42" s="178">
        <f t="shared" si="15"/>
        <v>1043396.34</v>
      </c>
      <c r="AJ42" s="192"/>
      <c r="AK42" s="182">
        <f t="shared" si="16"/>
        <v>0</v>
      </c>
      <c r="AL42" s="182"/>
      <c r="AM42" s="182"/>
      <c r="AN42" s="183">
        <f t="shared" si="8"/>
        <v>5.3784000000000001</v>
      </c>
      <c r="AO42" s="443">
        <v>0.25</v>
      </c>
      <c r="AP42" s="185">
        <f t="shared" si="17"/>
        <v>1.3446</v>
      </c>
      <c r="AQ42" s="178">
        <f t="shared" si="18"/>
        <v>2003454</v>
      </c>
      <c r="AR42" s="178"/>
      <c r="AS42" s="178">
        <f t="shared" si="9"/>
        <v>10897166</v>
      </c>
      <c r="AT42" s="469" t="str">
        <f t="shared" si="10"/>
        <v>29</v>
      </c>
      <c r="AU42" s="195"/>
      <c r="AV42" s="198" t="s">
        <v>710</v>
      </c>
    </row>
    <row r="43" spans="1:58" s="191" customFormat="1" ht="25.5" x14ac:dyDescent="0.25">
      <c r="A43" s="168" t="s">
        <v>321</v>
      </c>
      <c r="B43" s="168" t="str">
        <f>VLOOKUP(D43,[1]LuongBC_T01!$B$9:$C$292,2,FALSE)</f>
        <v>0016100006613009</v>
      </c>
      <c r="C43" s="361" t="s">
        <v>861</v>
      </c>
      <c r="D43" s="169" t="s">
        <v>1162</v>
      </c>
      <c r="E43" s="263" t="s">
        <v>1094</v>
      </c>
      <c r="F43" s="169" t="s">
        <v>549</v>
      </c>
      <c r="G43" s="170"/>
      <c r="H43" s="170" t="s">
        <v>283</v>
      </c>
      <c r="I43" s="170" t="s">
        <v>283</v>
      </c>
      <c r="J43" s="169" t="s">
        <v>206</v>
      </c>
      <c r="K43" s="170" t="str">
        <f>VLOOKUP(D43,[2]T3!$B$2:$D$328,3,FALSE)</f>
        <v>021652916</v>
      </c>
      <c r="L43" s="171" t="s">
        <v>90</v>
      </c>
      <c r="M43" s="171" t="s">
        <v>861</v>
      </c>
      <c r="N43" s="390" t="s">
        <v>1438</v>
      </c>
      <c r="O43" s="172" t="s">
        <v>692</v>
      </c>
      <c r="P43" s="173">
        <v>9</v>
      </c>
      <c r="Q43" s="174">
        <v>4.9800000000000004</v>
      </c>
      <c r="R43" s="176">
        <f t="shared" si="11"/>
        <v>2.1309</v>
      </c>
      <c r="S43" s="370">
        <v>9</v>
      </c>
      <c r="T43" s="176">
        <f t="shared" si="12"/>
        <v>0.44819999999999999</v>
      </c>
      <c r="U43" s="175">
        <f t="shared" si="0"/>
        <v>667818.00000000012</v>
      </c>
      <c r="V43" s="170"/>
      <c r="W43" s="179">
        <v>0.31</v>
      </c>
      <c r="X43" s="216">
        <f t="shared" si="13"/>
        <v>1.6827000000000001</v>
      </c>
      <c r="Y43" s="216">
        <f t="shared" si="1"/>
        <v>7.1109</v>
      </c>
      <c r="Z43" s="180">
        <f t="shared" si="14"/>
        <v>10595241</v>
      </c>
      <c r="AA43" s="180"/>
      <c r="AB43" s="180">
        <f t="shared" si="2"/>
        <v>0</v>
      </c>
      <c r="AC43" s="180">
        <f t="shared" si="3"/>
        <v>0</v>
      </c>
      <c r="AD43" s="180">
        <f t="shared" si="4"/>
        <v>10595241</v>
      </c>
      <c r="AE43" s="178">
        <f t="shared" si="5"/>
        <v>847619.28</v>
      </c>
      <c r="AF43" s="178">
        <f t="shared" si="6"/>
        <v>158928.61499999999</v>
      </c>
      <c r="AG43" s="178">
        <f t="shared" si="7"/>
        <v>105952.41</v>
      </c>
      <c r="AH43" s="178"/>
      <c r="AI43" s="178">
        <f t="shared" si="15"/>
        <v>1112500.3049999999</v>
      </c>
      <c r="AJ43" s="192"/>
      <c r="AK43" s="182">
        <f t="shared" si="16"/>
        <v>0</v>
      </c>
      <c r="AL43" s="182"/>
      <c r="AM43" s="182"/>
      <c r="AN43" s="183">
        <f t="shared" si="8"/>
        <v>5.4282000000000004</v>
      </c>
      <c r="AO43" s="443">
        <v>0.25</v>
      </c>
      <c r="AP43" s="185">
        <f t="shared" si="17"/>
        <v>1.3571</v>
      </c>
      <c r="AQ43" s="178">
        <f t="shared" si="18"/>
        <v>2022079</v>
      </c>
      <c r="AR43" s="178"/>
      <c r="AS43" s="178">
        <f t="shared" si="9"/>
        <v>11504820</v>
      </c>
      <c r="AT43" s="469" t="str">
        <f t="shared" si="10"/>
        <v>30</v>
      </c>
      <c r="AU43" s="195"/>
      <c r="AV43" s="187" t="s">
        <v>710</v>
      </c>
    </row>
    <row r="44" spans="1:58" s="189" customFormat="1" ht="25.5" x14ac:dyDescent="0.25">
      <c r="A44" s="168" t="s">
        <v>322</v>
      </c>
      <c r="B44" s="168" t="str">
        <f>VLOOKUP(D44,[1]LuongBC_T01!$B$9:$C$292,2,FALSE)</f>
        <v>0016100006644001</v>
      </c>
      <c r="C44" s="361" t="s">
        <v>860</v>
      </c>
      <c r="D44" s="169" t="s">
        <v>1163</v>
      </c>
      <c r="E44" s="263" t="s">
        <v>1392</v>
      </c>
      <c r="F44" s="169" t="s">
        <v>549</v>
      </c>
      <c r="G44" s="170"/>
      <c r="H44" s="170" t="s">
        <v>283</v>
      </c>
      <c r="I44" s="170" t="s">
        <v>283</v>
      </c>
      <c r="J44" s="169" t="s">
        <v>224</v>
      </c>
      <c r="K44" s="170" t="str">
        <f>VLOOKUP(D44,[2]T3!$B$2:$D$328,3,FALSE)</f>
        <v>022228240</v>
      </c>
      <c r="L44" s="171" t="s">
        <v>89</v>
      </c>
      <c r="M44" s="171" t="s">
        <v>860</v>
      </c>
      <c r="N44" s="390" t="s">
        <v>1438</v>
      </c>
      <c r="O44" s="172" t="s">
        <v>692</v>
      </c>
      <c r="P44" s="173">
        <v>9</v>
      </c>
      <c r="Q44" s="174">
        <v>4.9800000000000004</v>
      </c>
      <c r="R44" s="176">
        <f t="shared" si="11"/>
        <v>1.9581</v>
      </c>
      <c r="S44" s="370">
        <v>8</v>
      </c>
      <c r="T44" s="176">
        <f t="shared" si="12"/>
        <v>0.39839999999999998</v>
      </c>
      <c r="U44" s="175">
        <f t="shared" si="0"/>
        <v>593616.00000000012</v>
      </c>
      <c r="V44" s="170"/>
      <c r="W44" s="179">
        <v>0.28999999999999998</v>
      </c>
      <c r="X44" s="216">
        <f t="shared" si="13"/>
        <v>1.5597000000000001</v>
      </c>
      <c r="Y44" s="216">
        <f t="shared" si="1"/>
        <v>6.9381000000000004</v>
      </c>
      <c r="Z44" s="180">
        <f t="shared" si="14"/>
        <v>10337769</v>
      </c>
      <c r="AA44" s="180"/>
      <c r="AB44" s="180">
        <f t="shared" si="2"/>
        <v>0</v>
      </c>
      <c r="AC44" s="180"/>
      <c r="AD44" s="180">
        <f t="shared" si="4"/>
        <v>10337769</v>
      </c>
      <c r="AE44" s="178">
        <f t="shared" si="5"/>
        <v>827021.52</v>
      </c>
      <c r="AF44" s="178">
        <f t="shared" si="6"/>
        <v>155066.535</v>
      </c>
      <c r="AG44" s="178">
        <f t="shared" si="7"/>
        <v>103377.69</v>
      </c>
      <c r="AH44" s="178"/>
      <c r="AI44" s="178">
        <f t="shared" si="15"/>
        <v>1085465.7450000001</v>
      </c>
      <c r="AJ44" s="192"/>
      <c r="AK44" s="182">
        <f t="shared" si="16"/>
        <v>0</v>
      </c>
      <c r="AL44" s="182"/>
      <c r="AM44" s="182"/>
      <c r="AN44" s="183">
        <f t="shared" si="8"/>
        <v>5.3784000000000001</v>
      </c>
      <c r="AO44" s="443">
        <v>0.25</v>
      </c>
      <c r="AP44" s="185">
        <f t="shared" si="17"/>
        <v>1.3446</v>
      </c>
      <c r="AQ44" s="178">
        <f t="shared" si="18"/>
        <v>2003454</v>
      </c>
      <c r="AR44" s="178"/>
      <c r="AS44" s="178">
        <f t="shared" si="9"/>
        <v>11255757</v>
      </c>
      <c r="AT44" s="469" t="str">
        <f t="shared" si="10"/>
        <v>31</v>
      </c>
      <c r="AU44" s="195"/>
      <c r="AV44" s="198" t="s">
        <v>704</v>
      </c>
    </row>
    <row r="45" spans="1:58" s="189" customFormat="1" ht="28.5" customHeight="1" x14ac:dyDescent="0.25">
      <c r="A45" s="168" t="s">
        <v>323</v>
      </c>
      <c r="B45" s="168" t="str">
        <f>VLOOKUP(D45,[1]LuongBC_T01!$B$9:$C$292,2,FALSE)</f>
        <v>0016100006832002</v>
      </c>
      <c r="C45" s="361" t="s">
        <v>837</v>
      </c>
      <c r="D45" s="169" t="s">
        <v>1143</v>
      </c>
      <c r="E45" s="263" t="s">
        <v>1373</v>
      </c>
      <c r="F45" s="169" t="s">
        <v>549</v>
      </c>
      <c r="G45" s="170" t="s">
        <v>25</v>
      </c>
      <c r="H45" s="170" t="s">
        <v>283</v>
      </c>
      <c r="I45" s="170" t="s">
        <v>280</v>
      </c>
      <c r="J45" s="169" t="s">
        <v>181</v>
      </c>
      <c r="K45" s="170" t="str">
        <f>VLOOKUP(D45,[2]T3!$B$2:$D$328,3,FALSE)</f>
        <v>022135257</v>
      </c>
      <c r="L45" s="171" t="s">
        <v>71</v>
      </c>
      <c r="M45" s="171" t="s">
        <v>837</v>
      </c>
      <c r="N45" s="390" t="s">
        <v>1438</v>
      </c>
      <c r="O45" s="172" t="s">
        <v>692</v>
      </c>
      <c r="P45" s="173">
        <v>9</v>
      </c>
      <c r="Q45" s="174">
        <v>4.9800000000000004</v>
      </c>
      <c r="R45" s="176">
        <f>T45+V45+X45</f>
        <v>1.5208999999999999</v>
      </c>
      <c r="S45" s="370">
        <v>7</v>
      </c>
      <c r="T45" s="176">
        <f>ROUND(Q45*S45/100,4)</f>
        <v>0.34860000000000002</v>
      </c>
      <c r="U45" s="175">
        <f>Q45*S45*$D$8/100</f>
        <v>519414</v>
      </c>
      <c r="V45" s="170"/>
      <c r="W45" s="179">
        <v>0.22</v>
      </c>
      <c r="X45" s="216">
        <f>ROUND((Q45+T45+V45)*W45,4)</f>
        <v>1.1722999999999999</v>
      </c>
      <c r="Y45" s="216">
        <f>ROUND(Q45+T45+V45+X45,4)</f>
        <v>6.5008999999999997</v>
      </c>
      <c r="Z45" s="180">
        <f>ROUND(Y45*$D$8,0)</f>
        <v>9686341</v>
      </c>
      <c r="AA45" s="180"/>
      <c r="AB45" s="180">
        <f>Z45/24*AA45</f>
        <v>0</v>
      </c>
      <c r="AC45" s="180">
        <f>Z45/24*AA45*75%</f>
        <v>0</v>
      </c>
      <c r="AD45" s="180">
        <f>ROUND(Z45-AB45+AC45,0)</f>
        <v>9686341</v>
      </c>
      <c r="AE45" s="178">
        <f>Z45*8%</f>
        <v>774907.28</v>
      </c>
      <c r="AF45" s="178">
        <f>Z45*1.5%</f>
        <v>145295.11499999999</v>
      </c>
      <c r="AG45" s="178">
        <f>Z45*1%</f>
        <v>96863.41</v>
      </c>
      <c r="AH45" s="178"/>
      <c r="AI45" s="178">
        <f>SUM(AE45:AH45)</f>
        <v>1017065.8050000001</v>
      </c>
      <c r="AJ45" s="192"/>
      <c r="AK45" s="182">
        <f>AJ45*$D$8</f>
        <v>0</v>
      </c>
      <c r="AL45" s="182"/>
      <c r="AM45" s="182"/>
      <c r="AN45" s="183">
        <f>Q45+T45+V45</f>
        <v>5.3286000000000007</v>
      </c>
      <c r="AO45" s="443">
        <v>0.25</v>
      </c>
      <c r="AP45" s="185">
        <f>ROUND(AN45*AO45,4)</f>
        <v>1.3322000000000001</v>
      </c>
      <c r="AQ45" s="178">
        <f>ROUND(AP45*$D$8,0)</f>
        <v>1984978</v>
      </c>
      <c r="AR45" s="178"/>
      <c r="AS45" s="178">
        <f>ROUND(AD45-AI45+AK45+AM45+AQ45,0)</f>
        <v>10654253</v>
      </c>
      <c r="AT45" s="469" t="str">
        <f>A45</f>
        <v>32</v>
      </c>
      <c r="AU45" s="186"/>
      <c r="AV45" s="187" t="s">
        <v>708</v>
      </c>
    </row>
    <row r="46" spans="1:58" s="191" customFormat="1" ht="28.5" customHeight="1" x14ac:dyDescent="0.25">
      <c r="A46" s="168" t="s">
        <v>324</v>
      </c>
      <c r="B46" s="168" t="str">
        <f>VLOOKUP(D46,[1]LuongBC_T01!$B$9:$C$292,2,FALSE)</f>
        <v>0016100006814004</v>
      </c>
      <c r="C46" s="361" t="s">
        <v>862</v>
      </c>
      <c r="D46" s="169" t="s">
        <v>1164</v>
      </c>
      <c r="E46" s="263" t="s">
        <v>1374</v>
      </c>
      <c r="F46" s="169" t="s">
        <v>549</v>
      </c>
      <c r="G46" s="170"/>
      <c r="H46" s="170"/>
      <c r="I46" s="170" t="s">
        <v>284</v>
      </c>
      <c r="J46" s="169" t="s">
        <v>208</v>
      </c>
      <c r="K46" s="170" t="str">
        <f>VLOOKUP(D46,[2]T3!$B$2:$D$328,3,FALSE)</f>
        <v>022102283</v>
      </c>
      <c r="L46" s="171" t="s">
        <v>159</v>
      </c>
      <c r="M46" s="171" t="s">
        <v>862</v>
      </c>
      <c r="N46" s="390" t="s">
        <v>1438</v>
      </c>
      <c r="O46" s="172" t="s">
        <v>692</v>
      </c>
      <c r="P46" s="173">
        <v>8</v>
      </c>
      <c r="Q46" s="174">
        <v>4.9800000000000004</v>
      </c>
      <c r="R46" s="176">
        <f t="shared" si="11"/>
        <v>0.69720000000000004</v>
      </c>
      <c r="S46" s="370"/>
      <c r="T46" s="176">
        <f t="shared" si="12"/>
        <v>0</v>
      </c>
      <c r="U46" s="175">
        <f t="shared" si="0"/>
        <v>0</v>
      </c>
      <c r="V46" s="200"/>
      <c r="W46" s="179">
        <v>0.14000000000000001</v>
      </c>
      <c r="X46" s="216">
        <f t="shared" si="13"/>
        <v>0.69720000000000004</v>
      </c>
      <c r="Y46" s="216">
        <f t="shared" si="1"/>
        <v>5.6772</v>
      </c>
      <c r="Z46" s="180">
        <f t="shared" si="14"/>
        <v>8459028</v>
      </c>
      <c r="AA46" s="180"/>
      <c r="AB46" s="180">
        <f t="shared" si="2"/>
        <v>0</v>
      </c>
      <c r="AC46" s="180">
        <f t="shared" ref="AC46:AC86" si="19">Z46/24*AA46*75%</f>
        <v>0</v>
      </c>
      <c r="AD46" s="180">
        <f t="shared" si="4"/>
        <v>8459028</v>
      </c>
      <c r="AE46" s="178">
        <f t="shared" si="5"/>
        <v>676722.24</v>
      </c>
      <c r="AF46" s="178">
        <f t="shared" si="6"/>
        <v>126885.42</v>
      </c>
      <c r="AG46" s="178">
        <f t="shared" si="7"/>
        <v>84590.28</v>
      </c>
      <c r="AH46" s="178"/>
      <c r="AI46" s="178">
        <f t="shared" si="15"/>
        <v>888197.94000000006</v>
      </c>
      <c r="AJ46" s="181"/>
      <c r="AK46" s="182">
        <f t="shared" si="16"/>
        <v>0</v>
      </c>
      <c r="AL46" s="182"/>
      <c r="AM46" s="182"/>
      <c r="AN46" s="183">
        <f t="shared" si="8"/>
        <v>4.9800000000000004</v>
      </c>
      <c r="AO46" s="246">
        <v>0.25</v>
      </c>
      <c r="AP46" s="185">
        <f t="shared" si="17"/>
        <v>1.2450000000000001</v>
      </c>
      <c r="AQ46" s="178">
        <f t="shared" si="18"/>
        <v>1855050</v>
      </c>
      <c r="AR46" s="178"/>
      <c r="AS46" s="178">
        <f t="shared" si="9"/>
        <v>9425880</v>
      </c>
      <c r="AT46" s="469" t="str">
        <f t="shared" si="10"/>
        <v>33</v>
      </c>
      <c r="AU46" s="186"/>
      <c r="AV46" s="198" t="s">
        <v>709</v>
      </c>
    </row>
    <row r="47" spans="1:58" s="191" customFormat="1" ht="28.5" customHeight="1" x14ac:dyDescent="0.25">
      <c r="A47" s="168" t="s">
        <v>429</v>
      </c>
      <c r="B47" s="168" t="str">
        <f>VLOOKUP(D47,[1]LuongBC_T01!$B$9:$C$292,2,FALSE)</f>
        <v>0016100006531002</v>
      </c>
      <c r="C47" s="361" t="s">
        <v>864</v>
      </c>
      <c r="D47" s="169" t="s">
        <v>1165</v>
      </c>
      <c r="E47" s="263" t="s">
        <v>1376</v>
      </c>
      <c r="F47" s="169" t="s">
        <v>549</v>
      </c>
      <c r="G47" s="170"/>
      <c r="H47" s="170" t="s">
        <v>283</v>
      </c>
      <c r="I47" s="170" t="s">
        <v>282</v>
      </c>
      <c r="J47" s="169" t="s">
        <v>194</v>
      </c>
      <c r="K47" s="168" t="s">
        <v>1345</v>
      </c>
      <c r="L47" s="171" t="s">
        <v>78</v>
      </c>
      <c r="M47" s="171" t="s">
        <v>864</v>
      </c>
      <c r="N47" s="390" t="s">
        <v>1438</v>
      </c>
      <c r="O47" s="172" t="s">
        <v>692</v>
      </c>
      <c r="P47" s="173">
        <v>9</v>
      </c>
      <c r="Q47" s="174">
        <v>4.9800000000000004</v>
      </c>
      <c r="R47" s="176">
        <f t="shared" si="11"/>
        <v>1.3994</v>
      </c>
      <c r="S47" s="370">
        <v>5</v>
      </c>
      <c r="T47" s="176">
        <f t="shared" si="12"/>
        <v>0.249</v>
      </c>
      <c r="U47" s="175">
        <f t="shared" si="0"/>
        <v>371010</v>
      </c>
      <c r="V47" s="170"/>
      <c r="W47" s="179">
        <f>VLOOKUP(D47,[3]BC!$D$14:$X$294,20,FALSE)</f>
        <v>0.22</v>
      </c>
      <c r="X47" s="216">
        <f t="shared" si="13"/>
        <v>1.1504000000000001</v>
      </c>
      <c r="Y47" s="216">
        <f t="shared" si="1"/>
        <v>6.3794000000000004</v>
      </c>
      <c r="Z47" s="180">
        <f t="shared" si="14"/>
        <v>9505306</v>
      </c>
      <c r="AA47" s="180"/>
      <c r="AB47" s="180">
        <f t="shared" si="2"/>
        <v>0</v>
      </c>
      <c r="AC47" s="180">
        <f t="shared" si="19"/>
        <v>0</v>
      </c>
      <c r="AD47" s="180">
        <f t="shared" si="4"/>
        <v>9505306</v>
      </c>
      <c r="AE47" s="178">
        <f t="shared" si="5"/>
        <v>760424.48</v>
      </c>
      <c r="AF47" s="178">
        <f t="shared" si="6"/>
        <v>142579.59</v>
      </c>
      <c r="AG47" s="178">
        <f t="shared" si="7"/>
        <v>95053.06</v>
      </c>
      <c r="AH47" s="178"/>
      <c r="AI47" s="178">
        <f t="shared" si="15"/>
        <v>998057.12999999989</v>
      </c>
      <c r="AJ47" s="192"/>
      <c r="AK47" s="182">
        <f t="shared" si="16"/>
        <v>0</v>
      </c>
      <c r="AL47" s="182"/>
      <c r="AM47" s="182"/>
      <c r="AN47" s="183">
        <f t="shared" si="8"/>
        <v>5.2290000000000001</v>
      </c>
      <c r="AO47" s="443">
        <v>0.25</v>
      </c>
      <c r="AP47" s="185">
        <f t="shared" si="17"/>
        <v>1.3072999999999999</v>
      </c>
      <c r="AQ47" s="178">
        <f t="shared" si="18"/>
        <v>1947877</v>
      </c>
      <c r="AR47" s="178"/>
      <c r="AS47" s="178">
        <f t="shared" si="9"/>
        <v>10455126</v>
      </c>
      <c r="AT47" s="469" t="str">
        <f t="shared" si="10"/>
        <v>34</v>
      </c>
      <c r="AU47" s="195"/>
      <c r="AV47" s="187" t="s">
        <v>704</v>
      </c>
      <c r="AW47" s="552"/>
      <c r="AX47" s="552"/>
      <c r="AY47" s="552"/>
      <c r="AZ47" s="552"/>
      <c r="BA47" s="552"/>
      <c r="BB47" s="552"/>
      <c r="BC47" s="552"/>
      <c r="BD47" s="552"/>
      <c r="BE47" s="552"/>
      <c r="BF47" s="552"/>
    </row>
    <row r="48" spans="1:58" s="189" customFormat="1" ht="30" customHeight="1" x14ac:dyDescent="0.25">
      <c r="A48" s="168" t="s">
        <v>343</v>
      </c>
      <c r="B48" s="168" t="str">
        <f>VLOOKUP(D48,[1]LuongBC_T01!$B$9:$C$292,2,FALSE)</f>
        <v>0016100006622008</v>
      </c>
      <c r="C48" s="361" t="s">
        <v>863</v>
      </c>
      <c r="D48" s="169" t="s">
        <v>1166</v>
      </c>
      <c r="E48" s="263" t="s">
        <v>1094</v>
      </c>
      <c r="F48" s="169" t="s">
        <v>549</v>
      </c>
      <c r="G48" s="170"/>
      <c r="H48" s="170" t="s">
        <v>283</v>
      </c>
      <c r="I48" s="170" t="s">
        <v>283</v>
      </c>
      <c r="J48" s="169" t="s">
        <v>211</v>
      </c>
      <c r="K48" s="170" t="str">
        <f>VLOOKUP(D48,[2]T3!$B$2:$D$328,3,FALSE)</f>
        <v>079076002757</v>
      </c>
      <c r="L48" s="171" t="s">
        <v>145</v>
      </c>
      <c r="M48" s="171" t="s">
        <v>863</v>
      </c>
      <c r="N48" s="390" t="s">
        <v>807</v>
      </c>
      <c r="O48" s="172" t="s">
        <v>692</v>
      </c>
      <c r="P48" s="173">
        <v>8</v>
      </c>
      <c r="Q48" s="174">
        <v>4.9800000000000004</v>
      </c>
      <c r="R48" s="176">
        <f t="shared" si="11"/>
        <v>1.3471000000000002</v>
      </c>
      <c r="S48" s="370">
        <v>5</v>
      </c>
      <c r="T48" s="176">
        <f t="shared" si="12"/>
        <v>0.249</v>
      </c>
      <c r="U48" s="175">
        <f t="shared" si="0"/>
        <v>371010</v>
      </c>
      <c r="V48" s="170"/>
      <c r="W48" s="179">
        <v>0.21</v>
      </c>
      <c r="X48" s="216">
        <f t="shared" si="13"/>
        <v>1.0981000000000001</v>
      </c>
      <c r="Y48" s="216">
        <f t="shared" si="1"/>
        <v>6.3270999999999997</v>
      </c>
      <c r="Z48" s="180">
        <f t="shared" si="14"/>
        <v>9427379</v>
      </c>
      <c r="AA48" s="180"/>
      <c r="AB48" s="180">
        <f t="shared" si="2"/>
        <v>0</v>
      </c>
      <c r="AC48" s="180">
        <f t="shared" si="19"/>
        <v>0</v>
      </c>
      <c r="AD48" s="180">
        <f t="shared" si="4"/>
        <v>9427379</v>
      </c>
      <c r="AE48" s="178">
        <f t="shared" si="5"/>
        <v>754190.32000000007</v>
      </c>
      <c r="AF48" s="178">
        <f t="shared" si="6"/>
        <v>141410.685</v>
      </c>
      <c r="AG48" s="178">
        <f t="shared" si="7"/>
        <v>94273.790000000008</v>
      </c>
      <c r="AH48" s="178"/>
      <c r="AI48" s="178">
        <f t="shared" si="15"/>
        <v>989874.79500000016</v>
      </c>
      <c r="AJ48" s="192"/>
      <c r="AK48" s="182">
        <f t="shared" si="16"/>
        <v>0</v>
      </c>
      <c r="AL48" s="182"/>
      <c r="AM48" s="182"/>
      <c r="AN48" s="183">
        <f t="shared" si="8"/>
        <v>5.2290000000000001</v>
      </c>
      <c r="AO48" s="443">
        <v>0.25</v>
      </c>
      <c r="AP48" s="185">
        <f t="shared" si="17"/>
        <v>1.3072999999999999</v>
      </c>
      <c r="AQ48" s="178">
        <f t="shared" si="18"/>
        <v>1947877</v>
      </c>
      <c r="AR48" s="178"/>
      <c r="AS48" s="178">
        <f t="shared" si="9"/>
        <v>10385381</v>
      </c>
      <c r="AT48" s="469" t="str">
        <f t="shared" si="10"/>
        <v>35</v>
      </c>
      <c r="AU48" s="195"/>
      <c r="AV48" s="198" t="s">
        <v>710</v>
      </c>
      <c r="AX48" s="670">
        <f>185*500000</f>
        <v>92500000</v>
      </c>
    </row>
    <row r="49" spans="1:58" s="189" customFormat="1" ht="29.25" customHeight="1" x14ac:dyDescent="0.25">
      <c r="A49" s="168" t="s">
        <v>344</v>
      </c>
      <c r="B49" s="168" t="str">
        <f>VLOOKUP(D49,[1]LuongBC_T01!$B$9:$C$292,2,FALSE)</f>
        <v>0016100006530006</v>
      </c>
      <c r="C49" s="361" t="s">
        <v>866</v>
      </c>
      <c r="D49" s="169" t="s">
        <v>1167</v>
      </c>
      <c r="E49" s="263" t="s">
        <v>1376</v>
      </c>
      <c r="F49" s="169" t="s">
        <v>549</v>
      </c>
      <c r="G49" s="170"/>
      <c r="H49" s="170" t="s">
        <v>283</v>
      </c>
      <c r="I49" s="170" t="s">
        <v>281</v>
      </c>
      <c r="J49" s="169" t="s">
        <v>188</v>
      </c>
      <c r="K49" s="168" t="s">
        <v>1344</v>
      </c>
      <c r="L49" s="171" t="s">
        <v>74</v>
      </c>
      <c r="M49" s="171" t="s">
        <v>866</v>
      </c>
      <c r="N49" s="390" t="s">
        <v>1438</v>
      </c>
      <c r="O49" s="172" t="s">
        <v>692</v>
      </c>
      <c r="P49" s="173">
        <v>8</v>
      </c>
      <c r="Q49" s="174">
        <v>4.9800000000000004</v>
      </c>
      <c r="R49" s="176">
        <f t="shared" si="11"/>
        <v>0.996</v>
      </c>
      <c r="S49" s="370"/>
      <c r="T49" s="176">
        <f t="shared" si="12"/>
        <v>0</v>
      </c>
      <c r="U49" s="175">
        <f t="shared" si="0"/>
        <v>0</v>
      </c>
      <c r="V49" s="170"/>
      <c r="W49" s="179">
        <v>0.2</v>
      </c>
      <c r="X49" s="216">
        <f t="shared" si="13"/>
        <v>0.996</v>
      </c>
      <c r="Y49" s="216">
        <f t="shared" si="1"/>
        <v>5.976</v>
      </c>
      <c r="Z49" s="180">
        <f t="shared" si="14"/>
        <v>8904240</v>
      </c>
      <c r="AA49" s="180"/>
      <c r="AB49" s="180">
        <f t="shared" si="2"/>
        <v>0</v>
      </c>
      <c r="AC49" s="180">
        <f t="shared" si="19"/>
        <v>0</v>
      </c>
      <c r="AD49" s="180">
        <f t="shared" si="4"/>
        <v>8904240</v>
      </c>
      <c r="AE49" s="178">
        <f t="shared" si="5"/>
        <v>712339.20000000007</v>
      </c>
      <c r="AF49" s="178">
        <f t="shared" si="6"/>
        <v>133563.6</v>
      </c>
      <c r="AG49" s="178">
        <f t="shared" si="7"/>
        <v>89042.400000000009</v>
      </c>
      <c r="AH49" s="178"/>
      <c r="AI49" s="178">
        <f t="shared" si="15"/>
        <v>934945.20000000007</v>
      </c>
      <c r="AJ49" s="181"/>
      <c r="AK49" s="182">
        <f t="shared" si="16"/>
        <v>0</v>
      </c>
      <c r="AL49" s="182"/>
      <c r="AM49" s="182"/>
      <c r="AN49" s="183">
        <f t="shared" si="8"/>
        <v>4.9800000000000004</v>
      </c>
      <c r="AO49" s="443">
        <v>0.25</v>
      </c>
      <c r="AP49" s="185">
        <f t="shared" si="17"/>
        <v>1.2450000000000001</v>
      </c>
      <c r="AQ49" s="178">
        <f t="shared" si="18"/>
        <v>1855050</v>
      </c>
      <c r="AR49" s="178"/>
      <c r="AS49" s="178">
        <f t="shared" si="9"/>
        <v>9824345</v>
      </c>
      <c r="AT49" s="469" t="str">
        <f t="shared" si="10"/>
        <v>36</v>
      </c>
      <c r="AU49" s="186"/>
      <c r="AV49" s="218" t="s">
        <v>704</v>
      </c>
      <c r="AX49" s="670">
        <f>44*200000</f>
        <v>8800000</v>
      </c>
    </row>
    <row r="50" spans="1:58" s="189" customFormat="1" ht="32.25" customHeight="1" x14ac:dyDescent="0.25">
      <c r="A50" s="168" t="s">
        <v>345</v>
      </c>
      <c r="B50" s="168" t="str">
        <f>VLOOKUP(D50,[1]LuongBC_T01!$B$9:$C$292,2,FALSE)</f>
        <v>0016100006758007</v>
      </c>
      <c r="C50" s="361" t="s">
        <v>865</v>
      </c>
      <c r="D50" s="169" t="s">
        <v>1168</v>
      </c>
      <c r="E50" s="263" t="s">
        <v>1374</v>
      </c>
      <c r="F50" s="169" t="s">
        <v>549</v>
      </c>
      <c r="G50" s="170"/>
      <c r="H50" s="170" t="s">
        <v>283</v>
      </c>
      <c r="I50" s="170" t="s">
        <v>282</v>
      </c>
      <c r="J50" s="169" t="s">
        <v>197</v>
      </c>
      <c r="K50" s="170" t="str">
        <f>VLOOKUP(D50,[2]T3!$B$2:$D$328,3,FALSE)</f>
        <v>022355188</v>
      </c>
      <c r="L50" s="171" t="s">
        <v>81</v>
      </c>
      <c r="M50" s="171" t="s">
        <v>865</v>
      </c>
      <c r="N50" s="390" t="s">
        <v>1438</v>
      </c>
      <c r="O50" s="172" t="s">
        <v>692</v>
      </c>
      <c r="P50" s="173">
        <v>8</v>
      </c>
      <c r="Q50" s="174">
        <v>4.9800000000000004</v>
      </c>
      <c r="R50" s="176">
        <f t="shared" si="11"/>
        <v>1.0458000000000001</v>
      </c>
      <c r="S50" s="370"/>
      <c r="T50" s="176">
        <f t="shared" si="12"/>
        <v>0</v>
      </c>
      <c r="U50" s="175">
        <f t="shared" si="0"/>
        <v>0</v>
      </c>
      <c r="V50" s="170"/>
      <c r="W50" s="179">
        <v>0.21</v>
      </c>
      <c r="X50" s="216">
        <f t="shared" si="13"/>
        <v>1.0458000000000001</v>
      </c>
      <c r="Y50" s="216">
        <f t="shared" si="1"/>
        <v>6.0258000000000003</v>
      </c>
      <c r="Z50" s="180">
        <f t="shared" si="14"/>
        <v>8978442</v>
      </c>
      <c r="AA50" s="180"/>
      <c r="AB50" s="180">
        <f t="shared" si="2"/>
        <v>0</v>
      </c>
      <c r="AC50" s="180">
        <f t="shared" si="19"/>
        <v>0</v>
      </c>
      <c r="AD50" s="180">
        <f t="shared" si="4"/>
        <v>8978442</v>
      </c>
      <c r="AE50" s="178">
        <f t="shared" si="5"/>
        <v>718275.36</v>
      </c>
      <c r="AF50" s="178">
        <f t="shared" si="6"/>
        <v>134676.63</v>
      </c>
      <c r="AG50" s="178">
        <f t="shared" si="7"/>
        <v>89784.42</v>
      </c>
      <c r="AH50" s="178"/>
      <c r="AI50" s="178">
        <f t="shared" si="15"/>
        <v>942736.41</v>
      </c>
      <c r="AJ50" s="192"/>
      <c r="AK50" s="182">
        <f t="shared" si="16"/>
        <v>0</v>
      </c>
      <c r="AL50" s="182"/>
      <c r="AM50" s="182"/>
      <c r="AN50" s="183">
        <f t="shared" si="8"/>
        <v>4.9800000000000004</v>
      </c>
      <c r="AO50" s="443">
        <v>0.25</v>
      </c>
      <c r="AP50" s="185">
        <f t="shared" si="17"/>
        <v>1.2450000000000001</v>
      </c>
      <c r="AQ50" s="178">
        <f t="shared" si="18"/>
        <v>1855050</v>
      </c>
      <c r="AR50" s="178"/>
      <c r="AS50" s="178">
        <f t="shared" si="9"/>
        <v>9890756</v>
      </c>
      <c r="AT50" s="469" t="str">
        <f t="shared" si="10"/>
        <v>37</v>
      </c>
      <c r="AU50" s="186"/>
      <c r="AV50" s="219" t="s">
        <v>709</v>
      </c>
      <c r="AX50" s="670">
        <f>56*100000</f>
        <v>5600000</v>
      </c>
    </row>
    <row r="51" spans="1:58" s="189" customFormat="1" ht="29.25" customHeight="1" x14ac:dyDescent="0.25">
      <c r="A51" s="168" t="s">
        <v>565</v>
      </c>
      <c r="B51" s="168" t="str">
        <f>VLOOKUP(D51,[1]LuongBC_T01!$B$9:$C$292,2,FALSE)</f>
        <v>0016100006760001</v>
      </c>
      <c r="C51" s="361" t="s">
        <v>867</v>
      </c>
      <c r="D51" s="169" t="s">
        <v>1169</v>
      </c>
      <c r="E51" s="263" t="s">
        <v>1374</v>
      </c>
      <c r="F51" s="169" t="s">
        <v>550</v>
      </c>
      <c r="G51" s="170" t="s">
        <v>25</v>
      </c>
      <c r="H51" s="170" t="s">
        <v>283</v>
      </c>
      <c r="I51" s="170" t="s">
        <v>282</v>
      </c>
      <c r="J51" s="169" t="s">
        <v>195</v>
      </c>
      <c r="K51" s="170" t="str">
        <f>VLOOKUP(D51,[2]T3!$B$2:$D$328,3,FALSE)</f>
        <v>023044182</v>
      </c>
      <c r="L51" s="171" t="s">
        <v>79</v>
      </c>
      <c r="M51" s="171" t="s">
        <v>867</v>
      </c>
      <c r="N51" s="390" t="s">
        <v>1438</v>
      </c>
      <c r="O51" s="172" t="s">
        <v>692</v>
      </c>
      <c r="P51" s="173">
        <v>8</v>
      </c>
      <c r="Q51" s="174">
        <v>4.9800000000000004</v>
      </c>
      <c r="R51" s="176">
        <f t="shared" si="11"/>
        <v>1.0458000000000001</v>
      </c>
      <c r="S51" s="370"/>
      <c r="T51" s="176">
        <f t="shared" si="12"/>
        <v>0</v>
      </c>
      <c r="U51" s="175">
        <f t="shared" si="0"/>
        <v>0</v>
      </c>
      <c r="V51" s="170"/>
      <c r="W51" s="179">
        <v>0.21</v>
      </c>
      <c r="X51" s="216">
        <f t="shared" si="13"/>
        <v>1.0458000000000001</v>
      </c>
      <c r="Y51" s="216">
        <f t="shared" si="1"/>
        <v>6.0258000000000003</v>
      </c>
      <c r="Z51" s="180">
        <f t="shared" si="14"/>
        <v>8978442</v>
      </c>
      <c r="AA51" s="180"/>
      <c r="AB51" s="180">
        <f t="shared" si="2"/>
        <v>0</v>
      </c>
      <c r="AC51" s="180">
        <f t="shared" si="19"/>
        <v>0</v>
      </c>
      <c r="AD51" s="180">
        <f t="shared" si="4"/>
        <v>8978442</v>
      </c>
      <c r="AE51" s="178">
        <f t="shared" si="5"/>
        <v>718275.36</v>
      </c>
      <c r="AF51" s="178">
        <f t="shared" si="6"/>
        <v>134676.63</v>
      </c>
      <c r="AG51" s="178">
        <f t="shared" si="7"/>
        <v>89784.42</v>
      </c>
      <c r="AH51" s="178"/>
      <c r="AI51" s="178">
        <f t="shared" si="15"/>
        <v>942736.41</v>
      </c>
      <c r="AJ51" s="181"/>
      <c r="AK51" s="182">
        <f t="shared" si="16"/>
        <v>0</v>
      </c>
      <c r="AL51" s="182"/>
      <c r="AM51" s="182"/>
      <c r="AN51" s="183">
        <f t="shared" si="8"/>
        <v>4.9800000000000004</v>
      </c>
      <c r="AO51" s="443">
        <v>0.25</v>
      </c>
      <c r="AP51" s="185">
        <f t="shared" si="17"/>
        <v>1.2450000000000001</v>
      </c>
      <c r="AQ51" s="178">
        <f t="shared" si="18"/>
        <v>1855050</v>
      </c>
      <c r="AR51" s="178"/>
      <c r="AS51" s="178">
        <f t="shared" si="9"/>
        <v>9890756</v>
      </c>
      <c r="AT51" s="469" t="str">
        <f t="shared" si="10"/>
        <v>38</v>
      </c>
      <c r="AU51" s="186"/>
      <c r="AV51" s="218" t="s">
        <v>709</v>
      </c>
      <c r="AX51" s="670">
        <f>22*50000</f>
        <v>1100000</v>
      </c>
    </row>
    <row r="52" spans="1:58" s="189" customFormat="1" ht="30" customHeight="1" x14ac:dyDescent="0.25">
      <c r="A52" s="168" t="s">
        <v>1126</v>
      </c>
      <c r="B52" s="168" t="str">
        <f>VLOOKUP(D52,[1]LuongBC_T01!$B$9:$C$292,2,FALSE)</f>
        <v>0016100006763008</v>
      </c>
      <c r="C52" s="361" t="s">
        <v>868</v>
      </c>
      <c r="D52" s="169" t="s">
        <v>1170</v>
      </c>
      <c r="E52" s="263" t="s">
        <v>1374</v>
      </c>
      <c r="F52" s="169" t="s">
        <v>549</v>
      </c>
      <c r="G52" s="170" t="s">
        <v>25</v>
      </c>
      <c r="H52" s="170" t="s">
        <v>283</v>
      </c>
      <c r="I52" s="170" t="s">
        <v>282</v>
      </c>
      <c r="J52" s="169" t="s">
        <v>196</v>
      </c>
      <c r="K52" s="170" t="str">
        <f>VLOOKUP(D52,[2]T3!$B$2:$D$328,3,FALSE)</f>
        <v>022813516</v>
      </c>
      <c r="L52" s="171" t="s">
        <v>80</v>
      </c>
      <c r="M52" s="171" t="s">
        <v>868</v>
      </c>
      <c r="N52" s="390" t="s">
        <v>1438</v>
      </c>
      <c r="O52" s="172" t="s">
        <v>692</v>
      </c>
      <c r="P52" s="173">
        <v>8</v>
      </c>
      <c r="Q52" s="174">
        <v>4.9800000000000004</v>
      </c>
      <c r="R52" s="176">
        <f t="shared" si="11"/>
        <v>0.996</v>
      </c>
      <c r="S52" s="370"/>
      <c r="T52" s="176">
        <f t="shared" si="12"/>
        <v>0</v>
      </c>
      <c r="U52" s="175">
        <f t="shared" si="0"/>
        <v>0</v>
      </c>
      <c r="V52" s="170"/>
      <c r="W52" s="179">
        <v>0.2</v>
      </c>
      <c r="X52" s="216">
        <f t="shared" si="13"/>
        <v>0.996</v>
      </c>
      <c r="Y52" s="216">
        <f t="shared" si="1"/>
        <v>5.976</v>
      </c>
      <c r="Z52" s="180">
        <f t="shared" si="14"/>
        <v>8904240</v>
      </c>
      <c r="AA52" s="180"/>
      <c r="AB52" s="180">
        <f t="shared" si="2"/>
        <v>0</v>
      </c>
      <c r="AC52" s="180">
        <f t="shared" si="19"/>
        <v>0</v>
      </c>
      <c r="AD52" s="180">
        <f t="shared" si="4"/>
        <v>8904240</v>
      </c>
      <c r="AE52" s="178">
        <f t="shared" si="5"/>
        <v>712339.20000000007</v>
      </c>
      <c r="AF52" s="178">
        <f t="shared" si="6"/>
        <v>133563.6</v>
      </c>
      <c r="AG52" s="178">
        <f t="shared" si="7"/>
        <v>89042.400000000009</v>
      </c>
      <c r="AH52" s="178"/>
      <c r="AI52" s="178">
        <f t="shared" si="15"/>
        <v>934945.20000000007</v>
      </c>
      <c r="AJ52" s="192"/>
      <c r="AK52" s="182">
        <f t="shared" si="16"/>
        <v>0</v>
      </c>
      <c r="AL52" s="182"/>
      <c r="AM52" s="182"/>
      <c r="AN52" s="183">
        <f t="shared" si="8"/>
        <v>4.9800000000000004</v>
      </c>
      <c r="AO52" s="443">
        <v>0.25</v>
      </c>
      <c r="AP52" s="185">
        <f t="shared" si="17"/>
        <v>1.2450000000000001</v>
      </c>
      <c r="AQ52" s="178">
        <f t="shared" si="18"/>
        <v>1855050</v>
      </c>
      <c r="AR52" s="178"/>
      <c r="AS52" s="178">
        <f t="shared" si="9"/>
        <v>9824345</v>
      </c>
      <c r="AT52" s="469" t="str">
        <f t="shared" si="10"/>
        <v>39</v>
      </c>
      <c r="AU52" s="186"/>
      <c r="AV52" s="198" t="s">
        <v>709</v>
      </c>
      <c r="AX52" s="670">
        <f>SUM(AX48:AX51)</f>
        <v>108000000</v>
      </c>
    </row>
    <row r="53" spans="1:58" s="191" customFormat="1" ht="42" customHeight="1" x14ac:dyDescent="0.25">
      <c r="A53" s="168" t="s">
        <v>346</v>
      </c>
      <c r="B53" s="168" t="str">
        <f>VLOOKUP(D53,[1]LuongBC_T01!$B$9:$C$292,2,FALSE)</f>
        <v>0016100006501006</v>
      </c>
      <c r="C53" s="361" t="s">
        <v>869</v>
      </c>
      <c r="D53" s="169" t="s">
        <v>1171</v>
      </c>
      <c r="E53" s="263" t="s">
        <v>1416</v>
      </c>
      <c r="F53" s="169" t="s">
        <v>549</v>
      </c>
      <c r="G53" s="170"/>
      <c r="H53" s="170"/>
      <c r="I53" s="170" t="s">
        <v>283</v>
      </c>
      <c r="J53" s="169" t="s">
        <v>213</v>
      </c>
      <c r="K53" s="170" t="str">
        <f>VLOOKUP(D53,[2]T3!$B$2:$D$328,3,FALSE)</f>
        <v>020953956</v>
      </c>
      <c r="L53" s="171" t="s">
        <v>94</v>
      </c>
      <c r="M53" s="171" t="s">
        <v>869</v>
      </c>
      <c r="N53" s="390" t="s">
        <v>807</v>
      </c>
      <c r="O53" s="172" t="s">
        <v>692</v>
      </c>
      <c r="P53" s="173">
        <v>8</v>
      </c>
      <c r="Q53" s="174">
        <v>4.9800000000000004</v>
      </c>
      <c r="R53" s="176">
        <f t="shared" si="11"/>
        <v>0</v>
      </c>
      <c r="S53" s="370"/>
      <c r="T53" s="176">
        <f t="shared" si="12"/>
        <v>0</v>
      </c>
      <c r="U53" s="175">
        <f t="shared" si="0"/>
        <v>0</v>
      </c>
      <c r="V53" s="200"/>
      <c r="W53" s="179">
        <f>VLOOKUP(D53,[3]BC!$D$14:$X$294,20,FALSE)</f>
        <v>0</v>
      </c>
      <c r="X53" s="216">
        <f t="shared" si="13"/>
        <v>0</v>
      </c>
      <c r="Y53" s="216">
        <f t="shared" si="1"/>
        <v>4.9800000000000004</v>
      </c>
      <c r="Z53" s="180">
        <f t="shared" si="14"/>
        <v>7420200</v>
      </c>
      <c r="AA53" s="180"/>
      <c r="AB53" s="180">
        <f t="shared" si="2"/>
        <v>0</v>
      </c>
      <c r="AC53" s="180">
        <f t="shared" si="19"/>
        <v>0</v>
      </c>
      <c r="AD53" s="180">
        <f t="shared" si="4"/>
        <v>7420200</v>
      </c>
      <c r="AE53" s="178">
        <f t="shared" si="5"/>
        <v>593616</v>
      </c>
      <c r="AF53" s="178">
        <f t="shared" si="6"/>
        <v>111303</v>
      </c>
      <c r="AG53" s="178">
        <f t="shared" si="7"/>
        <v>74202</v>
      </c>
      <c r="AH53" s="178"/>
      <c r="AI53" s="178">
        <f t="shared" si="15"/>
        <v>779121</v>
      </c>
      <c r="AJ53" s="181"/>
      <c r="AK53" s="182">
        <f t="shared" si="16"/>
        <v>0</v>
      </c>
      <c r="AL53" s="182"/>
      <c r="AM53" s="182"/>
      <c r="AN53" s="183">
        <f t="shared" si="8"/>
        <v>4.9800000000000004</v>
      </c>
      <c r="AO53" s="179"/>
      <c r="AP53" s="185">
        <f t="shared" si="17"/>
        <v>0</v>
      </c>
      <c r="AQ53" s="178">
        <f t="shared" si="18"/>
        <v>0</v>
      </c>
      <c r="AR53" s="178"/>
      <c r="AS53" s="178">
        <f t="shared" si="9"/>
        <v>6641079</v>
      </c>
      <c r="AT53" s="469" t="str">
        <f t="shared" si="10"/>
        <v>40</v>
      </c>
      <c r="AU53" s="186"/>
      <c r="AV53" s="187" t="s">
        <v>704</v>
      </c>
    </row>
    <row r="54" spans="1:58" s="191" customFormat="1" ht="29.25" customHeight="1" x14ac:dyDescent="0.25">
      <c r="A54" s="168" t="s">
        <v>347</v>
      </c>
      <c r="B54" s="168" t="str">
        <f>VLOOKUP(D54,[1]LuongBC_T01!$B$9:$C$292,2,FALSE)</f>
        <v>0016100006811005</v>
      </c>
      <c r="C54" s="361" t="s">
        <v>871</v>
      </c>
      <c r="D54" s="169" t="s">
        <v>1172</v>
      </c>
      <c r="E54" s="263" t="s">
        <v>1374</v>
      </c>
      <c r="F54" s="169" t="s">
        <v>549</v>
      </c>
      <c r="G54" s="170" t="s">
        <v>25</v>
      </c>
      <c r="H54" s="170" t="s">
        <v>283</v>
      </c>
      <c r="I54" s="170" t="s">
        <v>283</v>
      </c>
      <c r="J54" s="169" t="s">
        <v>235</v>
      </c>
      <c r="K54" s="170" t="str">
        <f>VLOOKUP(D54,[2]T3!$B$2:$D$328,3,FALSE)</f>
        <v>024283935</v>
      </c>
      <c r="L54" s="171" t="s">
        <v>144</v>
      </c>
      <c r="M54" s="171" t="s">
        <v>871</v>
      </c>
      <c r="N54" s="390" t="s">
        <v>807</v>
      </c>
      <c r="O54" s="172" t="s">
        <v>692</v>
      </c>
      <c r="P54" s="173">
        <v>8</v>
      </c>
      <c r="Q54" s="174">
        <v>4.9800000000000004</v>
      </c>
      <c r="R54" s="176">
        <f t="shared" si="11"/>
        <v>0.996</v>
      </c>
      <c r="S54" s="370"/>
      <c r="T54" s="176">
        <f t="shared" si="12"/>
        <v>0</v>
      </c>
      <c r="U54" s="175">
        <f t="shared" si="0"/>
        <v>0</v>
      </c>
      <c r="V54" s="200"/>
      <c r="W54" s="179">
        <v>0.2</v>
      </c>
      <c r="X54" s="216">
        <f t="shared" si="13"/>
        <v>0.996</v>
      </c>
      <c r="Y54" s="216">
        <f t="shared" si="1"/>
        <v>5.976</v>
      </c>
      <c r="Z54" s="180">
        <f t="shared" si="14"/>
        <v>8904240</v>
      </c>
      <c r="AA54" s="180"/>
      <c r="AB54" s="180">
        <f t="shared" si="2"/>
        <v>0</v>
      </c>
      <c r="AC54" s="180">
        <f t="shared" si="19"/>
        <v>0</v>
      </c>
      <c r="AD54" s="180">
        <f t="shared" si="4"/>
        <v>8904240</v>
      </c>
      <c r="AE54" s="178">
        <f t="shared" si="5"/>
        <v>712339.20000000007</v>
      </c>
      <c r="AF54" s="178">
        <f t="shared" si="6"/>
        <v>133563.6</v>
      </c>
      <c r="AG54" s="178">
        <f t="shared" si="7"/>
        <v>89042.400000000009</v>
      </c>
      <c r="AH54" s="178"/>
      <c r="AI54" s="178">
        <f t="shared" si="15"/>
        <v>934945.20000000007</v>
      </c>
      <c r="AJ54" s="181"/>
      <c r="AK54" s="182">
        <f t="shared" si="16"/>
        <v>0</v>
      </c>
      <c r="AL54" s="182"/>
      <c r="AM54" s="182"/>
      <c r="AN54" s="183">
        <f t="shared" si="8"/>
        <v>4.9800000000000004</v>
      </c>
      <c r="AO54" s="443">
        <v>0.25</v>
      </c>
      <c r="AP54" s="185">
        <f t="shared" si="17"/>
        <v>1.2450000000000001</v>
      </c>
      <c r="AQ54" s="178">
        <f t="shared" si="18"/>
        <v>1855050</v>
      </c>
      <c r="AR54" s="178"/>
      <c r="AS54" s="178">
        <f t="shared" si="9"/>
        <v>9824345</v>
      </c>
      <c r="AT54" s="469" t="str">
        <f t="shared" si="10"/>
        <v>41</v>
      </c>
      <c r="AU54" s="186"/>
      <c r="AV54" s="187" t="s">
        <v>709</v>
      </c>
    </row>
    <row r="55" spans="1:58" s="189" customFormat="1" ht="30" customHeight="1" x14ac:dyDescent="0.25">
      <c r="A55" s="168" t="s">
        <v>348</v>
      </c>
      <c r="B55" s="168" t="s">
        <v>1263</v>
      </c>
      <c r="C55" s="361" t="s">
        <v>870</v>
      </c>
      <c r="D55" s="169" t="s">
        <v>1159</v>
      </c>
      <c r="E55" s="263" t="s">
        <v>1392</v>
      </c>
      <c r="F55" s="169" t="s">
        <v>549</v>
      </c>
      <c r="G55" s="170"/>
      <c r="H55" s="170" t="s">
        <v>283</v>
      </c>
      <c r="I55" s="170" t="s">
        <v>283</v>
      </c>
      <c r="J55" s="169" t="s">
        <v>209</v>
      </c>
      <c r="K55" s="170" t="str">
        <f>VLOOKUP(D55,[2]T3!$B$2:$D$328,3,FALSE)</f>
        <v>022209365</v>
      </c>
      <c r="L55" s="171" t="s">
        <v>76</v>
      </c>
      <c r="M55" s="171" t="s">
        <v>870</v>
      </c>
      <c r="N55" s="390" t="s">
        <v>1438</v>
      </c>
      <c r="O55" s="172" t="s">
        <v>692</v>
      </c>
      <c r="P55" s="173">
        <v>8</v>
      </c>
      <c r="Q55" s="174">
        <v>4.9800000000000004</v>
      </c>
      <c r="R55" s="176">
        <f t="shared" si="11"/>
        <v>1.0458000000000001</v>
      </c>
      <c r="S55" s="370"/>
      <c r="T55" s="176">
        <f t="shared" si="12"/>
        <v>0</v>
      </c>
      <c r="U55" s="175">
        <f t="shared" si="0"/>
        <v>0</v>
      </c>
      <c r="V55" s="170"/>
      <c r="W55" s="179">
        <v>0.21</v>
      </c>
      <c r="X55" s="216">
        <f t="shared" si="13"/>
        <v>1.0458000000000001</v>
      </c>
      <c r="Y55" s="216">
        <f t="shared" si="1"/>
        <v>6.0258000000000003</v>
      </c>
      <c r="Z55" s="180">
        <f t="shared" si="14"/>
        <v>8978442</v>
      </c>
      <c r="AA55" s="180"/>
      <c r="AB55" s="180">
        <f t="shared" si="2"/>
        <v>0</v>
      </c>
      <c r="AC55" s="180">
        <f t="shared" si="19"/>
        <v>0</v>
      </c>
      <c r="AD55" s="180">
        <f t="shared" si="4"/>
        <v>8978442</v>
      </c>
      <c r="AE55" s="178">
        <f t="shared" si="5"/>
        <v>718275.36</v>
      </c>
      <c r="AF55" s="178">
        <f t="shared" si="6"/>
        <v>134676.63</v>
      </c>
      <c r="AG55" s="178">
        <f t="shared" si="7"/>
        <v>89784.42</v>
      </c>
      <c r="AH55" s="178"/>
      <c r="AI55" s="178">
        <f t="shared" si="15"/>
        <v>942736.41</v>
      </c>
      <c r="AJ55" s="192"/>
      <c r="AK55" s="182">
        <f t="shared" si="16"/>
        <v>0</v>
      </c>
      <c r="AL55" s="182"/>
      <c r="AM55" s="182"/>
      <c r="AN55" s="183">
        <f t="shared" si="8"/>
        <v>4.9800000000000004</v>
      </c>
      <c r="AO55" s="443">
        <v>0.25</v>
      </c>
      <c r="AP55" s="185">
        <f t="shared" si="17"/>
        <v>1.2450000000000001</v>
      </c>
      <c r="AQ55" s="178">
        <f t="shared" si="18"/>
        <v>1855050</v>
      </c>
      <c r="AR55" s="178"/>
      <c r="AS55" s="178">
        <f t="shared" si="9"/>
        <v>9890756</v>
      </c>
      <c r="AT55" s="469" t="str">
        <f t="shared" si="10"/>
        <v>42</v>
      </c>
      <c r="AU55" s="186"/>
      <c r="AV55" s="187" t="s">
        <v>704</v>
      </c>
    </row>
    <row r="56" spans="1:58" s="189" customFormat="1" ht="27.75" customHeight="1" x14ac:dyDescent="0.25">
      <c r="A56" s="168" t="s">
        <v>349</v>
      </c>
      <c r="B56" s="168" t="str">
        <f>VLOOKUP(D56,[1]LuongBC_T01!$B$9:$C$292,2,FALSE)</f>
        <v>0016100006753005</v>
      </c>
      <c r="C56" s="361" t="s">
        <v>873</v>
      </c>
      <c r="D56" s="169" t="s">
        <v>1174</v>
      </c>
      <c r="E56" s="263" t="s">
        <v>1094</v>
      </c>
      <c r="F56" s="169" t="s">
        <v>550</v>
      </c>
      <c r="G56" s="170" t="s">
        <v>25</v>
      </c>
      <c r="H56" s="170" t="s">
        <v>283</v>
      </c>
      <c r="I56" s="170" t="s">
        <v>283</v>
      </c>
      <c r="J56" s="169" t="s">
        <v>226</v>
      </c>
      <c r="K56" s="170" t="str">
        <f>VLOOKUP(D56,[2]T3!$B$2:$D$328,3,FALSE)</f>
        <v>023837190</v>
      </c>
      <c r="L56" s="171" t="s">
        <v>95</v>
      </c>
      <c r="M56" s="171" t="s">
        <v>873</v>
      </c>
      <c r="N56" s="390" t="s">
        <v>807</v>
      </c>
      <c r="O56" s="172" t="s">
        <v>692</v>
      </c>
      <c r="P56" s="173">
        <v>8</v>
      </c>
      <c r="Q56" s="174">
        <v>4.9800000000000004</v>
      </c>
      <c r="R56" s="176">
        <f t="shared" si="11"/>
        <v>0.94620000000000004</v>
      </c>
      <c r="S56" s="370"/>
      <c r="T56" s="176">
        <f t="shared" si="12"/>
        <v>0</v>
      </c>
      <c r="U56" s="175">
        <f t="shared" si="0"/>
        <v>0</v>
      </c>
      <c r="V56" s="170"/>
      <c r="W56" s="179">
        <v>0.19</v>
      </c>
      <c r="X56" s="216">
        <f t="shared" si="13"/>
        <v>0.94620000000000004</v>
      </c>
      <c r="Y56" s="216">
        <f t="shared" si="1"/>
        <v>5.9261999999999997</v>
      </c>
      <c r="Z56" s="180">
        <f t="shared" si="14"/>
        <v>8830038</v>
      </c>
      <c r="AA56" s="180"/>
      <c r="AB56" s="180">
        <f t="shared" si="2"/>
        <v>0</v>
      </c>
      <c r="AC56" s="180">
        <f t="shared" si="19"/>
        <v>0</v>
      </c>
      <c r="AD56" s="180">
        <f t="shared" si="4"/>
        <v>8830038</v>
      </c>
      <c r="AE56" s="178">
        <f t="shared" si="5"/>
        <v>706403.04</v>
      </c>
      <c r="AF56" s="178">
        <f t="shared" si="6"/>
        <v>132450.57</v>
      </c>
      <c r="AG56" s="178">
        <f t="shared" si="7"/>
        <v>88300.38</v>
      </c>
      <c r="AH56" s="178"/>
      <c r="AI56" s="178">
        <f t="shared" si="15"/>
        <v>927153.99000000011</v>
      </c>
      <c r="AJ56" s="192"/>
      <c r="AK56" s="182">
        <f t="shared" si="16"/>
        <v>0</v>
      </c>
      <c r="AL56" s="182"/>
      <c r="AM56" s="182"/>
      <c r="AN56" s="183">
        <f t="shared" si="8"/>
        <v>4.9800000000000004</v>
      </c>
      <c r="AO56" s="443">
        <v>0.25</v>
      </c>
      <c r="AP56" s="185">
        <f t="shared" si="17"/>
        <v>1.2450000000000001</v>
      </c>
      <c r="AQ56" s="178">
        <f t="shared" si="18"/>
        <v>1855050</v>
      </c>
      <c r="AR56" s="178"/>
      <c r="AS56" s="178">
        <f t="shared" si="9"/>
        <v>9757934</v>
      </c>
      <c r="AT56" s="469" t="str">
        <f t="shared" si="10"/>
        <v>43</v>
      </c>
      <c r="AU56" s="195"/>
      <c r="AV56" s="187" t="s">
        <v>710</v>
      </c>
    </row>
    <row r="57" spans="1:58" s="189" customFormat="1" ht="27.75" customHeight="1" x14ac:dyDescent="0.25">
      <c r="A57" s="168" t="s">
        <v>350</v>
      </c>
      <c r="B57" s="168" t="str">
        <f>VLOOKUP(D57,[1]LuongBC_T01!$B$9:$C$292,2,FALSE)</f>
        <v>0016100006586001</v>
      </c>
      <c r="C57" s="361" t="s">
        <v>874</v>
      </c>
      <c r="D57" s="169" t="s">
        <v>682</v>
      </c>
      <c r="E57" s="263" t="s">
        <v>1381</v>
      </c>
      <c r="F57" s="169" t="s">
        <v>549</v>
      </c>
      <c r="G57" s="170"/>
      <c r="H57" s="170" t="s">
        <v>283</v>
      </c>
      <c r="I57" s="170" t="s">
        <v>283</v>
      </c>
      <c r="J57" s="169"/>
      <c r="K57" s="170" t="str">
        <f>VLOOKUP(D57,[2]T3!$B$2:$D$328,3,FALSE)</f>
        <v>079071003963</v>
      </c>
      <c r="L57" s="213" t="s">
        <v>684</v>
      </c>
      <c r="M57" s="213" t="s">
        <v>874</v>
      </c>
      <c r="N57" s="390" t="s">
        <v>1438</v>
      </c>
      <c r="O57" s="172" t="s">
        <v>692</v>
      </c>
      <c r="P57" s="173">
        <v>7</v>
      </c>
      <c r="Q57" s="174">
        <v>4.6500000000000004</v>
      </c>
      <c r="R57" s="176">
        <f t="shared" si="11"/>
        <v>0.88349999999999995</v>
      </c>
      <c r="S57" s="370"/>
      <c r="T57" s="176">
        <f t="shared" si="12"/>
        <v>0</v>
      </c>
      <c r="U57" s="175">
        <f t="shared" si="0"/>
        <v>0</v>
      </c>
      <c r="V57" s="170"/>
      <c r="W57" s="179">
        <v>0.19</v>
      </c>
      <c r="X57" s="216">
        <f t="shared" si="13"/>
        <v>0.88349999999999995</v>
      </c>
      <c r="Y57" s="216">
        <f t="shared" si="1"/>
        <v>5.5335000000000001</v>
      </c>
      <c r="Z57" s="180">
        <f t="shared" si="14"/>
        <v>8244915</v>
      </c>
      <c r="AA57" s="180"/>
      <c r="AB57" s="180">
        <f t="shared" si="2"/>
        <v>0</v>
      </c>
      <c r="AC57" s="180">
        <f t="shared" si="19"/>
        <v>0</v>
      </c>
      <c r="AD57" s="180">
        <f t="shared" si="4"/>
        <v>8244915</v>
      </c>
      <c r="AE57" s="178">
        <f t="shared" si="5"/>
        <v>659593.20000000007</v>
      </c>
      <c r="AF57" s="178">
        <f t="shared" si="6"/>
        <v>123673.72499999999</v>
      </c>
      <c r="AG57" s="178">
        <f t="shared" si="7"/>
        <v>82449.150000000009</v>
      </c>
      <c r="AH57" s="178"/>
      <c r="AI57" s="178">
        <f t="shared" si="15"/>
        <v>865716.07500000007</v>
      </c>
      <c r="AJ57" s="192"/>
      <c r="AK57" s="182">
        <f t="shared" si="16"/>
        <v>0</v>
      </c>
      <c r="AL57" s="182"/>
      <c r="AM57" s="182"/>
      <c r="AN57" s="183">
        <f t="shared" si="8"/>
        <v>4.6500000000000004</v>
      </c>
      <c r="AO57" s="246">
        <v>0.25</v>
      </c>
      <c r="AP57" s="185">
        <f t="shared" si="17"/>
        <v>1.1625000000000001</v>
      </c>
      <c r="AQ57" s="178">
        <f t="shared" si="18"/>
        <v>1732125</v>
      </c>
      <c r="AR57" s="178"/>
      <c r="AS57" s="178">
        <f t="shared" si="9"/>
        <v>9111324</v>
      </c>
      <c r="AT57" s="469" t="str">
        <f t="shared" si="10"/>
        <v>44</v>
      </c>
      <c r="AU57" s="186"/>
      <c r="AV57" s="187" t="s">
        <v>703</v>
      </c>
    </row>
    <row r="58" spans="1:58" s="189" customFormat="1" ht="25.5" customHeight="1" x14ac:dyDescent="0.25">
      <c r="A58" s="168" t="s">
        <v>351</v>
      </c>
      <c r="B58" s="168" t="str">
        <f>VLOOKUP(D58,[1]LuongBC_T01!$B$9:$C$292,2,FALSE)</f>
        <v>0016100006704004</v>
      </c>
      <c r="C58" s="361" t="s">
        <v>876</v>
      </c>
      <c r="D58" s="169" t="s">
        <v>287</v>
      </c>
      <c r="E58" s="263" t="s">
        <v>1094</v>
      </c>
      <c r="F58" s="169" t="s">
        <v>549</v>
      </c>
      <c r="G58" s="170" t="s">
        <v>25</v>
      </c>
      <c r="H58" s="170" t="s">
        <v>283</v>
      </c>
      <c r="I58" s="170" t="s">
        <v>283</v>
      </c>
      <c r="J58" s="169" t="s">
        <v>288</v>
      </c>
      <c r="K58" s="170" t="str">
        <f>VLOOKUP(D58,[2]T3!$B$2:$D$328,3,FALSE)</f>
        <v>024917765</v>
      </c>
      <c r="L58" s="171" t="s">
        <v>289</v>
      </c>
      <c r="M58" s="171" t="s">
        <v>876</v>
      </c>
      <c r="N58" s="390" t="s">
        <v>1438</v>
      </c>
      <c r="O58" s="172" t="s">
        <v>692</v>
      </c>
      <c r="P58" s="173">
        <v>7</v>
      </c>
      <c r="Q58" s="174">
        <v>4.6500000000000004</v>
      </c>
      <c r="R58" s="176">
        <f t="shared" si="11"/>
        <v>0.97650000000000003</v>
      </c>
      <c r="S58" s="377"/>
      <c r="T58" s="176">
        <f t="shared" si="12"/>
        <v>0</v>
      </c>
      <c r="U58" s="175">
        <f t="shared" si="0"/>
        <v>0</v>
      </c>
      <c r="V58" s="200"/>
      <c r="W58" s="179">
        <v>0.21</v>
      </c>
      <c r="X58" s="216">
        <f t="shared" si="13"/>
        <v>0.97650000000000003</v>
      </c>
      <c r="Y58" s="216">
        <f t="shared" si="1"/>
        <v>5.6265000000000001</v>
      </c>
      <c r="Z58" s="180">
        <f t="shared" si="14"/>
        <v>8383485</v>
      </c>
      <c r="AA58" s="180"/>
      <c r="AB58" s="180">
        <f t="shared" si="2"/>
        <v>0</v>
      </c>
      <c r="AC58" s="180">
        <f t="shared" si="19"/>
        <v>0</v>
      </c>
      <c r="AD58" s="180">
        <f t="shared" si="4"/>
        <v>8383485</v>
      </c>
      <c r="AE58" s="178">
        <f t="shared" si="5"/>
        <v>670678.80000000005</v>
      </c>
      <c r="AF58" s="178">
        <f t="shared" si="6"/>
        <v>125752.27499999999</v>
      </c>
      <c r="AG58" s="178">
        <f t="shared" si="7"/>
        <v>83834.850000000006</v>
      </c>
      <c r="AH58" s="178"/>
      <c r="AI58" s="178">
        <f t="shared" si="15"/>
        <v>880265.92500000005</v>
      </c>
      <c r="AJ58" s="181"/>
      <c r="AK58" s="182">
        <f t="shared" si="16"/>
        <v>0</v>
      </c>
      <c r="AL58" s="182"/>
      <c r="AM58" s="182"/>
      <c r="AN58" s="183">
        <f t="shared" si="8"/>
        <v>4.6500000000000004</v>
      </c>
      <c r="AO58" s="443">
        <v>0.25</v>
      </c>
      <c r="AP58" s="185">
        <f t="shared" si="17"/>
        <v>1.1625000000000001</v>
      </c>
      <c r="AQ58" s="178">
        <f t="shared" si="18"/>
        <v>1732125</v>
      </c>
      <c r="AR58" s="178"/>
      <c r="AS58" s="178">
        <f t="shared" si="9"/>
        <v>9235344</v>
      </c>
      <c r="AT58" s="469" t="str">
        <f t="shared" si="10"/>
        <v>45</v>
      </c>
      <c r="AU58" s="186"/>
      <c r="AV58" s="198" t="s">
        <v>710</v>
      </c>
    </row>
    <row r="59" spans="1:58" s="189" customFormat="1" ht="30" customHeight="1" x14ac:dyDescent="0.25">
      <c r="A59" s="168" t="s">
        <v>352</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390" t="s">
        <v>1438</v>
      </c>
      <c r="O59" s="172" t="s">
        <v>692</v>
      </c>
      <c r="P59" s="173">
        <v>6</v>
      </c>
      <c r="Q59" s="174">
        <v>4.32</v>
      </c>
      <c r="R59" s="176">
        <f t="shared" si="11"/>
        <v>0.77759999999999996</v>
      </c>
      <c r="S59" s="370"/>
      <c r="T59" s="176">
        <f t="shared" si="12"/>
        <v>0</v>
      </c>
      <c r="U59" s="175">
        <f t="shared" si="0"/>
        <v>0</v>
      </c>
      <c r="V59" s="170"/>
      <c r="W59" s="179">
        <v>0.18</v>
      </c>
      <c r="X59" s="216">
        <f t="shared" si="13"/>
        <v>0.77759999999999996</v>
      </c>
      <c r="Y59" s="216">
        <f t="shared" si="1"/>
        <v>5.0975999999999999</v>
      </c>
      <c r="Z59" s="180">
        <f t="shared" si="14"/>
        <v>7595424</v>
      </c>
      <c r="AA59" s="180"/>
      <c r="AB59" s="180">
        <f t="shared" si="2"/>
        <v>0</v>
      </c>
      <c r="AC59" s="180">
        <f t="shared" si="19"/>
        <v>0</v>
      </c>
      <c r="AD59" s="180">
        <f t="shared" si="4"/>
        <v>7595424</v>
      </c>
      <c r="AE59" s="178">
        <f t="shared" si="5"/>
        <v>607633.92000000004</v>
      </c>
      <c r="AF59" s="178">
        <f t="shared" si="6"/>
        <v>113931.36</v>
      </c>
      <c r="AG59" s="178">
        <f t="shared" si="7"/>
        <v>75954.240000000005</v>
      </c>
      <c r="AH59" s="178"/>
      <c r="AI59" s="178">
        <f t="shared" si="15"/>
        <v>797519.52</v>
      </c>
      <c r="AJ59" s="192"/>
      <c r="AK59" s="182">
        <f t="shared" si="16"/>
        <v>0</v>
      </c>
      <c r="AL59" s="182"/>
      <c r="AM59" s="182"/>
      <c r="AN59" s="183">
        <f t="shared" si="8"/>
        <v>4.32</v>
      </c>
      <c r="AO59" s="443">
        <v>0.25</v>
      </c>
      <c r="AP59" s="185">
        <f t="shared" si="17"/>
        <v>1.08</v>
      </c>
      <c r="AQ59" s="178">
        <f t="shared" si="18"/>
        <v>1609200</v>
      </c>
      <c r="AR59" s="178"/>
      <c r="AS59" s="178">
        <f t="shared" si="9"/>
        <v>8407104</v>
      </c>
      <c r="AT59" s="469" t="str">
        <f t="shared" si="10"/>
        <v>46</v>
      </c>
      <c r="AU59" s="195"/>
      <c r="AV59" s="219" t="s">
        <v>704</v>
      </c>
    </row>
    <row r="60" spans="1:58" s="189" customFormat="1" ht="30" customHeight="1" x14ac:dyDescent="0.25">
      <c r="A60" s="168" t="s">
        <v>556</v>
      </c>
      <c r="B60" s="168" t="str">
        <f>VLOOKUP(D60,[1]LuongBC_T01!$B$9:$C$292,2,FALSE)</f>
        <v>0016100006593008</v>
      </c>
      <c r="C60" s="361" t="s">
        <v>877</v>
      </c>
      <c r="D60" s="169" t="s">
        <v>1176</v>
      </c>
      <c r="E60" s="263" t="s">
        <v>1392</v>
      </c>
      <c r="F60" s="169" t="s">
        <v>550</v>
      </c>
      <c r="G60" s="170"/>
      <c r="H60" s="170" t="s">
        <v>283</v>
      </c>
      <c r="I60" s="170" t="s">
        <v>283</v>
      </c>
      <c r="J60" s="169" t="s">
        <v>218</v>
      </c>
      <c r="K60" s="170" t="str">
        <f>VLOOKUP(D60,[2]T3!$B$2:$D$328,3,FALSE)</f>
        <v>024951998</v>
      </c>
      <c r="L60" s="171" t="s">
        <v>146</v>
      </c>
      <c r="M60" s="171" t="s">
        <v>877</v>
      </c>
      <c r="N60" s="390" t="s">
        <v>1438</v>
      </c>
      <c r="O60" s="172" t="s">
        <v>692</v>
      </c>
      <c r="P60" s="173">
        <v>6</v>
      </c>
      <c r="Q60" s="174">
        <v>4.32</v>
      </c>
      <c r="R60" s="176">
        <f t="shared" si="11"/>
        <v>0.77759999999999996</v>
      </c>
      <c r="S60" s="370"/>
      <c r="T60" s="176">
        <f t="shared" si="12"/>
        <v>0</v>
      </c>
      <c r="U60" s="175">
        <f t="shared" si="0"/>
        <v>0</v>
      </c>
      <c r="V60" s="170"/>
      <c r="W60" s="179">
        <v>0.18</v>
      </c>
      <c r="X60" s="216">
        <f t="shared" si="13"/>
        <v>0.77759999999999996</v>
      </c>
      <c r="Y60" s="216">
        <f t="shared" si="1"/>
        <v>5.0975999999999999</v>
      </c>
      <c r="Z60" s="180">
        <f t="shared" si="14"/>
        <v>7595424</v>
      </c>
      <c r="AA60" s="180"/>
      <c r="AB60" s="180">
        <f t="shared" si="2"/>
        <v>0</v>
      </c>
      <c r="AC60" s="180">
        <f t="shared" si="19"/>
        <v>0</v>
      </c>
      <c r="AD60" s="180">
        <f t="shared" si="4"/>
        <v>7595424</v>
      </c>
      <c r="AE60" s="178">
        <f t="shared" si="5"/>
        <v>607633.92000000004</v>
      </c>
      <c r="AF60" s="178">
        <f t="shared" si="6"/>
        <v>113931.36</v>
      </c>
      <c r="AG60" s="178">
        <f t="shared" si="7"/>
        <v>75954.240000000005</v>
      </c>
      <c r="AH60" s="178"/>
      <c r="AI60" s="178">
        <f t="shared" si="15"/>
        <v>797519.52</v>
      </c>
      <c r="AJ60" s="192"/>
      <c r="AK60" s="182">
        <f t="shared" si="16"/>
        <v>0</v>
      </c>
      <c r="AL60" s="182"/>
      <c r="AM60" s="182"/>
      <c r="AN60" s="183">
        <f t="shared" si="8"/>
        <v>4.32</v>
      </c>
      <c r="AO60" s="443">
        <v>0.25</v>
      </c>
      <c r="AP60" s="185">
        <f t="shared" si="17"/>
        <v>1.08</v>
      </c>
      <c r="AQ60" s="178">
        <f t="shared" si="18"/>
        <v>1609200</v>
      </c>
      <c r="AR60" s="178"/>
      <c r="AS60" s="178">
        <f t="shared" si="9"/>
        <v>8407104</v>
      </c>
      <c r="AT60" s="469" t="str">
        <f t="shared" si="10"/>
        <v>47</v>
      </c>
      <c r="AU60" s="186"/>
      <c r="AV60" s="186" t="s">
        <v>704</v>
      </c>
    </row>
    <row r="61" spans="1:58" s="189" customFormat="1" ht="30" customHeight="1" x14ac:dyDescent="0.25">
      <c r="A61" s="168" t="s">
        <v>353</v>
      </c>
      <c r="B61" s="168" t="str">
        <f>VLOOKUP(D61,[1]LuongBC_T01!$B$9:$C$292,2,FALSE)</f>
        <v>0016100006583002</v>
      </c>
      <c r="C61" s="361" t="s">
        <v>878</v>
      </c>
      <c r="D61" s="169" t="s">
        <v>42</v>
      </c>
      <c r="E61" s="263" t="s">
        <v>1392</v>
      </c>
      <c r="F61" s="169" t="s">
        <v>549</v>
      </c>
      <c r="G61" s="170" t="s">
        <v>25</v>
      </c>
      <c r="H61" s="170" t="s">
        <v>283</v>
      </c>
      <c r="I61" s="170" t="s">
        <v>283</v>
      </c>
      <c r="J61" s="169" t="s">
        <v>223</v>
      </c>
      <c r="K61" s="170" t="str">
        <f>VLOOKUP(D61,[2]T3!$B$2:$D$328,3,FALSE)</f>
        <v>023179583</v>
      </c>
      <c r="L61" s="171" t="s">
        <v>103</v>
      </c>
      <c r="M61" s="171" t="s">
        <v>878</v>
      </c>
      <c r="N61" s="390" t="s">
        <v>1438</v>
      </c>
      <c r="O61" s="172" t="s">
        <v>692</v>
      </c>
      <c r="P61" s="173">
        <v>5</v>
      </c>
      <c r="Q61" s="174">
        <v>3.99</v>
      </c>
      <c r="R61" s="176">
        <f t="shared" si="11"/>
        <v>0.67830000000000001</v>
      </c>
      <c r="S61" s="370"/>
      <c r="T61" s="176">
        <f t="shared" si="12"/>
        <v>0</v>
      </c>
      <c r="U61" s="175">
        <f t="shared" si="0"/>
        <v>0</v>
      </c>
      <c r="V61" s="170"/>
      <c r="W61" s="179">
        <v>0.17</v>
      </c>
      <c r="X61" s="216">
        <f t="shared" si="13"/>
        <v>0.67830000000000001</v>
      </c>
      <c r="Y61" s="216">
        <f t="shared" si="1"/>
        <v>4.6683000000000003</v>
      </c>
      <c r="Z61" s="180">
        <f t="shared" si="14"/>
        <v>6955767</v>
      </c>
      <c r="AA61" s="180"/>
      <c r="AB61" s="180">
        <f t="shared" si="2"/>
        <v>0</v>
      </c>
      <c r="AC61" s="180">
        <f t="shared" si="19"/>
        <v>0</v>
      </c>
      <c r="AD61" s="180">
        <f t="shared" si="4"/>
        <v>6955767</v>
      </c>
      <c r="AE61" s="178">
        <f t="shared" si="5"/>
        <v>556461.36</v>
      </c>
      <c r="AF61" s="178">
        <f t="shared" si="6"/>
        <v>104336.50499999999</v>
      </c>
      <c r="AG61" s="178">
        <f t="shared" si="7"/>
        <v>69557.67</v>
      </c>
      <c r="AH61" s="178"/>
      <c r="AI61" s="178">
        <f t="shared" si="15"/>
        <v>730355.53500000003</v>
      </c>
      <c r="AJ61" s="192"/>
      <c r="AK61" s="182">
        <f t="shared" si="16"/>
        <v>0</v>
      </c>
      <c r="AL61" s="182"/>
      <c r="AM61" s="182"/>
      <c r="AN61" s="183">
        <f t="shared" si="8"/>
        <v>3.99</v>
      </c>
      <c r="AO61" s="443">
        <v>0.25</v>
      </c>
      <c r="AP61" s="185">
        <f t="shared" si="17"/>
        <v>0.99750000000000005</v>
      </c>
      <c r="AQ61" s="178">
        <f t="shared" si="18"/>
        <v>1486275</v>
      </c>
      <c r="AR61" s="178"/>
      <c r="AS61" s="178">
        <f t="shared" si="9"/>
        <v>7711686</v>
      </c>
      <c r="AT61" s="469" t="str">
        <f t="shared" si="10"/>
        <v>48</v>
      </c>
      <c r="AU61" s="186"/>
      <c r="AV61" s="187" t="s">
        <v>704</v>
      </c>
    </row>
    <row r="62" spans="1:58" s="189" customFormat="1" ht="30" customHeight="1" x14ac:dyDescent="0.25">
      <c r="A62" s="168" t="s">
        <v>354</v>
      </c>
      <c r="B62" s="168" t="str">
        <f>VLOOKUP(D62,[1]LuongBC_T01!$B$9:$C$292,2,FALSE)</f>
        <v>0016100006588004</v>
      </c>
      <c r="C62" s="361" t="s">
        <v>879</v>
      </c>
      <c r="D62" s="169" t="s">
        <v>1177</v>
      </c>
      <c r="E62" s="263" t="s">
        <v>1251</v>
      </c>
      <c r="F62" s="169" t="s">
        <v>549</v>
      </c>
      <c r="G62" s="170"/>
      <c r="H62" s="170" t="s">
        <v>283</v>
      </c>
      <c r="I62" s="170" t="s">
        <v>282</v>
      </c>
      <c r="J62" s="169" t="s">
        <v>201</v>
      </c>
      <c r="K62" s="170" t="str">
        <f>VLOOKUP(D62,[2]T3!$B$2:$D$328,3,FALSE)</f>
        <v>021513654</v>
      </c>
      <c r="L62" s="171" t="s">
        <v>85</v>
      </c>
      <c r="M62" s="171" t="s">
        <v>879</v>
      </c>
      <c r="N62" s="390" t="s">
        <v>1438</v>
      </c>
      <c r="O62" s="172" t="s">
        <v>692</v>
      </c>
      <c r="P62" s="173">
        <v>5</v>
      </c>
      <c r="Q62" s="174">
        <v>3.99</v>
      </c>
      <c r="R62" s="176">
        <f t="shared" si="11"/>
        <v>0.63839999999999997</v>
      </c>
      <c r="S62" s="370"/>
      <c r="T62" s="176">
        <f t="shared" si="12"/>
        <v>0</v>
      </c>
      <c r="U62" s="175">
        <f t="shared" si="0"/>
        <v>0</v>
      </c>
      <c r="V62" s="170"/>
      <c r="W62" s="179">
        <f>VLOOKUP(D62,[3]BC!$D$14:$X$294,20,FALSE)</f>
        <v>0.16</v>
      </c>
      <c r="X62" s="216">
        <f t="shared" si="13"/>
        <v>0.63839999999999997</v>
      </c>
      <c r="Y62" s="216">
        <f t="shared" si="1"/>
        <v>4.6284000000000001</v>
      </c>
      <c r="Z62" s="180">
        <f t="shared" si="14"/>
        <v>6896316</v>
      </c>
      <c r="AA62" s="180"/>
      <c r="AB62" s="180">
        <f t="shared" si="2"/>
        <v>0</v>
      </c>
      <c r="AC62" s="180">
        <f t="shared" si="19"/>
        <v>0</v>
      </c>
      <c r="AD62" s="180">
        <f t="shared" si="4"/>
        <v>6896316</v>
      </c>
      <c r="AE62" s="178">
        <f t="shared" si="5"/>
        <v>551705.28</v>
      </c>
      <c r="AF62" s="178">
        <f t="shared" si="6"/>
        <v>103444.73999999999</v>
      </c>
      <c r="AG62" s="178">
        <f t="shared" si="7"/>
        <v>68963.16</v>
      </c>
      <c r="AH62" s="178"/>
      <c r="AI62" s="178">
        <f t="shared" si="15"/>
        <v>724113.18</v>
      </c>
      <c r="AJ62" s="181"/>
      <c r="AK62" s="182">
        <f t="shared" si="16"/>
        <v>0</v>
      </c>
      <c r="AL62" s="182"/>
      <c r="AM62" s="182"/>
      <c r="AN62" s="183">
        <f t="shared" si="8"/>
        <v>3.99</v>
      </c>
      <c r="AO62" s="636">
        <v>0.45</v>
      </c>
      <c r="AP62" s="637">
        <f t="shared" si="17"/>
        <v>1.7955000000000001</v>
      </c>
      <c r="AQ62" s="178">
        <f t="shared" si="18"/>
        <v>2675295</v>
      </c>
      <c r="AR62" s="178"/>
      <c r="AS62" s="178">
        <f t="shared" si="9"/>
        <v>8847498</v>
      </c>
      <c r="AT62" s="469" t="str">
        <f t="shared" si="10"/>
        <v>49</v>
      </c>
      <c r="AU62" s="195"/>
      <c r="AV62" s="187" t="s">
        <v>710</v>
      </c>
      <c r="AW62" s="29"/>
      <c r="AX62" s="29"/>
      <c r="AY62" s="29"/>
      <c r="AZ62" s="29"/>
      <c r="BA62" s="29"/>
      <c r="BB62" s="29"/>
      <c r="BC62" s="29"/>
      <c r="BD62" s="29"/>
      <c r="BE62" s="29"/>
      <c r="BF62" s="29"/>
    </row>
    <row r="63" spans="1:58" s="191" customFormat="1" ht="25.5" x14ac:dyDescent="0.25">
      <c r="A63" s="168" t="s">
        <v>355</v>
      </c>
      <c r="B63" s="168" t="str">
        <f>VLOOKUP(D63,[1]LuongBC_T01!$B$9:$C$292,2,FALSE)</f>
        <v>0016100006735007</v>
      </c>
      <c r="C63" s="361" t="s">
        <v>880</v>
      </c>
      <c r="D63" s="169" t="s">
        <v>47</v>
      </c>
      <c r="E63" s="263" t="s">
        <v>1094</v>
      </c>
      <c r="F63" s="169" t="s">
        <v>550</v>
      </c>
      <c r="G63" s="170" t="s">
        <v>25</v>
      </c>
      <c r="H63" s="170" t="s">
        <v>283</v>
      </c>
      <c r="I63" s="170" t="s">
        <v>282</v>
      </c>
      <c r="J63" s="169" t="s">
        <v>202</v>
      </c>
      <c r="K63" s="168" t="s">
        <v>1367</v>
      </c>
      <c r="L63" s="171" t="s">
        <v>86</v>
      </c>
      <c r="M63" s="171" t="s">
        <v>880</v>
      </c>
      <c r="N63" s="390" t="s">
        <v>1438</v>
      </c>
      <c r="O63" s="172" t="s">
        <v>692</v>
      </c>
      <c r="P63" s="173">
        <v>6</v>
      </c>
      <c r="Q63" s="174">
        <v>3.99</v>
      </c>
      <c r="R63" s="176">
        <f>T63+V63+X63</f>
        <v>0.67830000000000001</v>
      </c>
      <c r="S63" s="370"/>
      <c r="T63" s="176">
        <f t="shared" si="12"/>
        <v>0</v>
      </c>
      <c r="U63" s="175">
        <f t="shared" si="0"/>
        <v>0</v>
      </c>
      <c r="V63" s="509"/>
      <c r="W63" s="179">
        <f>VLOOKUP(D63,[3]BC!$D$14:$X$294,20,FALSE)</f>
        <v>0.17</v>
      </c>
      <c r="X63" s="216">
        <f t="shared" si="13"/>
        <v>0.67830000000000001</v>
      </c>
      <c r="Y63" s="216">
        <f>ROUND(Q63+T63+V63+X63,4)</f>
        <v>4.6683000000000003</v>
      </c>
      <c r="Z63" s="180">
        <f t="shared" si="14"/>
        <v>6955767</v>
      </c>
      <c r="AA63" s="180"/>
      <c r="AB63" s="180">
        <f t="shared" si="2"/>
        <v>0</v>
      </c>
      <c r="AC63" s="180">
        <f t="shared" si="19"/>
        <v>0</v>
      </c>
      <c r="AD63" s="180">
        <f t="shared" si="4"/>
        <v>6955767</v>
      </c>
      <c r="AE63" s="178">
        <f t="shared" si="5"/>
        <v>556461.36</v>
      </c>
      <c r="AF63" s="178">
        <f t="shared" si="6"/>
        <v>104336.50499999999</v>
      </c>
      <c r="AG63" s="178">
        <f t="shared" si="7"/>
        <v>69557.67</v>
      </c>
      <c r="AH63" s="178"/>
      <c r="AI63" s="178">
        <f t="shared" si="15"/>
        <v>730355.53500000003</v>
      </c>
      <c r="AJ63" s="192"/>
      <c r="AK63" s="182">
        <f t="shared" si="16"/>
        <v>0</v>
      </c>
      <c r="AL63" s="182"/>
      <c r="AM63" s="182"/>
      <c r="AN63" s="183">
        <f t="shared" si="8"/>
        <v>3.99</v>
      </c>
      <c r="AO63" s="443">
        <v>0.25</v>
      </c>
      <c r="AP63" s="185">
        <f t="shared" si="17"/>
        <v>0.99750000000000005</v>
      </c>
      <c r="AQ63" s="178">
        <f t="shared" si="18"/>
        <v>1486275</v>
      </c>
      <c r="AR63" s="178"/>
      <c r="AS63" s="178">
        <f t="shared" si="9"/>
        <v>7711686</v>
      </c>
      <c r="AT63" s="469" t="str">
        <f t="shared" si="10"/>
        <v>50</v>
      </c>
      <c r="AU63" s="195"/>
      <c r="AV63" s="187" t="s">
        <v>710</v>
      </c>
      <c r="AW63" s="552"/>
      <c r="AX63" s="552"/>
      <c r="AY63" s="552"/>
      <c r="AZ63" s="552"/>
      <c r="BA63" s="552"/>
      <c r="BB63" s="552"/>
      <c r="BC63" s="552"/>
      <c r="BD63" s="552"/>
      <c r="BE63" s="552"/>
      <c r="BF63" s="552"/>
    </row>
    <row r="64" spans="1:58" s="191" customFormat="1" ht="28.5" customHeight="1" x14ac:dyDescent="0.25">
      <c r="A64" s="168" t="s">
        <v>356</v>
      </c>
      <c r="B64" s="168" t="str">
        <f>VLOOKUP(D64,[1]LuongBC_T01!$B$9:$C$292,2,FALSE)</f>
        <v>0016100006731001</v>
      </c>
      <c r="C64" s="361" t="s">
        <v>881</v>
      </c>
      <c r="D64" s="169" t="s">
        <v>1178</v>
      </c>
      <c r="E64" s="263" t="s">
        <v>1251</v>
      </c>
      <c r="F64" s="169" t="s">
        <v>549</v>
      </c>
      <c r="G64" s="200" t="s">
        <v>25</v>
      </c>
      <c r="H64" s="170" t="s">
        <v>283</v>
      </c>
      <c r="I64" s="200" t="s">
        <v>283</v>
      </c>
      <c r="J64" s="220" t="s">
        <v>216</v>
      </c>
      <c r="K64" s="170" t="str">
        <f>VLOOKUP(D64,[2]T3!$B$2:$D$328,3,FALSE)</f>
        <v>024106611</v>
      </c>
      <c r="L64" s="241" t="s">
        <v>167</v>
      </c>
      <c r="M64" s="241" t="s">
        <v>881</v>
      </c>
      <c r="N64" s="390" t="s">
        <v>807</v>
      </c>
      <c r="O64" s="172" t="s">
        <v>692</v>
      </c>
      <c r="P64" s="173">
        <v>6</v>
      </c>
      <c r="Q64" s="174">
        <v>4.32</v>
      </c>
      <c r="R64" s="176">
        <f t="shared" si="11"/>
        <v>0.77759999999999996</v>
      </c>
      <c r="S64" s="377"/>
      <c r="T64" s="176">
        <f t="shared" si="12"/>
        <v>0</v>
      </c>
      <c r="U64" s="175">
        <f t="shared" si="0"/>
        <v>0</v>
      </c>
      <c r="V64" s="200"/>
      <c r="W64" s="179">
        <v>0.18</v>
      </c>
      <c r="X64" s="216">
        <f t="shared" si="13"/>
        <v>0.77759999999999996</v>
      </c>
      <c r="Y64" s="216">
        <f t="shared" si="1"/>
        <v>5.0975999999999999</v>
      </c>
      <c r="Z64" s="180">
        <f t="shared" si="14"/>
        <v>7595424</v>
      </c>
      <c r="AA64" s="180"/>
      <c r="AB64" s="180">
        <f t="shared" si="2"/>
        <v>0</v>
      </c>
      <c r="AC64" s="180">
        <f t="shared" si="19"/>
        <v>0</v>
      </c>
      <c r="AD64" s="180">
        <f t="shared" si="4"/>
        <v>7595424</v>
      </c>
      <c r="AE64" s="178">
        <f t="shared" si="5"/>
        <v>607633.92000000004</v>
      </c>
      <c r="AF64" s="178">
        <f t="shared" si="6"/>
        <v>113931.36</v>
      </c>
      <c r="AG64" s="178">
        <f t="shared" si="7"/>
        <v>75954.240000000005</v>
      </c>
      <c r="AH64" s="178"/>
      <c r="AI64" s="178">
        <f t="shared" si="15"/>
        <v>797519.52</v>
      </c>
      <c r="AJ64" s="181"/>
      <c r="AK64" s="182">
        <f t="shared" si="16"/>
        <v>0</v>
      </c>
      <c r="AL64" s="182"/>
      <c r="AM64" s="182"/>
      <c r="AN64" s="183">
        <f t="shared" si="8"/>
        <v>4.32</v>
      </c>
      <c r="AO64" s="443">
        <v>0.45</v>
      </c>
      <c r="AP64" s="185">
        <f t="shared" si="17"/>
        <v>1.944</v>
      </c>
      <c r="AQ64" s="178">
        <f t="shared" si="18"/>
        <v>2896560</v>
      </c>
      <c r="AR64" s="178"/>
      <c r="AS64" s="178">
        <f t="shared" si="9"/>
        <v>9694464</v>
      </c>
      <c r="AT64" s="469" t="str">
        <f t="shared" si="10"/>
        <v>51</v>
      </c>
      <c r="AU64" s="186"/>
      <c r="AV64" s="186" t="s">
        <v>710</v>
      </c>
    </row>
    <row r="65" spans="1:48" s="189" customFormat="1" ht="27.75" customHeight="1" x14ac:dyDescent="0.25">
      <c r="A65" s="168" t="s">
        <v>357</v>
      </c>
      <c r="B65" s="168" t="str">
        <f>VLOOKUP(D65,[1]LuongBC_T01!$B$9:$C$292,2,FALSE)</f>
        <v>0016100006688009</v>
      </c>
      <c r="C65" s="361" t="s">
        <v>882</v>
      </c>
      <c r="D65" s="169" t="s">
        <v>1179</v>
      </c>
      <c r="E65" s="263" t="s">
        <v>1094</v>
      </c>
      <c r="F65" s="169" t="s">
        <v>549</v>
      </c>
      <c r="G65" s="170"/>
      <c r="H65" s="170" t="s">
        <v>283</v>
      </c>
      <c r="I65" s="170" t="s">
        <v>283</v>
      </c>
      <c r="J65" s="169" t="s">
        <v>217</v>
      </c>
      <c r="K65" s="170" t="str">
        <f>VLOOKUP(D65,[2]T3!$B$2:$D$328,3,FALSE)</f>
        <v>023622113</v>
      </c>
      <c r="L65" s="171" t="s">
        <v>98</v>
      </c>
      <c r="M65" s="171" t="s">
        <v>882</v>
      </c>
      <c r="N65" s="390" t="s">
        <v>807</v>
      </c>
      <c r="O65" s="172" t="s">
        <v>692</v>
      </c>
      <c r="P65" s="173">
        <v>6</v>
      </c>
      <c r="Q65" s="174">
        <v>4.32</v>
      </c>
      <c r="R65" s="176">
        <f t="shared" si="11"/>
        <v>0.77759999999999996</v>
      </c>
      <c r="S65" s="370"/>
      <c r="T65" s="176">
        <f t="shared" si="12"/>
        <v>0</v>
      </c>
      <c r="U65" s="175">
        <f t="shared" si="0"/>
        <v>0</v>
      </c>
      <c r="V65" s="170"/>
      <c r="W65" s="179">
        <v>0.18</v>
      </c>
      <c r="X65" s="216">
        <f t="shared" si="13"/>
        <v>0.77759999999999996</v>
      </c>
      <c r="Y65" s="216">
        <f t="shared" si="1"/>
        <v>5.0975999999999999</v>
      </c>
      <c r="Z65" s="180">
        <f t="shared" si="14"/>
        <v>7595424</v>
      </c>
      <c r="AA65" s="180"/>
      <c r="AB65" s="180">
        <f t="shared" si="2"/>
        <v>0</v>
      </c>
      <c r="AC65" s="180">
        <f t="shared" si="19"/>
        <v>0</v>
      </c>
      <c r="AD65" s="180">
        <f t="shared" si="4"/>
        <v>7595424</v>
      </c>
      <c r="AE65" s="178">
        <f t="shared" si="5"/>
        <v>607633.92000000004</v>
      </c>
      <c r="AF65" s="178">
        <f t="shared" si="6"/>
        <v>113931.36</v>
      </c>
      <c r="AG65" s="178">
        <f t="shared" si="7"/>
        <v>75954.240000000005</v>
      </c>
      <c r="AH65" s="178"/>
      <c r="AI65" s="178">
        <f t="shared" si="15"/>
        <v>797519.52</v>
      </c>
      <c r="AJ65" s="192"/>
      <c r="AK65" s="182">
        <f t="shared" si="16"/>
        <v>0</v>
      </c>
      <c r="AL65" s="182"/>
      <c r="AM65" s="182"/>
      <c r="AN65" s="183">
        <f t="shared" si="8"/>
        <v>4.32</v>
      </c>
      <c r="AO65" s="443">
        <v>0.25</v>
      </c>
      <c r="AP65" s="185">
        <f t="shared" si="17"/>
        <v>1.08</v>
      </c>
      <c r="AQ65" s="178">
        <f t="shared" si="18"/>
        <v>1609200</v>
      </c>
      <c r="AR65" s="178"/>
      <c r="AS65" s="178">
        <f t="shared" si="9"/>
        <v>8407104</v>
      </c>
      <c r="AT65" s="469" t="str">
        <f t="shared" si="10"/>
        <v>52</v>
      </c>
      <c r="AU65" s="186"/>
      <c r="AV65" s="198" t="s">
        <v>710</v>
      </c>
    </row>
    <row r="66" spans="1:48" s="189" customFormat="1" ht="27.75" customHeight="1" x14ac:dyDescent="0.25">
      <c r="A66" s="168" t="s">
        <v>358</v>
      </c>
      <c r="B66" s="168" t="str">
        <f>VLOOKUP(D66,[1]LuongBC_T01!$B$9:$C$292,2,FALSE)</f>
        <v>0016100006532009</v>
      </c>
      <c r="C66" s="361" t="s">
        <v>884</v>
      </c>
      <c r="D66" s="169" t="s">
        <v>1180</v>
      </c>
      <c r="E66" s="263" t="s">
        <v>1381</v>
      </c>
      <c r="F66" s="169" t="s">
        <v>549</v>
      </c>
      <c r="G66" s="170"/>
      <c r="H66" s="170" t="s">
        <v>283</v>
      </c>
      <c r="I66" s="170" t="s">
        <v>281</v>
      </c>
      <c r="J66" s="169" t="s">
        <v>190</v>
      </c>
      <c r="K66" s="170" t="str">
        <f>VLOOKUP(D66,[2]T3!$B$2:$D$328,3,FALSE)</f>
        <v>022293675</v>
      </c>
      <c r="L66" s="171" t="s">
        <v>134</v>
      </c>
      <c r="M66" s="171" t="s">
        <v>884</v>
      </c>
      <c r="N66" s="390" t="s">
        <v>1438</v>
      </c>
      <c r="O66" s="172" t="s">
        <v>692</v>
      </c>
      <c r="P66" s="173">
        <v>6</v>
      </c>
      <c r="Q66" s="174">
        <v>4.32</v>
      </c>
      <c r="R66" s="176">
        <f t="shared" si="11"/>
        <v>0.77759999999999996</v>
      </c>
      <c r="S66" s="370"/>
      <c r="T66" s="176">
        <f t="shared" si="12"/>
        <v>0</v>
      </c>
      <c r="U66" s="175">
        <f t="shared" si="0"/>
        <v>0</v>
      </c>
      <c r="V66" s="170"/>
      <c r="W66" s="179">
        <v>0.18</v>
      </c>
      <c r="X66" s="216">
        <f t="shared" si="13"/>
        <v>0.77759999999999996</v>
      </c>
      <c r="Y66" s="216">
        <f t="shared" si="1"/>
        <v>5.0975999999999999</v>
      </c>
      <c r="Z66" s="180">
        <f t="shared" si="14"/>
        <v>7595424</v>
      </c>
      <c r="AA66" s="180"/>
      <c r="AB66" s="180">
        <f t="shared" si="2"/>
        <v>0</v>
      </c>
      <c r="AC66" s="180">
        <f t="shared" si="19"/>
        <v>0</v>
      </c>
      <c r="AD66" s="180">
        <f t="shared" si="4"/>
        <v>7595424</v>
      </c>
      <c r="AE66" s="178">
        <f t="shared" si="5"/>
        <v>607633.92000000004</v>
      </c>
      <c r="AF66" s="178">
        <f t="shared" si="6"/>
        <v>113931.36</v>
      </c>
      <c r="AG66" s="178">
        <f t="shared" si="7"/>
        <v>75954.240000000005</v>
      </c>
      <c r="AH66" s="178"/>
      <c r="AI66" s="178">
        <f t="shared" si="15"/>
        <v>797519.52</v>
      </c>
      <c r="AJ66" s="192"/>
      <c r="AK66" s="182">
        <f t="shared" si="16"/>
        <v>0</v>
      </c>
      <c r="AL66" s="182"/>
      <c r="AM66" s="182"/>
      <c r="AN66" s="183">
        <f t="shared" si="8"/>
        <v>4.32</v>
      </c>
      <c r="AO66" s="443">
        <v>0.25</v>
      </c>
      <c r="AP66" s="185">
        <f t="shared" si="17"/>
        <v>1.08</v>
      </c>
      <c r="AQ66" s="178">
        <f t="shared" si="18"/>
        <v>1609200</v>
      </c>
      <c r="AR66" s="178"/>
      <c r="AS66" s="178">
        <f t="shared" si="9"/>
        <v>8407104</v>
      </c>
      <c r="AT66" s="469" t="str">
        <f t="shared" si="10"/>
        <v>53</v>
      </c>
      <c r="AU66" s="186"/>
      <c r="AV66" s="187" t="s">
        <v>703</v>
      </c>
    </row>
    <row r="67" spans="1:48" s="189" customFormat="1" ht="27.75" customHeight="1" x14ac:dyDescent="0.25">
      <c r="A67" s="168" t="s">
        <v>359</v>
      </c>
      <c r="B67" s="168" t="str">
        <f>VLOOKUP(D67,[1]LuongBC_T01!$B$9:$C$292,2,FALSE)</f>
        <v>0016100006618008</v>
      </c>
      <c r="C67" s="361" t="s">
        <v>883</v>
      </c>
      <c r="D67" s="169" t="s">
        <v>1181</v>
      </c>
      <c r="E67" s="263" t="s">
        <v>1094</v>
      </c>
      <c r="F67" s="169" t="s">
        <v>549</v>
      </c>
      <c r="G67" s="170" t="s">
        <v>25</v>
      </c>
      <c r="H67" s="170" t="s">
        <v>283</v>
      </c>
      <c r="I67" s="170" t="s">
        <v>283</v>
      </c>
      <c r="J67" s="169" t="s">
        <v>220</v>
      </c>
      <c r="K67" s="170" t="str">
        <f>VLOOKUP(D67,[2]T3!$B$2:$D$328,3,FALSE)</f>
        <v>022848142</v>
      </c>
      <c r="L67" s="171" t="s">
        <v>100</v>
      </c>
      <c r="M67" s="171" t="s">
        <v>883</v>
      </c>
      <c r="N67" s="390" t="s">
        <v>807</v>
      </c>
      <c r="O67" s="172" t="s">
        <v>692</v>
      </c>
      <c r="P67" s="173">
        <v>6</v>
      </c>
      <c r="Q67" s="174">
        <v>4.32</v>
      </c>
      <c r="R67" s="176">
        <f t="shared" si="11"/>
        <v>0.77759999999999996</v>
      </c>
      <c r="S67" s="370"/>
      <c r="T67" s="176">
        <f t="shared" si="12"/>
        <v>0</v>
      </c>
      <c r="U67" s="175">
        <f t="shared" si="0"/>
        <v>0</v>
      </c>
      <c r="V67" s="170"/>
      <c r="W67" s="179">
        <v>0.18</v>
      </c>
      <c r="X67" s="216">
        <f t="shared" si="13"/>
        <v>0.77759999999999996</v>
      </c>
      <c r="Y67" s="216">
        <f t="shared" si="1"/>
        <v>5.0975999999999999</v>
      </c>
      <c r="Z67" s="180">
        <f t="shared" si="14"/>
        <v>7595424</v>
      </c>
      <c r="AA67" s="180"/>
      <c r="AB67" s="180">
        <f t="shared" si="2"/>
        <v>0</v>
      </c>
      <c r="AC67" s="180">
        <f t="shared" si="19"/>
        <v>0</v>
      </c>
      <c r="AD67" s="180">
        <f t="shared" si="4"/>
        <v>7595424</v>
      </c>
      <c r="AE67" s="178">
        <f t="shared" si="5"/>
        <v>607633.92000000004</v>
      </c>
      <c r="AF67" s="178">
        <f t="shared" si="6"/>
        <v>113931.36</v>
      </c>
      <c r="AG67" s="178">
        <f t="shared" si="7"/>
        <v>75954.240000000005</v>
      </c>
      <c r="AH67" s="178"/>
      <c r="AI67" s="178">
        <f t="shared" si="15"/>
        <v>797519.52</v>
      </c>
      <c r="AJ67" s="192"/>
      <c r="AK67" s="182">
        <f t="shared" si="16"/>
        <v>0</v>
      </c>
      <c r="AL67" s="182"/>
      <c r="AM67" s="182"/>
      <c r="AN67" s="183">
        <f t="shared" si="8"/>
        <v>4.32</v>
      </c>
      <c r="AO67" s="443">
        <v>0.25</v>
      </c>
      <c r="AP67" s="185">
        <f t="shared" si="17"/>
        <v>1.08</v>
      </c>
      <c r="AQ67" s="178">
        <f t="shared" si="18"/>
        <v>1609200</v>
      </c>
      <c r="AR67" s="178"/>
      <c r="AS67" s="178">
        <f t="shared" si="9"/>
        <v>8407104</v>
      </c>
      <c r="AT67" s="469" t="str">
        <f t="shared" si="10"/>
        <v>54</v>
      </c>
      <c r="AU67" s="186"/>
      <c r="AV67" s="198" t="s">
        <v>710</v>
      </c>
    </row>
    <row r="68" spans="1:48" s="191" customFormat="1" ht="27.75" customHeight="1" x14ac:dyDescent="0.25">
      <c r="A68" s="168" t="s">
        <v>360</v>
      </c>
      <c r="B68" s="168" t="str">
        <f>VLOOKUP(D68,[1]LuongBC_T01!$B$9:$C$292,2,FALSE)</f>
        <v>0016100006801007</v>
      </c>
      <c r="C68" s="361" t="s">
        <v>885</v>
      </c>
      <c r="D68" s="169" t="s">
        <v>1182</v>
      </c>
      <c r="E68" s="263" t="s">
        <v>1094</v>
      </c>
      <c r="F68" s="169" t="s">
        <v>550</v>
      </c>
      <c r="G68" s="170" t="s">
        <v>25</v>
      </c>
      <c r="H68" s="170" t="s">
        <v>283</v>
      </c>
      <c r="I68" s="170" t="s">
        <v>283</v>
      </c>
      <c r="J68" s="169" t="s">
        <v>221</v>
      </c>
      <c r="K68" s="170" t="str">
        <f>VLOOKUP(D68,[2]T3!$B$2:$D$328,3,FALSE)</f>
        <v>023334538</v>
      </c>
      <c r="L68" s="171" t="s">
        <v>101</v>
      </c>
      <c r="M68" s="171" t="s">
        <v>885</v>
      </c>
      <c r="N68" s="390" t="s">
        <v>1438</v>
      </c>
      <c r="O68" s="172" t="s">
        <v>692</v>
      </c>
      <c r="P68" s="173">
        <v>6</v>
      </c>
      <c r="Q68" s="174">
        <v>4.32</v>
      </c>
      <c r="R68" s="176">
        <f t="shared" si="11"/>
        <v>0.77759999999999996</v>
      </c>
      <c r="S68" s="370"/>
      <c r="T68" s="176">
        <f t="shared" si="12"/>
        <v>0</v>
      </c>
      <c r="U68" s="175">
        <f t="shared" si="0"/>
        <v>0</v>
      </c>
      <c r="V68" s="200"/>
      <c r="W68" s="179">
        <v>0.18</v>
      </c>
      <c r="X68" s="216">
        <f t="shared" si="13"/>
        <v>0.77759999999999996</v>
      </c>
      <c r="Y68" s="216">
        <f t="shared" si="1"/>
        <v>5.0975999999999999</v>
      </c>
      <c r="Z68" s="180">
        <f t="shared" si="14"/>
        <v>7595424</v>
      </c>
      <c r="AA68" s="180"/>
      <c r="AB68" s="180">
        <f t="shared" si="2"/>
        <v>0</v>
      </c>
      <c r="AC68" s="180">
        <f t="shared" si="19"/>
        <v>0</v>
      </c>
      <c r="AD68" s="180">
        <f t="shared" si="4"/>
        <v>7595424</v>
      </c>
      <c r="AE68" s="178">
        <f t="shared" si="5"/>
        <v>607633.92000000004</v>
      </c>
      <c r="AF68" s="178">
        <f t="shared" si="6"/>
        <v>113931.36</v>
      </c>
      <c r="AG68" s="178">
        <f t="shared" si="7"/>
        <v>75954.240000000005</v>
      </c>
      <c r="AH68" s="178"/>
      <c r="AI68" s="178">
        <f t="shared" si="15"/>
        <v>797519.52</v>
      </c>
      <c r="AJ68" s="181"/>
      <c r="AK68" s="182">
        <f t="shared" si="16"/>
        <v>0</v>
      </c>
      <c r="AL68" s="182"/>
      <c r="AM68" s="182"/>
      <c r="AN68" s="183">
        <f t="shared" si="8"/>
        <v>4.32</v>
      </c>
      <c r="AO68" s="443">
        <v>0.25</v>
      </c>
      <c r="AP68" s="185">
        <f t="shared" si="17"/>
        <v>1.08</v>
      </c>
      <c r="AQ68" s="178">
        <f t="shared" si="18"/>
        <v>1609200</v>
      </c>
      <c r="AR68" s="178"/>
      <c r="AS68" s="178">
        <f t="shared" si="9"/>
        <v>8407104</v>
      </c>
      <c r="AT68" s="469" t="str">
        <f t="shared" si="10"/>
        <v>55</v>
      </c>
      <c r="AU68" s="186"/>
      <c r="AV68" s="187" t="s">
        <v>710</v>
      </c>
    </row>
    <row r="69" spans="1:48" s="189" customFormat="1" ht="29.25" customHeight="1" x14ac:dyDescent="0.25">
      <c r="A69" s="168" t="s">
        <v>361</v>
      </c>
      <c r="B69" s="168" t="str">
        <f>VLOOKUP(D69,[1]LuongBC_T01!$B$9:$C$292,2,FALSE)</f>
        <v>0016100006812001</v>
      </c>
      <c r="C69" s="361" t="s">
        <v>886</v>
      </c>
      <c r="D69" s="169" t="s">
        <v>1183</v>
      </c>
      <c r="E69" s="263" t="s">
        <v>1393</v>
      </c>
      <c r="F69" s="169" t="s">
        <v>549</v>
      </c>
      <c r="G69" s="170"/>
      <c r="H69" s="170" t="s">
        <v>283</v>
      </c>
      <c r="I69" s="170" t="s">
        <v>283</v>
      </c>
      <c r="J69" s="169" t="s">
        <v>219</v>
      </c>
      <c r="K69" s="170" t="str">
        <f>VLOOKUP(D69,[2]T3!$B$2:$D$328,3,FALSE)</f>
        <v>022843958</v>
      </c>
      <c r="L69" s="171" t="s">
        <v>99</v>
      </c>
      <c r="M69" s="171" t="s">
        <v>886</v>
      </c>
      <c r="N69" s="390" t="s">
        <v>807</v>
      </c>
      <c r="O69" s="172" t="s">
        <v>692</v>
      </c>
      <c r="P69" s="173">
        <v>6</v>
      </c>
      <c r="Q69" s="174">
        <v>4.32</v>
      </c>
      <c r="R69" s="176">
        <f t="shared" si="11"/>
        <v>0.73440000000000005</v>
      </c>
      <c r="S69" s="370"/>
      <c r="T69" s="176">
        <f t="shared" si="12"/>
        <v>0</v>
      </c>
      <c r="U69" s="175">
        <f t="shared" si="0"/>
        <v>0</v>
      </c>
      <c r="V69" s="170"/>
      <c r="W69" s="179">
        <v>0.17</v>
      </c>
      <c r="X69" s="216">
        <f t="shared" si="13"/>
        <v>0.73440000000000005</v>
      </c>
      <c r="Y69" s="216">
        <f t="shared" si="1"/>
        <v>5.0544000000000002</v>
      </c>
      <c r="Z69" s="180">
        <f t="shared" si="14"/>
        <v>7531056</v>
      </c>
      <c r="AA69" s="180"/>
      <c r="AB69" s="180">
        <f t="shared" si="2"/>
        <v>0</v>
      </c>
      <c r="AC69" s="180">
        <f t="shared" si="19"/>
        <v>0</v>
      </c>
      <c r="AD69" s="180">
        <f t="shared" si="4"/>
        <v>7531056</v>
      </c>
      <c r="AE69" s="178">
        <f t="shared" si="5"/>
        <v>602484.47999999998</v>
      </c>
      <c r="AF69" s="178">
        <f t="shared" si="6"/>
        <v>112965.84</v>
      </c>
      <c r="AG69" s="178">
        <f t="shared" si="7"/>
        <v>75310.559999999998</v>
      </c>
      <c r="AH69" s="178"/>
      <c r="AI69" s="178">
        <f t="shared" si="15"/>
        <v>790760.87999999989</v>
      </c>
      <c r="AJ69" s="192"/>
      <c r="AK69" s="182">
        <f t="shared" si="16"/>
        <v>0</v>
      </c>
      <c r="AL69" s="182"/>
      <c r="AM69" s="182"/>
      <c r="AN69" s="183">
        <f t="shared" si="8"/>
        <v>4.32</v>
      </c>
      <c r="AO69" s="443">
        <v>0.25</v>
      </c>
      <c r="AP69" s="185">
        <f t="shared" si="17"/>
        <v>1.08</v>
      </c>
      <c r="AQ69" s="178">
        <f t="shared" si="18"/>
        <v>1609200</v>
      </c>
      <c r="AR69" s="178"/>
      <c r="AS69" s="178">
        <f t="shared" si="9"/>
        <v>8349495</v>
      </c>
      <c r="AT69" s="469" t="str">
        <f t="shared" si="10"/>
        <v>56</v>
      </c>
      <c r="AU69" s="195"/>
      <c r="AV69" s="187" t="s">
        <v>703</v>
      </c>
    </row>
    <row r="70" spans="1:48" s="189" customFormat="1" ht="30" customHeight="1" x14ac:dyDescent="0.25">
      <c r="A70" s="168" t="s">
        <v>362</v>
      </c>
      <c r="B70" s="168" t="str">
        <f>VLOOKUP(D70,[1]LuongBC_T01!$B$9:$C$292,2,FALSE)</f>
        <v>0016100006582006</v>
      </c>
      <c r="C70" s="361" t="s">
        <v>887</v>
      </c>
      <c r="D70" s="169" t="s">
        <v>1184</v>
      </c>
      <c r="E70" s="263" t="s">
        <v>1376</v>
      </c>
      <c r="F70" s="169" t="s">
        <v>549</v>
      </c>
      <c r="G70" s="170" t="s">
        <v>25</v>
      </c>
      <c r="H70" s="170" t="s">
        <v>283</v>
      </c>
      <c r="I70" s="170" t="s">
        <v>283</v>
      </c>
      <c r="J70" s="169" t="s">
        <v>222</v>
      </c>
      <c r="K70" s="170" t="str">
        <f>VLOOKUP(D70,[2]T3!$B$2:$D$328,3,FALSE)</f>
        <v>023273100</v>
      </c>
      <c r="L70" s="171" t="s">
        <v>102</v>
      </c>
      <c r="M70" s="171" t="s">
        <v>887</v>
      </c>
      <c r="N70" s="390" t="s">
        <v>1438</v>
      </c>
      <c r="O70" s="172" t="s">
        <v>692</v>
      </c>
      <c r="P70" s="173">
        <v>5</v>
      </c>
      <c r="Q70" s="174">
        <v>3.99</v>
      </c>
      <c r="R70" s="176">
        <f t="shared" si="11"/>
        <v>0.67830000000000001</v>
      </c>
      <c r="S70" s="370"/>
      <c r="T70" s="176">
        <f t="shared" si="12"/>
        <v>0</v>
      </c>
      <c r="U70" s="175">
        <f t="shared" si="0"/>
        <v>0</v>
      </c>
      <c r="V70" s="170"/>
      <c r="W70" s="179">
        <v>0.17</v>
      </c>
      <c r="X70" s="216">
        <f t="shared" si="13"/>
        <v>0.67830000000000001</v>
      </c>
      <c r="Y70" s="216">
        <f t="shared" si="1"/>
        <v>4.6683000000000003</v>
      </c>
      <c r="Z70" s="180">
        <f t="shared" si="14"/>
        <v>6955767</v>
      </c>
      <c r="AA70" s="180"/>
      <c r="AB70" s="180">
        <f t="shared" si="2"/>
        <v>0</v>
      </c>
      <c r="AC70" s="180">
        <f t="shared" si="19"/>
        <v>0</v>
      </c>
      <c r="AD70" s="180">
        <f t="shared" si="4"/>
        <v>6955767</v>
      </c>
      <c r="AE70" s="178">
        <f t="shared" si="5"/>
        <v>556461.36</v>
      </c>
      <c r="AF70" s="178">
        <f t="shared" si="6"/>
        <v>104336.50499999999</v>
      </c>
      <c r="AG70" s="178">
        <f t="shared" si="7"/>
        <v>69557.67</v>
      </c>
      <c r="AH70" s="178"/>
      <c r="AI70" s="178">
        <f t="shared" si="15"/>
        <v>730355.53500000003</v>
      </c>
      <c r="AJ70" s="192"/>
      <c r="AK70" s="182">
        <f t="shared" si="16"/>
        <v>0</v>
      </c>
      <c r="AL70" s="182"/>
      <c r="AM70" s="182"/>
      <c r="AN70" s="183">
        <f t="shared" si="8"/>
        <v>3.99</v>
      </c>
      <c r="AO70" s="443">
        <v>0.25</v>
      </c>
      <c r="AP70" s="185">
        <f t="shared" si="17"/>
        <v>0.99750000000000005</v>
      </c>
      <c r="AQ70" s="178">
        <f t="shared" si="18"/>
        <v>1486275</v>
      </c>
      <c r="AR70" s="178"/>
      <c r="AS70" s="178">
        <f t="shared" si="9"/>
        <v>7711686</v>
      </c>
      <c r="AT70" s="469" t="str">
        <f t="shared" si="10"/>
        <v>57</v>
      </c>
      <c r="AU70" s="186"/>
      <c r="AV70" s="198" t="s">
        <v>704</v>
      </c>
    </row>
    <row r="71" spans="1:48" s="191" customFormat="1" ht="30.75" customHeight="1" x14ac:dyDescent="0.25">
      <c r="A71" s="168" t="s">
        <v>363</v>
      </c>
      <c r="B71" s="168" t="str">
        <f>VLOOKUP(D71,[1]LuongBC_T01!$B$9:$C$292,2,FALSE)</f>
        <v>0016100006642009</v>
      </c>
      <c r="C71" s="361" t="s">
        <v>889</v>
      </c>
      <c r="D71" s="169" t="s">
        <v>1185</v>
      </c>
      <c r="E71" s="263" t="s">
        <v>1376</v>
      </c>
      <c r="F71" s="169" t="s">
        <v>549</v>
      </c>
      <c r="G71" s="170" t="s">
        <v>25</v>
      </c>
      <c r="H71" s="170" t="s">
        <v>283</v>
      </c>
      <c r="I71" s="170" t="s">
        <v>283</v>
      </c>
      <c r="J71" s="169" t="s">
        <v>227</v>
      </c>
      <c r="K71" s="170" t="str">
        <f>VLOOKUP(D71,[2]T3!$B$2:$D$328,3,FALSE)</f>
        <v>023070412</v>
      </c>
      <c r="L71" s="171" t="s">
        <v>104</v>
      </c>
      <c r="M71" s="171" t="s">
        <v>889</v>
      </c>
      <c r="N71" s="390" t="s">
        <v>807</v>
      </c>
      <c r="O71" s="172" t="s">
        <v>692</v>
      </c>
      <c r="P71" s="173">
        <v>6</v>
      </c>
      <c r="Q71" s="174">
        <v>4.32</v>
      </c>
      <c r="R71" s="176">
        <f t="shared" si="11"/>
        <v>0.69120000000000004</v>
      </c>
      <c r="S71" s="370"/>
      <c r="T71" s="176">
        <f t="shared" si="12"/>
        <v>0</v>
      </c>
      <c r="U71" s="175">
        <f t="shared" si="0"/>
        <v>0</v>
      </c>
      <c r="V71" s="200"/>
      <c r="W71" s="179">
        <v>0.16</v>
      </c>
      <c r="X71" s="216">
        <f t="shared" si="13"/>
        <v>0.69120000000000004</v>
      </c>
      <c r="Y71" s="216">
        <f t="shared" si="1"/>
        <v>5.0111999999999997</v>
      </c>
      <c r="Z71" s="180">
        <f t="shared" si="14"/>
        <v>7466688</v>
      </c>
      <c r="AA71" s="180"/>
      <c r="AB71" s="180">
        <f t="shared" si="2"/>
        <v>0</v>
      </c>
      <c r="AC71" s="180">
        <f t="shared" si="19"/>
        <v>0</v>
      </c>
      <c r="AD71" s="180">
        <f t="shared" si="4"/>
        <v>7466688</v>
      </c>
      <c r="AE71" s="178">
        <f t="shared" si="5"/>
        <v>597335.04000000004</v>
      </c>
      <c r="AF71" s="178">
        <f t="shared" si="6"/>
        <v>112000.31999999999</v>
      </c>
      <c r="AG71" s="178">
        <f t="shared" si="7"/>
        <v>74666.880000000005</v>
      </c>
      <c r="AH71" s="178"/>
      <c r="AI71" s="178">
        <f t="shared" si="15"/>
        <v>784002.24</v>
      </c>
      <c r="AJ71" s="181"/>
      <c r="AK71" s="182">
        <f t="shared" si="16"/>
        <v>0</v>
      </c>
      <c r="AL71" s="182"/>
      <c r="AM71" s="182"/>
      <c r="AN71" s="183">
        <f t="shared" si="8"/>
        <v>4.32</v>
      </c>
      <c r="AO71" s="443">
        <v>0.25</v>
      </c>
      <c r="AP71" s="185">
        <f t="shared" si="17"/>
        <v>1.08</v>
      </c>
      <c r="AQ71" s="178">
        <f t="shared" si="18"/>
        <v>1609200</v>
      </c>
      <c r="AR71" s="178"/>
      <c r="AS71" s="178">
        <f t="shared" si="9"/>
        <v>8291886</v>
      </c>
      <c r="AT71" s="469" t="str">
        <f t="shared" si="10"/>
        <v>58</v>
      </c>
      <c r="AU71" s="195"/>
      <c r="AV71" s="187" t="s">
        <v>704</v>
      </c>
    </row>
    <row r="72" spans="1:48" s="189" customFormat="1" ht="30" customHeight="1" x14ac:dyDescent="0.25">
      <c r="A72" s="168" t="s">
        <v>364</v>
      </c>
      <c r="B72" s="168" t="str">
        <f>VLOOKUP(D72,[1]LuongBC_T01!$B$9:$C$292,2,FALSE)</f>
        <v>0016100006595008</v>
      </c>
      <c r="C72" s="361" t="s">
        <v>888</v>
      </c>
      <c r="D72" s="169" t="s">
        <v>740</v>
      </c>
      <c r="E72" s="263" t="s">
        <v>1392</v>
      </c>
      <c r="F72" s="169" t="s">
        <v>549</v>
      </c>
      <c r="G72" s="170"/>
      <c r="H72" s="170" t="s">
        <v>283</v>
      </c>
      <c r="I72" s="170" t="s">
        <v>283</v>
      </c>
      <c r="J72" s="169" t="s">
        <v>228</v>
      </c>
      <c r="K72" s="170" t="str">
        <f>VLOOKUP(D72,[2]T3!$B$2:$D$328,3,FALSE)</f>
        <v>023172993</v>
      </c>
      <c r="L72" s="171" t="s">
        <v>105</v>
      </c>
      <c r="M72" s="171" t="s">
        <v>888</v>
      </c>
      <c r="N72" s="390" t="s">
        <v>1438</v>
      </c>
      <c r="O72" s="172" t="s">
        <v>692</v>
      </c>
      <c r="P72" s="173">
        <v>5</v>
      </c>
      <c r="Q72" s="174">
        <v>3.99</v>
      </c>
      <c r="R72" s="176">
        <f t="shared" si="11"/>
        <v>0.67830000000000001</v>
      </c>
      <c r="S72" s="370"/>
      <c r="T72" s="176">
        <f t="shared" si="12"/>
        <v>0</v>
      </c>
      <c r="U72" s="175">
        <f t="shared" si="0"/>
        <v>0</v>
      </c>
      <c r="V72" s="170"/>
      <c r="W72" s="179">
        <v>0.17</v>
      </c>
      <c r="X72" s="216">
        <f t="shared" si="13"/>
        <v>0.67830000000000001</v>
      </c>
      <c r="Y72" s="216">
        <f t="shared" si="1"/>
        <v>4.6683000000000003</v>
      </c>
      <c r="Z72" s="180">
        <f t="shared" si="14"/>
        <v>6955767</v>
      </c>
      <c r="AA72" s="180"/>
      <c r="AB72" s="180">
        <f t="shared" si="2"/>
        <v>0</v>
      </c>
      <c r="AC72" s="180">
        <f t="shared" si="19"/>
        <v>0</v>
      </c>
      <c r="AD72" s="180">
        <f t="shared" si="4"/>
        <v>6955767</v>
      </c>
      <c r="AE72" s="178">
        <f t="shared" si="5"/>
        <v>556461.36</v>
      </c>
      <c r="AF72" s="178">
        <f t="shared" si="6"/>
        <v>104336.50499999999</v>
      </c>
      <c r="AG72" s="178">
        <f t="shared" si="7"/>
        <v>69557.67</v>
      </c>
      <c r="AH72" s="178"/>
      <c r="AI72" s="178">
        <f t="shared" si="15"/>
        <v>730355.53500000003</v>
      </c>
      <c r="AJ72" s="192"/>
      <c r="AK72" s="182">
        <f t="shared" si="16"/>
        <v>0</v>
      </c>
      <c r="AL72" s="182"/>
      <c r="AM72" s="182"/>
      <c r="AN72" s="183">
        <f t="shared" si="8"/>
        <v>3.99</v>
      </c>
      <c r="AO72" s="443">
        <v>0.25</v>
      </c>
      <c r="AP72" s="185">
        <f t="shared" si="17"/>
        <v>0.99750000000000005</v>
      </c>
      <c r="AQ72" s="178">
        <f t="shared" si="18"/>
        <v>1486275</v>
      </c>
      <c r="AR72" s="178"/>
      <c r="AS72" s="178">
        <f t="shared" si="9"/>
        <v>7711686</v>
      </c>
      <c r="AT72" s="469" t="str">
        <f t="shared" si="10"/>
        <v>59</v>
      </c>
      <c r="AU72" s="186"/>
      <c r="AV72" s="198" t="s">
        <v>704</v>
      </c>
    </row>
    <row r="73" spans="1:48" s="189" customFormat="1" ht="27.75" customHeight="1" x14ac:dyDescent="0.25">
      <c r="A73" s="168" t="s">
        <v>796</v>
      </c>
      <c r="B73" s="168" t="str">
        <f>VLOOKUP(D73,[1]LuongBC_T01!$B$9:$C$292,2,FALSE)</f>
        <v>0016100006616008</v>
      </c>
      <c r="C73" s="361" t="s">
        <v>890</v>
      </c>
      <c r="D73" s="169" t="s">
        <v>1186</v>
      </c>
      <c r="E73" s="263" t="s">
        <v>1392</v>
      </c>
      <c r="F73" s="169" t="s">
        <v>549</v>
      </c>
      <c r="G73" s="170"/>
      <c r="H73" s="170" t="s">
        <v>283</v>
      </c>
      <c r="I73" s="170" t="s">
        <v>283</v>
      </c>
      <c r="J73" s="169" t="s">
        <v>232</v>
      </c>
      <c r="K73" s="170" t="str">
        <f>VLOOKUP(D73,[2]T3!$B$2:$D$328,3,FALSE)</f>
        <v>022999157</v>
      </c>
      <c r="L73" s="171" t="s">
        <v>108</v>
      </c>
      <c r="M73" s="171" t="s">
        <v>890</v>
      </c>
      <c r="N73" s="390" t="s">
        <v>807</v>
      </c>
      <c r="O73" s="172" t="s">
        <v>692</v>
      </c>
      <c r="P73" s="173">
        <v>6</v>
      </c>
      <c r="Q73" s="174">
        <v>4.32</v>
      </c>
      <c r="R73" s="176">
        <f t="shared" si="11"/>
        <v>0.69120000000000004</v>
      </c>
      <c r="S73" s="370"/>
      <c r="T73" s="176">
        <f t="shared" si="12"/>
        <v>0</v>
      </c>
      <c r="U73" s="175">
        <f t="shared" si="0"/>
        <v>0</v>
      </c>
      <c r="V73" s="170"/>
      <c r="W73" s="179">
        <v>0.16</v>
      </c>
      <c r="X73" s="216">
        <f t="shared" si="13"/>
        <v>0.69120000000000004</v>
      </c>
      <c r="Y73" s="216">
        <f t="shared" si="1"/>
        <v>5.0111999999999997</v>
      </c>
      <c r="Z73" s="180">
        <f t="shared" si="14"/>
        <v>7466688</v>
      </c>
      <c r="AA73" s="180"/>
      <c r="AB73" s="180">
        <f t="shared" si="2"/>
        <v>0</v>
      </c>
      <c r="AC73" s="180">
        <f t="shared" si="19"/>
        <v>0</v>
      </c>
      <c r="AD73" s="180">
        <f t="shared" si="4"/>
        <v>7466688</v>
      </c>
      <c r="AE73" s="178">
        <f t="shared" si="5"/>
        <v>597335.04000000004</v>
      </c>
      <c r="AF73" s="178">
        <f t="shared" si="6"/>
        <v>112000.31999999999</v>
      </c>
      <c r="AG73" s="178">
        <f t="shared" si="7"/>
        <v>74666.880000000005</v>
      </c>
      <c r="AH73" s="178"/>
      <c r="AI73" s="178">
        <f t="shared" si="15"/>
        <v>784002.24</v>
      </c>
      <c r="AJ73" s="192"/>
      <c r="AK73" s="182">
        <f t="shared" si="16"/>
        <v>0</v>
      </c>
      <c r="AL73" s="182"/>
      <c r="AM73" s="182"/>
      <c r="AN73" s="183">
        <f t="shared" si="8"/>
        <v>4.32</v>
      </c>
      <c r="AO73" s="443">
        <v>0.25</v>
      </c>
      <c r="AP73" s="185">
        <f t="shared" si="17"/>
        <v>1.08</v>
      </c>
      <c r="AQ73" s="178">
        <f t="shared" si="18"/>
        <v>1609200</v>
      </c>
      <c r="AR73" s="178"/>
      <c r="AS73" s="178">
        <f t="shared" si="9"/>
        <v>8291886</v>
      </c>
      <c r="AT73" s="469" t="str">
        <f t="shared" si="10"/>
        <v>60</v>
      </c>
      <c r="AU73" s="186"/>
      <c r="AV73" s="198" t="s">
        <v>704</v>
      </c>
    </row>
    <row r="74" spans="1:48" s="189" customFormat="1" ht="30.75" customHeight="1" x14ac:dyDescent="0.25">
      <c r="A74" s="168" t="s">
        <v>365</v>
      </c>
      <c r="B74" s="168" t="str">
        <f>VLOOKUP(D74,[1]LuongBC_T01!$B$9:$C$292,2,FALSE)</f>
        <v>0016100006527005</v>
      </c>
      <c r="C74" s="361" t="s">
        <v>892</v>
      </c>
      <c r="D74" s="169" t="s">
        <v>1187</v>
      </c>
      <c r="E74" s="263" t="s">
        <v>1103</v>
      </c>
      <c r="F74" s="169" t="s">
        <v>549</v>
      </c>
      <c r="G74" s="170" t="s">
        <v>25</v>
      </c>
      <c r="H74" s="170"/>
      <c r="I74" s="170" t="s">
        <v>284</v>
      </c>
      <c r="J74" s="220" t="s">
        <v>230</v>
      </c>
      <c r="K74" s="170" t="str">
        <f>VLOOKUP(D74,[2]T3!$B$2:$D$328,3,FALSE)</f>
        <v>024734659</v>
      </c>
      <c r="L74" s="171" t="s">
        <v>152</v>
      </c>
      <c r="M74" s="171" t="s">
        <v>892</v>
      </c>
      <c r="N74" s="390" t="s">
        <v>807</v>
      </c>
      <c r="O74" s="172" t="s">
        <v>692</v>
      </c>
      <c r="P74" s="173">
        <v>6</v>
      </c>
      <c r="Q74" s="174">
        <v>4.32</v>
      </c>
      <c r="R74" s="176">
        <f t="shared" si="11"/>
        <v>0</v>
      </c>
      <c r="S74" s="370"/>
      <c r="T74" s="176">
        <f t="shared" si="12"/>
        <v>0</v>
      </c>
      <c r="U74" s="175">
        <f t="shared" si="0"/>
        <v>0</v>
      </c>
      <c r="V74" s="170"/>
      <c r="W74" s="179">
        <f>VLOOKUP(D74,[3]BC!$D$14:$X$294,20,FALSE)</f>
        <v>0</v>
      </c>
      <c r="X74" s="216">
        <f t="shared" si="13"/>
        <v>0</v>
      </c>
      <c r="Y74" s="216">
        <f t="shared" si="1"/>
        <v>4.32</v>
      </c>
      <c r="Z74" s="180">
        <f t="shared" si="14"/>
        <v>6436800</v>
      </c>
      <c r="AA74" s="180"/>
      <c r="AB74" s="180">
        <f t="shared" si="2"/>
        <v>0</v>
      </c>
      <c r="AC74" s="180">
        <f t="shared" si="19"/>
        <v>0</v>
      </c>
      <c r="AD74" s="180">
        <f t="shared" si="4"/>
        <v>6436800</v>
      </c>
      <c r="AE74" s="178">
        <f t="shared" si="5"/>
        <v>514944</v>
      </c>
      <c r="AF74" s="178">
        <f t="shared" si="6"/>
        <v>96552</v>
      </c>
      <c r="AG74" s="178">
        <f t="shared" si="7"/>
        <v>64368</v>
      </c>
      <c r="AH74" s="178"/>
      <c r="AI74" s="178">
        <f t="shared" si="15"/>
        <v>675864</v>
      </c>
      <c r="AJ74" s="192"/>
      <c r="AK74" s="182">
        <f t="shared" si="16"/>
        <v>0</v>
      </c>
      <c r="AL74" s="182"/>
      <c r="AM74" s="182"/>
      <c r="AN74" s="183">
        <f t="shared" si="8"/>
        <v>4.32</v>
      </c>
      <c r="AO74" s="179"/>
      <c r="AP74" s="185">
        <f t="shared" si="17"/>
        <v>0</v>
      </c>
      <c r="AQ74" s="178">
        <f t="shared" si="18"/>
        <v>0</v>
      </c>
      <c r="AR74" s="178"/>
      <c r="AS74" s="178">
        <f t="shared" si="9"/>
        <v>5760936</v>
      </c>
      <c r="AT74" s="469" t="str">
        <f t="shared" si="10"/>
        <v>61</v>
      </c>
      <c r="AU74" s="195"/>
      <c r="AV74" s="187" t="s">
        <v>705</v>
      </c>
    </row>
    <row r="75" spans="1:48" s="191" customFormat="1" ht="38.25" customHeight="1" x14ac:dyDescent="0.25">
      <c r="A75" s="168" t="s">
        <v>646</v>
      </c>
      <c r="B75" s="168" t="str">
        <f>VLOOKUP(D75,[1]LuongBC_T01!$B$9:$C$292,2,FALSE)</f>
        <v>0016100006715006</v>
      </c>
      <c r="C75" s="361" t="s">
        <v>891</v>
      </c>
      <c r="D75" s="169" t="s">
        <v>1188</v>
      </c>
      <c r="E75" s="263" t="s">
        <v>1435</v>
      </c>
      <c r="F75" s="169" t="s">
        <v>549</v>
      </c>
      <c r="G75" s="170"/>
      <c r="H75" s="170"/>
      <c r="I75" s="170" t="s">
        <v>284</v>
      </c>
      <c r="J75" s="169" t="s">
        <v>229</v>
      </c>
      <c r="K75" s="170" t="str">
        <f>VLOOKUP(D75,[2]T3!$B$2:$D$328,3,FALSE)</f>
        <v>023181301</v>
      </c>
      <c r="L75" s="171" t="s">
        <v>106</v>
      </c>
      <c r="M75" s="171" t="s">
        <v>891</v>
      </c>
      <c r="N75" s="390" t="s">
        <v>39</v>
      </c>
      <c r="O75" s="172" t="s">
        <v>692</v>
      </c>
      <c r="P75" s="173">
        <v>5</v>
      </c>
      <c r="Q75" s="174">
        <v>3.99</v>
      </c>
      <c r="R75" s="176">
        <f t="shared" si="11"/>
        <v>0</v>
      </c>
      <c r="S75" s="370"/>
      <c r="T75" s="176">
        <f t="shared" si="12"/>
        <v>0</v>
      </c>
      <c r="U75" s="175">
        <f t="shared" si="0"/>
        <v>0</v>
      </c>
      <c r="V75" s="200"/>
      <c r="W75" s="179">
        <f>VLOOKUP(D75,[3]BC!$D$14:$X$294,20,FALSE)</f>
        <v>0</v>
      </c>
      <c r="X75" s="216">
        <f t="shared" si="13"/>
        <v>0</v>
      </c>
      <c r="Y75" s="216">
        <f t="shared" si="1"/>
        <v>3.99</v>
      </c>
      <c r="Z75" s="180">
        <f t="shared" si="14"/>
        <v>5945100</v>
      </c>
      <c r="AA75" s="180"/>
      <c r="AB75" s="180">
        <f t="shared" si="2"/>
        <v>0</v>
      </c>
      <c r="AC75" s="180">
        <v>0</v>
      </c>
      <c r="AD75" s="180">
        <f t="shared" si="4"/>
        <v>5945100</v>
      </c>
      <c r="AE75" s="178">
        <f t="shared" si="5"/>
        <v>475608</v>
      </c>
      <c r="AF75" s="178">
        <f t="shared" si="6"/>
        <v>89176.5</v>
      </c>
      <c r="AG75" s="178">
        <f t="shared" si="7"/>
        <v>59451</v>
      </c>
      <c r="AH75" s="178"/>
      <c r="AI75" s="178">
        <f t="shared" si="15"/>
        <v>624235.5</v>
      </c>
      <c r="AJ75" s="181"/>
      <c r="AK75" s="182">
        <f t="shared" si="16"/>
        <v>0</v>
      </c>
      <c r="AL75" s="182"/>
      <c r="AM75" s="182"/>
      <c r="AN75" s="183">
        <f t="shared" si="8"/>
        <v>3.99</v>
      </c>
      <c r="AO75" s="179"/>
      <c r="AP75" s="185">
        <f t="shared" si="17"/>
        <v>0</v>
      </c>
      <c r="AQ75" s="178">
        <f t="shared" si="18"/>
        <v>0</v>
      </c>
      <c r="AR75" s="178"/>
      <c r="AS75" s="178">
        <f t="shared" si="9"/>
        <v>5320865</v>
      </c>
      <c r="AT75" s="469" t="str">
        <f t="shared" si="10"/>
        <v>62</v>
      </c>
      <c r="AU75" s="195"/>
      <c r="AV75" s="198" t="s">
        <v>711</v>
      </c>
    </row>
    <row r="76" spans="1:48" s="189" customFormat="1" ht="30" customHeight="1" x14ac:dyDescent="0.25">
      <c r="A76" s="168" t="s">
        <v>366</v>
      </c>
      <c r="B76" s="168" t="str">
        <f>VLOOKUP(D76,[1]LuongBC_T01!$B$9:$C$292,2,FALSE)</f>
        <v>0016100006503009</v>
      </c>
      <c r="C76" s="361" t="s">
        <v>893</v>
      </c>
      <c r="D76" s="169" t="s">
        <v>1189</v>
      </c>
      <c r="E76" s="263" t="s">
        <v>1392</v>
      </c>
      <c r="F76" s="169" t="s">
        <v>549</v>
      </c>
      <c r="G76" s="170"/>
      <c r="H76" s="170" t="s">
        <v>283</v>
      </c>
      <c r="I76" s="170" t="s">
        <v>282</v>
      </c>
      <c r="J76" s="169" t="s">
        <v>203</v>
      </c>
      <c r="K76" s="170" t="str">
        <f>VLOOKUP(D76,[2]T3!$B$2:$D$328,3,FALSE)</f>
        <v>022765460</v>
      </c>
      <c r="L76" s="171" t="s">
        <v>87</v>
      </c>
      <c r="M76" s="171" t="s">
        <v>893</v>
      </c>
      <c r="N76" s="390" t="s">
        <v>807</v>
      </c>
      <c r="O76" s="172" t="s">
        <v>692</v>
      </c>
      <c r="P76" s="173">
        <v>5</v>
      </c>
      <c r="Q76" s="174">
        <v>4.32</v>
      </c>
      <c r="R76" s="176">
        <f t="shared" si="11"/>
        <v>0.69120000000000004</v>
      </c>
      <c r="S76" s="370"/>
      <c r="T76" s="176">
        <f t="shared" si="12"/>
        <v>0</v>
      </c>
      <c r="U76" s="175">
        <f t="shared" si="0"/>
        <v>0</v>
      </c>
      <c r="V76" s="170"/>
      <c r="W76" s="179">
        <v>0.16</v>
      </c>
      <c r="X76" s="216">
        <f t="shared" si="13"/>
        <v>0.69120000000000004</v>
      </c>
      <c r="Y76" s="216">
        <f t="shared" si="1"/>
        <v>5.0111999999999997</v>
      </c>
      <c r="Z76" s="180">
        <f t="shared" si="14"/>
        <v>7466688</v>
      </c>
      <c r="AA76" s="180"/>
      <c r="AB76" s="180">
        <f t="shared" si="2"/>
        <v>0</v>
      </c>
      <c r="AC76" s="180">
        <f t="shared" si="19"/>
        <v>0</v>
      </c>
      <c r="AD76" s="180">
        <f t="shared" si="4"/>
        <v>7466688</v>
      </c>
      <c r="AE76" s="178">
        <f t="shared" si="5"/>
        <v>597335.04000000004</v>
      </c>
      <c r="AF76" s="178">
        <f t="shared" si="6"/>
        <v>112000.31999999999</v>
      </c>
      <c r="AG76" s="178">
        <f t="shared" si="7"/>
        <v>74666.880000000005</v>
      </c>
      <c r="AH76" s="178"/>
      <c r="AI76" s="178">
        <f t="shared" si="15"/>
        <v>784002.24</v>
      </c>
      <c r="AJ76" s="192"/>
      <c r="AK76" s="182">
        <f t="shared" si="16"/>
        <v>0</v>
      </c>
      <c r="AL76" s="182"/>
      <c r="AM76" s="182"/>
      <c r="AN76" s="183">
        <f t="shared" si="8"/>
        <v>4.32</v>
      </c>
      <c r="AO76" s="443">
        <v>0.25</v>
      </c>
      <c r="AP76" s="185">
        <f t="shared" si="17"/>
        <v>1.08</v>
      </c>
      <c r="AQ76" s="178">
        <f t="shared" si="18"/>
        <v>1609200</v>
      </c>
      <c r="AR76" s="178"/>
      <c r="AS76" s="178">
        <f t="shared" si="9"/>
        <v>8291886</v>
      </c>
      <c r="AT76" s="469" t="str">
        <f t="shared" si="10"/>
        <v>63</v>
      </c>
      <c r="AU76" s="186"/>
      <c r="AV76" s="187" t="s">
        <v>704</v>
      </c>
    </row>
    <row r="77" spans="1:48" s="189" customFormat="1" ht="30" customHeight="1" x14ac:dyDescent="0.25">
      <c r="A77" s="168" t="s">
        <v>367</v>
      </c>
      <c r="B77" s="168" t="str">
        <f>VLOOKUP(D77,[1]LuongBC_T01!$B$9:$C$292,2,FALSE)</f>
        <v>0016100006609001</v>
      </c>
      <c r="C77" s="361" t="s">
        <v>894</v>
      </c>
      <c r="D77" s="169" t="s">
        <v>1190</v>
      </c>
      <c r="E77" s="263" t="s">
        <v>1392</v>
      </c>
      <c r="F77" s="169" t="s">
        <v>549</v>
      </c>
      <c r="G77" s="170" t="s">
        <v>25</v>
      </c>
      <c r="H77" s="170" t="s">
        <v>283</v>
      </c>
      <c r="I77" s="170" t="s">
        <v>283</v>
      </c>
      <c r="J77" s="169" t="s">
        <v>231</v>
      </c>
      <c r="K77" s="170" t="str">
        <f>VLOOKUP(D77,[2]T3!$B$2:$D$328,3,FALSE)</f>
        <v>025602565</v>
      </c>
      <c r="L77" s="171" t="s">
        <v>107</v>
      </c>
      <c r="M77" s="171" t="s">
        <v>894</v>
      </c>
      <c r="N77" s="390" t="s">
        <v>807</v>
      </c>
      <c r="O77" s="172" t="s">
        <v>692</v>
      </c>
      <c r="P77" s="173">
        <v>5</v>
      </c>
      <c r="Q77" s="174">
        <v>4.32</v>
      </c>
      <c r="R77" s="176">
        <f t="shared" si="11"/>
        <v>0.69120000000000004</v>
      </c>
      <c r="S77" s="370"/>
      <c r="T77" s="176">
        <f t="shared" si="12"/>
        <v>0</v>
      </c>
      <c r="U77" s="175">
        <f t="shared" si="0"/>
        <v>0</v>
      </c>
      <c r="V77" s="170"/>
      <c r="W77" s="179">
        <v>0.16</v>
      </c>
      <c r="X77" s="216">
        <f t="shared" si="13"/>
        <v>0.69120000000000004</v>
      </c>
      <c r="Y77" s="216">
        <f t="shared" si="1"/>
        <v>5.0111999999999997</v>
      </c>
      <c r="Z77" s="180">
        <f t="shared" si="14"/>
        <v>7466688</v>
      </c>
      <c r="AA77" s="180"/>
      <c r="AB77" s="180">
        <f t="shared" si="2"/>
        <v>0</v>
      </c>
      <c r="AC77" s="180">
        <f t="shared" si="19"/>
        <v>0</v>
      </c>
      <c r="AD77" s="180">
        <f t="shared" si="4"/>
        <v>7466688</v>
      </c>
      <c r="AE77" s="178">
        <f t="shared" si="5"/>
        <v>597335.04000000004</v>
      </c>
      <c r="AF77" s="178">
        <f t="shared" si="6"/>
        <v>112000.31999999999</v>
      </c>
      <c r="AG77" s="178">
        <f t="shared" si="7"/>
        <v>74666.880000000005</v>
      </c>
      <c r="AH77" s="178"/>
      <c r="AI77" s="178">
        <f t="shared" si="15"/>
        <v>784002.24</v>
      </c>
      <c r="AJ77" s="192"/>
      <c r="AK77" s="182">
        <f t="shared" si="16"/>
        <v>0</v>
      </c>
      <c r="AL77" s="182"/>
      <c r="AM77" s="182"/>
      <c r="AN77" s="183">
        <f t="shared" si="8"/>
        <v>4.32</v>
      </c>
      <c r="AO77" s="443">
        <v>0.25</v>
      </c>
      <c r="AP77" s="185">
        <f t="shared" si="17"/>
        <v>1.08</v>
      </c>
      <c r="AQ77" s="178">
        <f t="shared" si="18"/>
        <v>1609200</v>
      </c>
      <c r="AR77" s="178"/>
      <c r="AS77" s="178">
        <f t="shared" si="9"/>
        <v>8291886</v>
      </c>
      <c r="AT77" s="469" t="str">
        <f t="shared" si="10"/>
        <v>64</v>
      </c>
      <c r="AU77" s="186"/>
      <c r="AV77" s="198" t="s">
        <v>704</v>
      </c>
    </row>
    <row r="78" spans="1:48" s="189" customFormat="1" ht="30" customHeight="1" x14ac:dyDescent="0.25">
      <c r="A78" s="168" t="s">
        <v>369</v>
      </c>
      <c r="B78" s="168" t="str">
        <f>VLOOKUP(D78,[1]LuongBC_T01!$B$9:$C$292,2,FALSE)</f>
        <v>0016100006641002</v>
      </c>
      <c r="C78" s="361" t="s">
        <v>895</v>
      </c>
      <c r="D78" s="169" t="s">
        <v>1191</v>
      </c>
      <c r="E78" s="263" t="s">
        <v>1392</v>
      </c>
      <c r="F78" s="169" t="s">
        <v>549</v>
      </c>
      <c r="G78" s="170" t="s">
        <v>25</v>
      </c>
      <c r="H78" s="170" t="s">
        <v>283</v>
      </c>
      <c r="I78" s="170" t="s">
        <v>283</v>
      </c>
      <c r="J78" s="169" t="s">
        <v>233</v>
      </c>
      <c r="K78" s="170" t="str">
        <f>VLOOKUP(D78,[2]T3!$B$2:$D$328,3,FALSE)</f>
        <v>024346476</v>
      </c>
      <c r="L78" s="171" t="s">
        <v>109</v>
      </c>
      <c r="M78" s="171" t="s">
        <v>895</v>
      </c>
      <c r="N78" s="390" t="s">
        <v>807</v>
      </c>
      <c r="O78" s="172" t="s">
        <v>692</v>
      </c>
      <c r="P78" s="173">
        <v>5</v>
      </c>
      <c r="Q78" s="174">
        <v>4.32</v>
      </c>
      <c r="R78" s="176">
        <f t="shared" si="11"/>
        <v>0.69120000000000004</v>
      </c>
      <c r="S78" s="370"/>
      <c r="T78" s="176">
        <f t="shared" si="12"/>
        <v>0</v>
      </c>
      <c r="U78" s="175">
        <f t="shared" ref="U78:U86" si="20">Q78*S78*$D$8/100</f>
        <v>0</v>
      </c>
      <c r="V78" s="170"/>
      <c r="W78" s="179">
        <v>0.16</v>
      </c>
      <c r="X78" s="216">
        <f t="shared" si="13"/>
        <v>0.69120000000000004</v>
      </c>
      <c r="Y78" s="216">
        <f t="shared" ref="Y78:Y86" si="21">ROUND(Q78+T78+V78+X78,4)</f>
        <v>5.0111999999999997</v>
      </c>
      <c r="Z78" s="180">
        <f t="shared" si="14"/>
        <v>7466688</v>
      </c>
      <c r="AA78" s="180"/>
      <c r="AB78" s="180">
        <f t="shared" ref="AB78:AB86" si="22">Z78/24*AA78</f>
        <v>0</v>
      </c>
      <c r="AC78" s="180">
        <f t="shared" si="19"/>
        <v>0</v>
      </c>
      <c r="AD78" s="180">
        <f t="shared" ref="AD78:AD86" si="23">ROUND(Z78-AB78+AC78,0)</f>
        <v>7466688</v>
      </c>
      <c r="AE78" s="178">
        <f t="shared" ref="AE78:AE86" si="24">Z78*8%</f>
        <v>597335.04000000004</v>
      </c>
      <c r="AF78" s="178">
        <f t="shared" ref="AF78:AF86" si="25">Z78*1.5%</f>
        <v>112000.31999999999</v>
      </c>
      <c r="AG78" s="178">
        <f t="shared" ref="AG78:AG86" si="26">Z78*1%</f>
        <v>74666.880000000005</v>
      </c>
      <c r="AH78" s="178"/>
      <c r="AI78" s="178">
        <f t="shared" si="15"/>
        <v>784002.24</v>
      </c>
      <c r="AJ78" s="192"/>
      <c r="AK78" s="182">
        <f t="shared" si="16"/>
        <v>0</v>
      </c>
      <c r="AL78" s="182"/>
      <c r="AM78" s="182"/>
      <c r="AN78" s="183">
        <f t="shared" ref="AN78:AN83" si="27">Q78+T78+V78</f>
        <v>4.32</v>
      </c>
      <c r="AO78" s="443">
        <v>0.25</v>
      </c>
      <c r="AP78" s="185">
        <f t="shared" si="17"/>
        <v>1.08</v>
      </c>
      <c r="AQ78" s="178">
        <f t="shared" si="18"/>
        <v>1609200</v>
      </c>
      <c r="AR78" s="178"/>
      <c r="AS78" s="178">
        <f t="shared" ref="AS78:AS86" si="28">ROUND(AD78-AI78+AK78+AM78+AQ78,0)</f>
        <v>8291886</v>
      </c>
      <c r="AT78" s="469" t="str">
        <f t="shared" ref="AT78:AT86" si="29">A78</f>
        <v>65</v>
      </c>
      <c r="AU78" s="186"/>
      <c r="AV78" s="198" t="s">
        <v>704</v>
      </c>
    </row>
    <row r="79" spans="1:48" s="189" customFormat="1" ht="30" customHeight="1" x14ac:dyDescent="0.25">
      <c r="A79" s="168" t="s">
        <v>370</v>
      </c>
      <c r="B79" s="168" t="str">
        <f>VLOOKUP(D79,[1]LuongBC_T01!$B$9:$C$292,2,FALSE)</f>
        <v>0016100006596007</v>
      </c>
      <c r="C79" s="361" t="s">
        <v>897</v>
      </c>
      <c r="D79" s="169" t="s">
        <v>1192</v>
      </c>
      <c r="E79" s="263" t="s">
        <v>1392</v>
      </c>
      <c r="F79" s="169" t="s">
        <v>549</v>
      </c>
      <c r="G79" s="170"/>
      <c r="H79" s="170" t="s">
        <v>283</v>
      </c>
      <c r="I79" s="170" t="s">
        <v>283</v>
      </c>
      <c r="J79" s="169" t="s">
        <v>234</v>
      </c>
      <c r="K79" s="170" t="str">
        <f>VLOOKUP(D79,[2]T3!$B$2:$D$328,3,FALSE)</f>
        <v>021710558</v>
      </c>
      <c r="L79" s="171" t="s">
        <v>110</v>
      </c>
      <c r="M79" s="171" t="s">
        <v>897</v>
      </c>
      <c r="N79" s="390" t="s">
        <v>1438</v>
      </c>
      <c r="O79" s="172" t="s">
        <v>692</v>
      </c>
      <c r="P79" s="173">
        <v>5</v>
      </c>
      <c r="Q79" s="174">
        <v>3.99</v>
      </c>
      <c r="R79" s="176">
        <f t="shared" ref="R79:R86" si="30">T79+V79+X79</f>
        <v>0.63839999999999997</v>
      </c>
      <c r="S79" s="370"/>
      <c r="T79" s="176">
        <f t="shared" ref="T79:T86" si="31">ROUND(Q79*S79/100,4)</f>
        <v>0</v>
      </c>
      <c r="U79" s="175">
        <f t="shared" si="20"/>
        <v>0</v>
      </c>
      <c r="V79" s="170"/>
      <c r="W79" s="179">
        <v>0.16</v>
      </c>
      <c r="X79" s="216">
        <f t="shared" ref="X79:X86" si="32">ROUND((Q79+T79+V79)*W79,4)</f>
        <v>0.63839999999999997</v>
      </c>
      <c r="Y79" s="216">
        <f t="shared" si="21"/>
        <v>4.6284000000000001</v>
      </c>
      <c r="Z79" s="180">
        <f t="shared" ref="Z79:Z86" si="33">ROUND(Y79*$D$8,0)</f>
        <v>6896316</v>
      </c>
      <c r="AA79" s="180"/>
      <c r="AB79" s="180">
        <f t="shared" si="22"/>
        <v>0</v>
      </c>
      <c r="AC79" s="180">
        <f t="shared" si="19"/>
        <v>0</v>
      </c>
      <c r="AD79" s="180">
        <f t="shared" si="23"/>
        <v>6896316</v>
      </c>
      <c r="AE79" s="178">
        <f t="shared" si="24"/>
        <v>551705.28</v>
      </c>
      <c r="AF79" s="178">
        <f t="shared" si="25"/>
        <v>103444.73999999999</v>
      </c>
      <c r="AG79" s="178">
        <f t="shared" si="26"/>
        <v>68963.16</v>
      </c>
      <c r="AH79" s="178"/>
      <c r="AI79" s="178">
        <f t="shared" ref="AI79:AI86" si="34">SUM(AE79:AH79)</f>
        <v>724113.18</v>
      </c>
      <c r="AJ79" s="192"/>
      <c r="AK79" s="182">
        <f t="shared" ref="AK79:AK86" si="35">AJ79*$D$8</f>
        <v>0</v>
      </c>
      <c r="AL79" s="182"/>
      <c r="AM79" s="182"/>
      <c r="AN79" s="183">
        <f t="shared" si="27"/>
        <v>3.99</v>
      </c>
      <c r="AO79" s="443">
        <v>0.25</v>
      </c>
      <c r="AP79" s="185">
        <f t="shared" ref="AP79:AP86" si="36">ROUND(AN79*AO79,4)</f>
        <v>0.99750000000000005</v>
      </c>
      <c r="AQ79" s="178">
        <f t="shared" ref="AQ79:AQ86" si="37">ROUND(AP79*$D$8,0)</f>
        <v>1486275</v>
      </c>
      <c r="AR79" s="178"/>
      <c r="AS79" s="178">
        <f t="shared" si="28"/>
        <v>7658478</v>
      </c>
      <c r="AT79" s="469" t="str">
        <f t="shared" si="29"/>
        <v>66</v>
      </c>
      <c r="AU79" s="195"/>
      <c r="AV79" s="198" t="s">
        <v>704</v>
      </c>
    </row>
    <row r="80" spans="1:48" s="189" customFormat="1" ht="30" customHeight="1" x14ac:dyDescent="0.25">
      <c r="A80" s="168" t="s">
        <v>371</v>
      </c>
      <c r="B80" s="168" t="str">
        <f>VLOOKUP(D80,[1]LuongBC_T01!$B$9:$C$292,2,FALSE)</f>
        <v>0016100006529008</v>
      </c>
      <c r="C80" s="361" t="s">
        <v>896</v>
      </c>
      <c r="D80" s="169" t="s">
        <v>1193</v>
      </c>
      <c r="E80" s="263" t="s">
        <v>1392</v>
      </c>
      <c r="F80" s="169" t="s">
        <v>549</v>
      </c>
      <c r="G80" s="170"/>
      <c r="H80" s="170" t="s">
        <v>283</v>
      </c>
      <c r="I80" s="170" t="s">
        <v>283</v>
      </c>
      <c r="J80" s="169" t="s">
        <v>236</v>
      </c>
      <c r="K80" s="170" t="str">
        <f>VLOOKUP(D80,[2]T3!$B$2:$D$328,3,FALSE)</f>
        <v>023205612</v>
      </c>
      <c r="L80" s="171" t="s">
        <v>111</v>
      </c>
      <c r="M80" s="171" t="s">
        <v>896</v>
      </c>
      <c r="N80" s="390" t="s">
        <v>1438</v>
      </c>
      <c r="O80" s="172" t="s">
        <v>692</v>
      </c>
      <c r="P80" s="173">
        <v>5</v>
      </c>
      <c r="Q80" s="174">
        <v>3.99</v>
      </c>
      <c r="R80" s="176">
        <f t="shared" si="30"/>
        <v>0.63839999999999997</v>
      </c>
      <c r="S80" s="370"/>
      <c r="T80" s="176">
        <f t="shared" si="31"/>
        <v>0</v>
      </c>
      <c r="U80" s="175">
        <f t="shared" si="20"/>
        <v>0</v>
      </c>
      <c r="V80" s="170"/>
      <c r="W80" s="179">
        <v>0.16</v>
      </c>
      <c r="X80" s="216">
        <f t="shared" si="32"/>
        <v>0.63839999999999997</v>
      </c>
      <c r="Y80" s="216">
        <f t="shared" si="21"/>
        <v>4.6284000000000001</v>
      </c>
      <c r="Z80" s="180">
        <f t="shared" si="33"/>
        <v>6896316</v>
      </c>
      <c r="AA80" s="180"/>
      <c r="AB80" s="180">
        <f t="shared" si="22"/>
        <v>0</v>
      </c>
      <c r="AC80" s="180">
        <f t="shared" si="19"/>
        <v>0</v>
      </c>
      <c r="AD80" s="180">
        <f t="shared" si="23"/>
        <v>6896316</v>
      </c>
      <c r="AE80" s="178">
        <f t="shared" si="24"/>
        <v>551705.28</v>
      </c>
      <c r="AF80" s="178">
        <f t="shared" si="25"/>
        <v>103444.73999999999</v>
      </c>
      <c r="AG80" s="178">
        <f t="shared" si="26"/>
        <v>68963.16</v>
      </c>
      <c r="AH80" s="178"/>
      <c r="AI80" s="178">
        <f t="shared" si="34"/>
        <v>724113.18</v>
      </c>
      <c r="AJ80" s="192"/>
      <c r="AK80" s="182">
        <f t="shared" si="35"/>
        <v>0</v>
      </c>
      <c r="AL80" s="182"/>
      <c r="AM80" s="182"/>
      <c r="AN80" s="183">
        <f t="shared" si="27"/>
        <v>3.99</v>
      </c>
      <c r="AO80" s="443">
        <v>0.25</v>
      </c>
      <c r="AP80" s="185">
        <f t="shared" si="36"/>
        <v>0.99750000000000005</v>
      </c>
      <c r="AQ80" s="178">
        <f t="shared" si="37"/>
        <v>1486275</v>
      </c>
      <c r="AR80" s="178"/>
      <c r="AS80" s="178">
        <f t="shared" si="28"/>
        <v>7658478</v>
      </c>
      <c r="AT80" s="469" t="str">
        <f t="shared" si="29"/>
        <v>67</v>
      </c>
      <c r="AU80" s="186"/>
      <c r="AV80" s="198" t="s">
        <v>704</v>
      </c>
    </row>
    <row r="81" spans="1:58" s="189" customFormat="1" ht="30" customHeight="1" x14ac:dyDescent="0.25">
      <c r="A81" s="168" t="s">
        <v>372</v>
      </c>
      <c r="B81" s="168" t="str">
        <f>VLOOKUP(D81,[1]LuongBC_T01!$B$9:$C$292,2,FALSE)</f>
        <v>0016100006614005</v>
      </c>
      <c r="C81" s="361" t="s">
        <v>898</v>
      </c>
      <c r="D81" s="169" t="s">
        <v>1194</v>
      </c>
      <c r="E81" s="263" t="s">
        <v>1394</v>
      </c>
      <c r="F81" s="169" t="s">
        <v>549</v>
      </c>
      <c r="G81" s="170"/>
      <c r="H81" s="170"/>
      <c r="I81" s="170" t="s">
        <v>283</v>
      </c>
      <c r="J81" s="169" t="s">
        <v>239</v>
      </c>
      <c r="K81" s="170" t="str">
        <f>VLOOKUP(D81,[2]T3!$B$2:$D$328,3,FALSE)</f>
        <v>038065000896</v>
      </c>
      <c r="L81" s="171" t="s">
        <v>151</v>
      </c>
      <c r="M81" s="171" t="s">
        <v>898</v>
      </c>
      <c r="N81" s="666" t="s">
        <v>1438</v>
      </c>
      <c r="O81" s="172" t="s">
        <v>692</v>
      </c>
      <c r="P81" s="173">
        <v>9</v>
      </c>
      <c r="Q81" s="174">
        <v>4.9800000000000004</v>
      </c>
      <c r="R81" s="176">
        <f t="shared" si="30"/>
        <v>1.9581</v>
      </c>
      <c r="S81" s="370">
        <v>8</v>
      </c>
      <c r="T81" s="176">
        <f t="shared" si="31"/>
        <v>0.39839999999999998</v>
      </c>
      <c r="U81" s="175">
        <f t="shared" si="20"/>
        <v>593616.00000000012</v>
      </c>
      <c r="V81" s="170"/>
      <c r="W81" s="179">
        <f>VLOOKUP(D81,[3]BC!$D$14:$X$294,20,FALSE)</f>
        <v>0.28999999999999998</v>
      </c>
      <c r="X81" s="216">
        <f t="shared" si="32"/>
        <v>1.5597000000000001</v>
      </c>
      <c r="Y81" s="216">
        <f t="shared" si="21"/>
        <v>6.9381000000000004</v>
      </c>
      <c r="Z81" s="180">
        <f t="shared" si="33"/>
        <v>10337769</v>
      </c>
      <c r="AA81" s="180"/>
      <c r="AB81" s="180">
        <f t="shared" si="22"/>
        <v>0</v>
      </c>
      <c r="AC81" s="180">
        <f t="shared" si="19"/>
        <v>0</v>
      </c>
      <c r="AD81" s="180">
        <f t="shared" si="23"/>
        <v>10337769</v>
      </c>
      <c r="AE81" s="178">
        <f t="shared" si="24"/>
        <v>827021.52</v>
      </c>
      <c r="AF81" s="178">
        <f t="shared" si="25"/>
        <v>155066.535</v>
      </c>
      <c r="AG81" s="178">
        <f t="shared" si="26"/>
        <v>103377.69</v>
      </c>
      <c r="AH81" s="178"/>
      <c r="AI81" s="178">
        <f t="shared" si="34"/>
        <v>1085465.7450000001</v>
      </c>
      <c r="AJ81" s="192"/>
      <c r="AK81" s="182">
        <f t="shared" si="35"/>
        <v>0</v>
      </c>
      <c r="AL81" s="182"/>
      <c r="AM81" s="182"/>
      <c r="AN81" s="183">
        <f t="shared" si="27"/>
        <v>5.3784000000000001</v>
      </c>
      <c r="AO81" s="246">
        <v>0.25</v>
      </c>
      <c r="AP81" s="185">
        <f t="shared" si="36"/>
        <v>1.3446</v>
      </c>
      <c r="AQ81" s="178">
        <f t="shared" si="37"/>
        <v>2003454</v>
      </c>
      <c r="AR81" s="178"/>
      <c r="AS81" s="178">
        <f t="shared" si="28"/>
        <v>11255757</v>
      </c>
      <c r="AT81" s="469" t="str">
        <f t="shared" si="29"/>
        <v>68</v>
      </c>
      <c r="AU81" s="195"/>
      <c r="AV81" s="198" t="s">
        <v>705</v>
      </c>
      <c r="AW81" s="29"/>
      <c r="AX81" s="29"/>
      <c r="AY81" s="29"/>
      <c r="AZ81" s="29"/>
      <c r="BA81" s="29"/>
      <c r="BB81" s="29"/>
      <c r="BC81" s="29"/>
      <c r="BD81" s="29"/>
      <c r="BE81" s="29"/>
      <c r="BF81" s="29"/>
    </row>
    <row r="82" spans="1:58" s="189" customFormat="1" ht="36" customHeight="1" x14ac:dyDescent="0.25">
      <c r="A82" s="168" t="s">
        <v>373</v>
      </c>
      <c r="B82" s="168" t="str">
        <f>VLOOKUP(D82,[1]LuongBC_T01!$B$9:$C$292,2,FALSE)</f>
        <v>0016100006519002</v>
      </c>
      <c r="C82" s="361" t="s">
        <v>1079</v>
      </c>
      <c r="D82" s="169" t="s">
        <v>24</v>
      </c>
      <c r="E82" s="263" t="s">
        <v>1398</v>
      </c>
      <c r="F82" s="169" t="s">
        <v>549</v>
      </c>
      <c r="G82" s="170" t="s">
        <v>25</v>
      </c>
      <c r="H82" s="170"/>
      <c r="I82" s="170" t="s">
        <v>283</v>
      </c>
      <c r="J82" s="169" t="s">
        <v>237</v>
      </c>
      <c r="K82" s="170" t="str">
        <f>VLOOKUP(D82,[2]T3!$B$2:$D$328,3,FALSE)</f>
        <v>023331855</v>
      </c>
      <c r="L82" s="171" t="s">
        <v>293</v>
      </c>
      <c r="M82" s="171" t="s">
        <v>1079</v>
      </c>
      <c r="N82" s="390" t="s">
        <v>807</v>
      </c>
      <c r="O82" s="172" t="s">
        <v>692</v>
      </c>
      <c r="P82" s="173">
        <v>6</v>
      </c>
      <c r="Q82" s="174">
        <v>4.6500000000000004</v>
      </c>
      <c r="R82" s="176">
        <f t="shared" si="30"/>
        <v>1.2150000000000001</v>
      </c>
      <c r="S82" s="370"/>
      <c r="T82" s="176">
        <f t="shared" si="31"/>
        <v>0</v>
      </c>
      <c r="U82" s="175">
        <f t="shared" si="20"/>
        <v>0</v>
      </c>
      <c r="V82" s="170">
        <v>0.45</v>
      </c>
      <c r="W82" s="179">
        <f>VLOOKUP(D82,[3]BC!$D$14:$X$294,20,FALSE)</f>
        <v>0.15</v>
      </c>
      <c r="X82" s="216">
        <f t="shared" si="32"/>
        <v>0.76500000000000001</v>
      </c>
      <c r="Y82" s="216">
        <f t="shared" si="21"/>
        <v>5.8650000000000002</v>
      </c>
      <c r="Z82" s="180">
        <f t="shared" si="33"/>
        <v>8738850</v>
      </c>
      <c r="AA82" s="180"/>
      <c r="AB82" s="180">
        <f t="shared" si="22"/>
        <v>0</v>
      </c>
      <c r="AC82" s="180">
        <f t="shared" si="19"/>
        <v>0</v>
      </c>
      <c r="AD82" s="180">
        <f t="shared" si="23"/>
        <v>8738850</v>
      </c>
      <c r="AE82" s="178">
        <f t="shared" si="24"/>
        <v>699108</v>
      </c>
      <c r="AF82" s="178">
        <f t="shared" si="25"/>
        <v>131082.75</v>
      </c>
      <c r="AG82" s="178">
        <f t="shared" si="26"/>
        <v>87388.5</v>
      </c>
      <c r="AH82" s="178"/>
      <c r="AI82" s="178">
        <f t="shared" si="34"/>
        <v>917579.25</v>
      </c>
      <c r="AJ82" s="181">
        <v>0.3</v>
      </c>
      <c r="AK82" s="182">
        <f t="shared" si="35"/>
        <v>447000</v>
      </c>
      <c r="AL82" s="182"/>
      <c r="AM82" s="182"/>
      <c r="AN82" s="183">
        <f t="shared" si="27"/>
        <v>5.1000000000000005</v>
      </c>
      <c r="AO82" s="443">
        <v>0.25</v>
      </c>
      <c r="AP82" s="185">
        <f t="shared" si="36"/>
        <v>1.2749999999999999</v>
      </c>
      <c r="AQ82" s="178">
        <f t="shared" si="37"/>
        <v>1899750</v>
      </c>
      <c r="AR82" s="178"/>
      <c r="AS82" s="178">
        <f t="shared" si="28"/>
        <v>10168021</v>
      </c>
      <c r="AT82" s="469" t="str">
        <f t="shared" si="29"/>
        <v>69</v>
      </c>
      <c r="AU82" s="195" t="s">
        <v>805</v>
      </c>
      <c r="AV82" s="186" t="s">
        <v>731</v>
      </c>
    </row>
    <row r="83" spans="1:58" s="191" customFormat="1" ht="33" customHeight="1" x14ac:dyDescent="0.25">
      <c r="A83" s="682" t="s">
        <v>374</v>
      </c>
      <c r="B83" s="682" t="str">
        <f>VLOOKUP(D83,[1]LuongBC_T01!$B$9:$C$292,2,FALSE)</f>
        <v>0016100006574003</v>
      </c>
      <c r="C83" s="763" t="s">
        <v>1087</v>
      </c>
      <c r="D83" s="683" t="s">
        <v>767</v>
      </c>
      <c r="E83" s="684" t="s">
        <v>1252</v>
      </c>
      <c r="F83" s="683"/>
      <c r="G83" s="685" t="s">
        <v>25</v>
      </c>
      <c r="H83" s="685"/>
      <c r="I83" s="685"/>
      <c r="J83" s="683"/>
      <c r="K83" s="685" t="str">
        <f>VLOOKUP(D83,[2]T3!$B$2:$D$328,3,FALSE)</f>
        <v>022931960</v>
      </c>
      <c r="L83" s="767" t="s">
        <v>790</v>
      </c>
      <c r="M83" s="767" t="s">
        <v>1087</v>
      </c>
      <c r="N83" s="686" t="s">
        <v>1438</v>
      </c>
      <c r="O83" s="687" t="s">
        <v>692</v>
      </c>
      <c r="P83" s="688">
        <v>7</v>
      </c>
      <c r="Q83" s="689">
        <v>4.6500000000000004</v>
      </c>
      <c r="R83" s="690">
        <f t="shared" si="30"/>
        <v>0.88349999999999995</v>
      </c>
      <c r="S83" s="691"/>
      <c r="T83" s="690">
        <f t="shared" si="31"/>
        <v>0</v>
      </c>
      <c r="U83" s="692">
        <f t="shared" si="20"/>
        <v>0</v>
      </c>
      <c r="V83" s="705"/>
      <c r="W83" s="693">
        <v>0.19</v>
      </c>
      <c r="X83" s="694">
        <f t="shared" si="32"/>
        <v>0.88349999999999995</v>
      </c>
      <c r="Y83" s="694">
        <f t="shared" si="21"/>
        <v>5.5335000000000001</v>
      </c>
      <c r="Z83" s="695">
        <f t="shared" si="33"/>
        <v>8244915</v>
      </c>
      <c r="AA83" s="695"/>
      <c r="AB83" s="695">
        <f t="shared" si="22"/>
        <v>0</v>
      </c>
      <c r="AC83" s="695">
        <f t="shared" si="19"/>
        <v>0</v>
      </c>
      <c r="AD83" s="695">
        <f t="shared" si="23"/>
        <v>8244915</v>
      </c>
      <c r="AE83" s="696">
        <f t="shared" si="24"/>
        <v>659593.20000000007</v>
      </c>
      <c r="AF83" s="696">
        <f t="shared" si="25"/>
        <v>123673.72499999999</v>
      </c>
      <c r="AG83" s="696">
        <f t="shared" si="26"/>
        <v>82449.150000000009</v>
      </c>
      <c r="AH83" s="696"/>
      <c r="AI83" s="696">
        <f t="shared" si="34"/>
        <v>865716.07500000007</v>
      </c>
      <c r="AJ83" s="762"/>
      <c r="AK83" s="697">
        <f t="shared" si="35"/>
        <v>0</v>
      </c>
      <c r="AL83" s="697"/>
      <c r="AM83" s="697"/>
      <c r="AN83" s="764">
        <f t="shared" si="27"/>
        <v>4.6500000000000004</v>
      </c>
      <c r="AO83" s="765">
        <v>0.25</v>
      </c>
      <c r="AP83" s="766">
        <f t="shared" si="36"/>
        <v>1.1625000000000001</v>
      </c>
      <c r="AQ83" s="696">
        <f t="shared" si="37"/>
        <v>1732125</v>
      </c>
      <c r="AR83" s="696"/>
      <c r="AS83" s="696">
        <f t="shared" si="28"/>
        <v>9111324</v>
      </c>
      <c r="AT83" s="698" t="str">
        <f t="shared" si="29"/>
        <v>70</v>
      </c>
      <c r="AU83" s="699"/>
      <c r="AV83" s="195" t="s">
        <v>768</v>
      </c>
      <c r="AW83" s="552"/>
      <c r="AX83" s="552"/>
      <c r="AY83" s="552"/>
      <c r="AZ83" s="552"/>
      <c r="BA83" s="552"/>
      <c r="BB83" s="552"/>
      <c r="BC83" s="552"/>
      <c r="BD83" s="552"/>
      <c r="BE83" s="552"/>
      <c r="BF83" s="552"/>
    </row>
    <row r="84" spans="1:58" s="191" customFormat="1" ht="25.5" x14ac:dyDescent="0.25">
      <c r="A84" s="168" t="s">
        <v>375</v>
      </c>
      <c r="B84" s="168" t="str">
        <f>VLOOKUP(D84,[1]LuongBC_T01!$B$9:$C$292,2,FALSE)</f>
        <v>0016100006721006</v>
      </c>
      <c r="C84" s="361" t="s">
        <v>1084</v>
      </c>
      <c r="D84" s="169" t="s">
        <v>1195</v>
      </c>
      <c r="E84" s="263" t="s">
        <v>1470</v>
      </c>
      <c r="F84" s="169" t="s">
        <v>549</v>
      </c>
      <c r="G84" s="170"/>
      <c r="H84" s="170"/>
      <c r="I84" s="170"/>
      <c r="J84" s="169"/>
      <c r="K84" s="170" t="str">
        <f>VLOOKUP(D84,[2]T3!$B$2:$D$328,3,FALSE)</f>
        <v>020933341</v>
      </c>
      <c r="L84" s="201" t="s">
        <v>685</v>
      </c>
      <c r="M84" s="201" t="s">
        <v>1084</v>
      </c>
      <c r="N84" s="390" t="s">
        <v>39</v>
      </c>
      <c r="O84" s="172" t="s">
        <v>692</v>
      </c>
      <c r="P84" s="173">
        <v>9</v>
      </c>
      <c r="Q84" s="174">
        <v>4.9800000000000004</v>
      </c>
      <c r="R84" s="176">
        <f t="shared" si="30"/>
        <v>0.84660000000000002</v>
      </c>
      <c r="S84" s="370">
        <v>17</v>
      </c>
      <c r="T84" s="176">
        <f t="shared" si="31"/>
        <v>0.84660000000000002</v>
      </c>
      <c r="U84" s="175">
        <f t="shared" si="20"/>
        <v>1261434.0000000002</v>
      </c>
      <c r="V84" s="170"/>
      <c r="W84" s="179">
        <f>VLOOKUP(D84,[3]BC!$D$14:$X$294,20,FALSE)</f>
        <v>0</v>
      </c>
      <c r="X84" s="216">
        <f t="shared" si="32"/>
        <v>0</v>
      </c>
      <c r="Y84" s="216">
        <f t="shared" si="21"/>
        <v>5.8266</v>
      </c>
      <c r="Z84" s="180">
        <f t="shared" si="33"/>
        <v>8681634</v>
      </c>
      <c r="AA84" s="180"/>
      <c r="AB84" s="180">
        <f t="shared" si="22"/>
        <v>0</v>
      </c>
      <c r="AC84" s="180">
        <f t="shared" si="19"/>
        <v>0</v>
      </c>
      <c r="AD84" s="180">
        <f t="shared" si="23"/>
        <v>8681634</v>
      </c>
      <c r="AE84" s="178">
        <f t="shared" si="24"/>
        <v>694530.72</v>
      </c>
      <c r="AF84" s="178">
        <f t="shared" si="25"/>
        <v>130224.51</v>
      </c>
      <c r="AG84" s="178">
        <f t="shared" si="26"/>
        <v>86816.34</v>
      </c>
      <c r="AH84" s="178"/>
      <c r="AI84" s="178">
        <f t="shared" si="34"/>
        <v>911571.57</v>
      </c>
      <c r="AJ84" s="192"/>
      <c r="AK84" s="182">
        <f t="shared" si="35"/>
        <v>0</v>
      </c>
      <c r="AL84" s="182"/>
      <c r="AM84" s="182"/>
      <c r="AN84" s="183"/>
      <c r="AO84" s="184"/>
      <c r="AP84" s="185">
        <f t="shared" si="36"/>
        <v>0</v>
      </c>
      <c r="AQ84" s="178">
        <f t="shared" si="37"/>
        <v>0</v>
      </c>
      <c r="AR84" s="178"/>
      <c r="AS84" s="178">
        <f t="shared" si="28"/>
        <v>7770062</v>
      </c>
      <c r="AT84" s="469" t="str">
        <f t="shared" si="29"/>
        <v>71</v>
      </c>
      <c r="AU84" s="195"/>
      <c r="AV84" s="187" t="s">
        <v>702</v>
      </c>
    </row>
    <row r="85" spans="1:58" s="191" customFormat="1" ht="36" customHeight="1" x14ac:dyDescent="0.25">
      <c r="A85" s="168" t="s">
        <v>376</v>
      </c>
      <c r="B85" s="168" t="str">
        <f>VLOOKUP(D85,[1]LuongBC_T01!$B$9:$C$292,2,FALSE)</f>
        <v>0016100006759003</v>
      </c>
      <c r="C85" s="361" t="s">
        <v>1085</v>
      </c>
      <c r="D85" s="169" t="s">
        <v>1196</v>
      </c>
      <c r="E85" s="263" t="s">
        <v>1374</v>
      </c>
      <c r="F85" s="169" t="s">
        <v>551</v>
      </c>
      <c r="G85" s="170"/>
      <c r="H85" s="170"/>
      <c r="I85" s="170" t="s">
        <v>283</v>
      </c>
      <c r="J85" s="169" t="s">
        <v>240</v>
      </c>
      <c r="K85" s="170" t="str">
        <f>VLOOKUP(D85,[2]T3!$B$2:$D$328,3,FALSE)</f>
        <v>021722359</v>
      </c>
      <c r="L85" s="171" t="s">
        <v>113</v>
      </c>
      <c r="M85" s="171" t="s">
        <v>1085</v>
      </c>
      <c r="N85" s="666" t="s">
        <v>1438</v>
      </c>
      <c r="O85" s="172" t="s">
        <v>697</v>
      </c>
      <c r="P85" s="173">
        <v>10</v>
      </c>
      <c r="Q85" s="174">
        <v>4.9800000000000004</v>
      </c>
      <c r="R85" s="176">
        <f t="shared" si="30"/>
        <v>1.734</v>
      </c>
      <c r="S85" s="370">
        <v>7</v>
      </c>
      <c r="T85" s="176">
        <f t="shared" si="31"/>
        <v>0.34860000000000002</v>
      </c>
      <c r="U85" s="175">
        <f t="shared" si="20"/>
        <v>519414</v>
      </c>
      <c r="V85" s="170"/>
      <c r="W85" s="179">
        <f>VLOOKUP(D85,[3]BC!$D$14:$X$294,20,FALSE)</f>
        <v>0.26</v>
      </c>
      <c r="X85" s="216">
        <f t="shared" si="32"/>
        <v>1.3854</v>
      </c>
      <c r="Y85" s="216">
        <f t="shared" si="21"/>
        <v>6.7140000000000004</v>
      </c>
      <c r="Z85" s="180">
        <f t="shared" si="33"/>
        <v>10003860</v>
      </c>
      <c r="AA85" s="180"/>
      <c r="AB85" s="180">
        <f t="shared" si="22"/>
        <v>0</v>
      </c>
      <c r="AC85" s="180">
        <f t="shared" si="19"/>
        <v>0</v>
      </c>
      <c r="AD85" s="180">
        <f t="shared" si="23"/>
        <v>10003860</v>
      </c>
      <c r="AE85" s="178">
        <f t="shared" si="24"/>
        <v>800308.8</v>
      </c>
      <c r="AF85" s="178">
        <f t="shared" si="25"/>
        <v>150057.9</v>
      </c>
      <c r="AG85" s="178">
        <f t="shared" si="26"/>
        <v>100038.6</v>
      </c>
      <c r="AH85" s="178"/>
      <c r="AI85" s="178">
        <f t="shared" si="34"/>
        <v>1050405.3</v>
      </c>
      <c r="AJ85" s="181"/>
      <c r="AK85" s="182">
        <f t="shared" si="35"/>
        <v>0</v>
      </c>
      <c r="AL85" s="182"/>
      <c r="AM85" s="182"/>
      <c r="AN85" s="183">
        <f>Q85+T85+V85</f>
        <v>5.3286000000000007</v>
      </c>
      <c r="AO85" s="443">
        <v>0.25</v>
      </c>
      <c r="AP85" s="185">
        <f t="shared" si="36"/>
        <v>1.3322000000000001</v>
      </c>
      <c r="AQ85" s="178">
        <f t="shared" si="37"/>
        <v>1984978</v>
      </c>
      <c r="AR85" s="178"/>
      <c r="AS85" s="178">
        <f t="shared" si="28"/>
        <v>10938433</v>
      </c>
      <c r="AT85" s="469" t="str">
        <f t="shared" si="29"/>
        <v>72</v>
      </c>
      <c r="AU85" s="195"/>
      <c r="AV85" s="244" t="s">
        <v>730</v>
      </c>
      <c r="AW85" s="552"/>
      <c r="AX85" s="552"/>
      <c r="AY85" s="552"/>
      <c r="AZ85" s="552"/>
      <c r="BA85" s="552"/>
      <c r="BB85" s="552"/>
      <c r="BC85" s="552"/>
      <c r="BD85" s="552"/>
      <c r="BE85" s="552"/>
      <c r="BF85" s="552"/>
    </row>
    <row r="86" spans="1:58" s="189" customFormat="1" ht="47.25" customHeight="1" x14ac:dyDescent="0.25">
      <c r="A86" s="168" t="s">
        <v>377</v>
      </c>
      <c r="B86" s="168" t="str">
        <f>VLOOKUP(D86,[1]LuongBC_T01!$B$9:$C$292,2,FALSE)</f>
        <v>0016100006717009</v>
      </c>
      <c r="C86" s="718" t="s">
        <v>1086</v>
      </c>
      <c r="D86" s="432" t="s">
        <v>1197</v>
      </c>
      <c r="E86" s="296" t="s">
        <v>1106</v>
      </c>
      <c r="F86" s="432" t="s">
        <v>549</v>
      </c>
      <c r="G86" s="438"/>
      <c r="H86" s="438"/>
      <c r="I86" s="438" t="s">
        <v>283</v>
      </c>
      <c r="J86" s="432" t="s">
        <v>238</v>
      </c>
      <c r="K86" s="438" t="str">
        <f>VLOOKUP(D86,[2]T3!$B$2:$D$328,3,FALSE)</f>
        <v>139062000011</v>
      </c>
      <c r="L86" s="561" t="s">
        <v>112</v>
      </c>
      <c r="M86" s="561" t="s">
        <v>1086</v>
      </c>
      <c r="N86" s="433" t="s">
        <v>43</v>
      </c>
      <c r="O86" s="434" t="s">
        <v>697</v>
      </c>
      <c r="P86" s="719">
        <v>10</v>
      </c>
      <c r="Q86" s="435">
        <v>4.8899999999999997</v>
      </c>
      <c r="R86" s="436">
        <f t="shared" si="30"/>
        <v>0.34229999999999999</v>
      </c>
      <c r="S86" s="437">
        <v>7</v>
      </c>
      <c r="T86" s="176">
        <f t="shared" si="31"/>
        <v>0.34229999999999999</v>
      </c>
      <c r="U86" s="445">
        <f t="shared" si="20"/>
        <v>510026.99999999994</v>
      </c>
      <c r="V86" s="438"/>
      <c r="W86" s="179">
        <f>VLOOKUP(D86,[3]BC!$D$14:$X$294,20,FALSE)</f>
        <v>0</v>
      </c>
      <c r="X86" s="216">
        <f t="shared" si="32"/>
        <v>0</v>
      </c>
      <c r="Y86" s="216">
        <f t="shared" si="21"/>
        <v>5.2323000000000004</v>
      </c>
      <c r="Z86" s="180">
        <f t="shared" si="33"/>
        <v>7796127</v>
      </c>
      <c r="AA86" s="238"/>
      <c r="AB86" s="238">
        <f t="shared" si="22"/>
        <v>0</v>
      </c>
      <c r="AC86" s="238">
        <f t="shared" si="19"/>
        <v>0</v>
      </c>
      <c r="AD86" s="180">
        <f t="shared" si="23"/>
        <v>7796127</v>
      </c>
      <c r="AE86" s="178">
        <f t="shared" si="24"/>
        <v>623690.16</v>
      </c>
      <c r="AF86" s="178">
        <f t="shared" si="25"/>
        <v>116941.905</v>
      </c>
      <c r="AG86" s="178">
        <f t="shared" si="26"/>
        <v>77961.27</v>
      </c>
      <c r="AH86" s="225"/>
      <c r="AI86" s="225">
        <f t="shared" si="34"/>
        <v>818593.33500000008</v>
      </c>
      <c r="AJ86" s="487"/>
      <c r="AK86" s="182">
        <f t="shared" si="35"/>
        <v>0</v>
      </c>
      <c r="AL86" s="488"/>
      <c r="AM86" s="488"/>
      <c r="AN86" s="489">
        <f>Q86+T86+V86</f>
        <v>5.2322999999999995</v>
      </c>
      <c r="AO86" s="439"/>
      <c r="AP86" s="185">
        <f t="shared" si="36"/>
        <v>0</v>
      </c>
      <c r="AQ86" s="225">
        <f t="shared" si="37"/>
        <v>0</v>
      </c>
      <c r="AR86" s="225"/>
      <c r="AS86" s="178">
        <f t="shared" si="28"/>
        <v>6977534</v>
      </c>
      <c r="AT86" s="562" t="str">
        <f t="shared" si="29"/>
        <v>73</v>
      </c>
      <c r="AU86" s="720"/>
      <c r="AV86" s="198" t="s">
        <v>729</v>
      </c>
    </row>
    <row r="87" spans="1:58" s="109" customFormat="1" ht="24" customHeight="1" x14ac:dyDescent="0.25">
      <c r="A87" s="250"/>
      <c r="B87" s="168" t="e">
        <f>VLOOKUP(D87,[1]LuongBC_T01!$B$9:$C$292,2,FALSE)</f>
        <v>#N/A</v>
      </c>
      <c r="C87" s="362"/>
      <c r="D87" s="102" t="s">
        <v>56</v>
      </c>
      <c r="E87" s="264"/>
      <c r="F87" s="102"/>
      <c r="G87" s="103">
        <f>COUNTIF(G13:G86,"x")</f>
        <v>25</v>
      </c>
      <c r="H87" s="103">
        <f>COUNTIF(H15:H86,"GV")</f>
        <v>46</v>
      </c>
      <c r="I87" s="103"/>
      <c r="J87" s="102"/>
      <c r="K87" s="103"/>
      <c r="L87" s="102"/>
      <c r="M87" s="102"/>
      <c r="N87" s="423"/>
      <c r="O87" s="104"/>
      <c r="P87" s="104"/>
      <c r="Q87" s="257">
        <f>SUM(Q14:Q86)</f>
        <v>341.92999999999984</v>
      </c>
      <c r="R87" s="334">
        <f>SUM(R14:R86)</f>
        <v>84.143799999999985</v>
      </c>
      <c r="S87" s="349">
        <f>T87</f>
        <v>9.0572999999999979</v>
      </c>
      <c r="T87" s="258">
        <f>SUM(T14:T86)</f>
        <v>9.0572999999999979</v>
      </c>
      <c r="U87" s="234">
        <f>SUM(U14:U86)</f>
        <v>13495377.000000002</v>
      </c>
      <c r="V87" s="418">
        <f>SUM(V14:V86)</f>
        <v>11.849999999999996</v>
      </c>
      <c r="W87" s="105"/>
      <c r="X87" s="364">
        <f>SUM(X14:X86)</f>
        <v>63.236500000000007</v>
      </c>
      <c r="Y87" s="364">
        <f>SUM(Y14:Y86)</f>
        <v>426.07379999999989</v>
      </c>
      <c r="Z87" s="234">
        <f>SUM(Z14:Z86)</f>
        <v>634849962</v>
      </c>
      <c r="AA87" s="105"/>
      <c r="AB87" s="234">
        <f t="shared" ref="AB87:AK87" si="38">SUM(AB14:AB86)</f>
        <v>1545552.1666666667</v>
      </c>
      <c r="AC87" s="304">
        <f t="shared" si="38"/>
        <v>0</v>
      </c>
      <c r="AD87" s="234">
        <f t="shared" si="38"/>
        <v>633304410</v>
      </c>
      <c r="AE87" s="106">
        <f t="shared" si="38"/>
        <v>50787996.959999993</v>
      </c>
      <c r="AF87" s="106">
        <f t="shared" si="38"/>
        <v>9522749.4300000016</v>
      </c>
      <c r="AG87" s="106">
        <f t="shared" si="38"/>
        <v>6348499.6199999992</v>
      </c>
      <c r="AH87" s="304">
        <f t="shared" si="38"/>
        <v>0</v>
      </c>
      <c r="AI87" s="234">
        <f t="shared" si="38"/>
        <v>66659246.01000002</v>
      </c>
      <c r="AJ87" s="419">
        <f t="shared" si="38"/>
        <v>2</v>
      </c>
      <c r="AK87" s="106">
        <f t="shared" si="38"/>
        <v>2980000</v>
      </c>
      <c r="AL87" s="106"/>
      <c r="AM87" s="106"/>
      <c r="AN87" s="495">
        <f>SUM(AN15:AN86)</f>
        <v>350.58289999999988</v>
      </c>
      <c r="AO87" s="639"/>
      <c r="AP87" s="107">
        <f>SUM(AP14:AP86)</f>
        <v>80.27979999999998</v>
      </c>
      <c r="AQ87" s="541">
        <f>SUM(AQ14:AQ86)</f>
        <v>119616902</v>
      </c>
      <c r="AR87" s="106">
        <f>SUM(AR15:AR86)</f>
        <v>0</v>
      </c>
      <c r="AS87" s="106">
        <f>SUM(AS14:AS86)-2</f>
        <v>689242066</v>
      </c>
      <c r="AT87" s="517"/>
      <c r="AU87" s="518"/>
      <c r="AV87" s="108"/>
      <c r="AW87" s="552"/>
      <c r="AX87" s="552"/>
      <c r="AY87" s="552"/>
      <c r="AZ87" s="552"/>
      <c r="BA87" s="552"/>
      <c r="BB87" s="552"/>
      <c r="BC87" s="552"/>
      <c r="BD87" s="552"/>
      <c r="BE87" s="552"/>
      <c r="BF87" s="552"/>
    </row>
    <row r="88" spans="1:58" s="99" customFormat="1" ht="18.75" customHeight="1" x14ac:dyDescent="0.25">
      <c r="A88" s="250"/>
      <c r="B88" s="168" t="e">
        <f>VLOOKUP(D88,[1]LuongBC_T01!$B$9:$C$292,2,FALSE)</f>
        <v>#N/A</v>
      </c>
      <c r="C88" s="363"/>
      <c r="D88" s="1020" t="s">
        <v>23</v>
      </c>
      <c r="E88" s="1021"/>
      <c r="F88" s="1021"/>
      <c r="G88" s="1021"/>
      <c r="H88" s="1021"/>
      <c r="I88" s="1021"/>
      <c r="J88" s="1021"/>
      <c r="K88" s="1021"/>
      <c r="L88" s="1021"/>
      <c r="M88" s="1021"/>
      <c r="N88" s="1021"/>
      <c r="O88" s="1021"/>
      <c r="P88" s="1022"/>
      <c r="Q88" s="124"/>
      <c r="R88" s="335"/>
      <c r="S88" s="350"/>
      <c r="T88" s="102"/>
      <c r="U88" s="136"/>
      <c r="V88" s="126"/>
      <c r="W88" s="135"/>
      <c r="X88" s="135"/>
      <c r="Y88" s="135"/>
      <c r="Z88" s="134"/>
      <c r="AA88" s="134"/>
      <c r="AB88" s="134"/>
      <c r="AC88" s="134"/>
      <c r="AD88" s="134"/>
      <c r="AE88" s="131"/>
      <c r="AF88" s="131"/>
      <c r="AG88" s="131"/>
      <c r="AH88" s="131"/>
      <c r="AI88" s="131"/>
      <c r="AJ88" s="137"/>
      <c r="AK88" s="131"/>
      <c r="AL88" s="131"/>
      <c r="AM88" s="131"/>
      <c r="AN88" s="496"/>
      <c r="AO88" s="135"/>
      <c r="AP88" s="133"/>
      <c r="AQ88" s="131"/>
      <c r="AR88" s="131"/>
      <c r="AS88" s="131"/>
      <c r="AT88" s="507"/>
      <c r="AU88" s="508"/>
      <c r="AV88" s="117"/>
      <c r="AW88" s="29"/>
      <c r="AX88" s="29"/>
      <c r="AY88" s="29"/>
      <c r="AZ88" s="29"/>
      <c r="BA88" s="29"/>
      <c r="BB88" s="29"/>
      <c r="BC88" s="29"/>
      <c r="BD88" s="29"/>
      <c r="BE88" s="29"/>
      <c r="BF88" s="29"/>
    </row>
    <row r="89" spans="1:58" s="189" customFormat="1" ht="37.5" customHeight="1" x14ac:dyDescent="0.25">
      <c r="A89" s="168" t="s">
        <v>378</v>
      </c>
      <c r="B89" s="168" t="s">
        <v>1429</v>
      </c>
      <c r="C89" s="565" t="s">
        <v>1414</v>
      </c>
      <c r="D89" s="544" t="s">
        <v>1404</v>
      </c>
      <c r="E89" s="563" t="s">
        <v>1405</v>
      </c>
      <c r="F89" s="564"/>
      <c r="G89" s="564"/>
      <c r="H89" s="564"/>
      <c r="I89" s="564"/>
      <c r="J89" s="564"/>
      <c r="K89" s="565"/>
      <c r="L89" s="564"/>
      <c r="M89" s="545"/>
      <c r="N89" s="263" t="s">
        <v>807</v>
      </c>
      <c r="O89" s="566"/>
      <c r="P89" s="566"/>
      <c r="Q89" s="545">
        <v>2.2690000000000001</v>
      </c>
      <c r="R89" s="546"/>
      <c r="S89" s="564"/>
      <c r="T89" s="546">
        <f t="shared" ref="T89:T99" si="39">ROUND(Q89*S89/100,4)</f>
        <v>0</v>
      </c>
      <c r="U89" s="547"/>
      <c r="V89" s="545"/>
      <c r="W89" s="179">
        <f>VLOOKUP(D89,[3]BC!$D$14:$X$294,20,FALSE)</f>
        <v>0</v>
      </c>
      <c r="X89" s="548">
        <f t="shared" ref="X89:X99" si="40">ROUND((Q89+T89+V89)*W89,4)</f>
        <v>0</v>
      </c>
      <c r="Y89" s="548">
        <f t="shared" ref="Y89:Y99" si="41">Q89+T89+V89+X89</f>
        <v>2.2690000000000001</v>
      </c>
      <c r="Z89" s="549">
        <f t="shared" ref="Z89:Z99" si="42">ROUND(Y89*$D$8,0)</f>
        <v>3380810</v>
      </c>
      <c r="AA89" s="549"/>
      <c r="AB89" s="549">
        <f t="shared" ref="AB89:AB99" si="43">Z89/24*AA89</f>
        <v>0</v>
      </c>
      <c r="AC89" s="549">
        <f t="shared" ref="AC89:AC99" si="44">Z89/24*AA89*75%</f>
        <v>0</v>
      </c>
      <c r="AD89" s="549">
        <f t="shared" ref="AD89:AD99" si="45">ROUND(Z89-AB89+AC89,0)</f>
        <v>3380810</v>
      </c>
      <c r="AE89" s="550">
        <f t="shared" ref="AE89:AE99" si="46">Z89*8%</f>
        <v>270464.8</v>
      </c>
      <c r="AF89" s="550">
        <f t="shared" ref="AF89:AF99" si="47">Z89*1.5%</f>
        <v>50712.15</v>
      </c>
      <c r="AG89" s="550">
        <f t="shared" ref="AG89:AG99" si="48">Z89*1%</f>
        <v>33808.1</v>
      </c>
      <c r="AH89" s="550"/>
      <c r="AI89" s="550">
        <f t="shared" ref="AI89:AI99" si="49">SUM(AE89:AH89)</f>
        <v>354985.05</v>
      </c>
      <c r="AJ89" s="567"/>
      <c r="AK89" s="568"/>
      <c r="AL89" s="568"/>
      <c r="AM89" s="568"/>
      <c r="AN89" s="569">
        <f t="shared" ref="AN89:AN99" si="50">Q89+T89+V89</f>
        <v>2.2690000000000001</v>
      </c>
      <c r="AO89" s="640">
        <v>0.25</v>
      </c>
      <c r="AP89" s="185">
        <f t="shared" ref="AP89:AP99" si="51">ROUND(AN89*AO89,4)</f>
        <v>0.56730000000000003</v>
      </c>
      <c r="AQ89" s="178">
        <f t="shared" ref="AQ89:AQ99" si="52">ROUND(AP89*$D$8,0)</f>
        <v>845277</v>
      </c>
      <c r="AR89" s="550"/>
      <c r="AS89" s="178">
        <f t="shared" ref="AS89:AS99" si="53">ROUND(AD89-AI89+AK89+AM89+AQ89,0)</f>
        <v>3871102</v>
      </c>
      <c r="AT89" s="562"/>
      <c r="AU89" s="195"/>
      <c r="AV89" s="485"/>
      <c r="AW89" s="29"/>
      <c r="AX89" s="29"/>
      <c r="AY89" s="29"/>
      <c r="AZ89" s="29"/>
      <c r="BA89" s="29"/>
      <c r="BB89" s="29"/>
      <c r="BC89" s="29"/>
      <c r="BD89" s="29"/>
      <c r="BE89" s="29"/>
      <c r="BF89" s="29"/>
    </row>
    <row r="90" spans="1:58" s="189" customFormat="1" ht="37.5" customHeight="1" x14ac:dyDescent="0.25">
      <c r="A90" s="168" t="s">
        <v>379</v>
      </c>
      <c r="B90" s="168" t="str">
        <f>VLOOKUP(D90,[1]LuongBC_T01!$B$9:$C$292,2,FALSE)</f>
        <v>0016100006518006</v>
      </c>
      <c r="C90" s="545">
        <v>11100115713</v>
      </c>
      <c r="D90" s="544" t="s">
        <v>655</v>
      </c>
      <c r="E90" s="563" t="s">
        <v>1409</v>
      </c>
      <c r="F90" s="564"/>
      <c r="G90" s="564"/>
      <c r="H90" s="564"/>
      <c r="I90" s="564"/>
      <c r="J90" s="564"/>
      <c r="K90" s="565"/>
      <c r="L90" s="564"/>
      <c r="M90" s="545"/>
      <c r="N90" s="263" t="s">
        <v>807</v>
      </c>
      <c r="O90" s="566"/>
      <c r="P90" s="566"/>
      <c r="Q90" s="545">
        <v>2.2690000000000001</v>
      </c>
      <c r="R90" s="546"/>
      <c r="S90" s="564"/>
      <c r="T90" s="546">
        <f t="shared" si="39"/>
        <v>0</v>
      </c>
      <c r="U90" s="547"/>
      <c r="V90" s="545"/>
      <c r="W90" s="179">
        <f>VLOOKUP(D90,[3]BC!$D$14:$X$294,20,FALSE)</f>
        <v>0</v>
      </c>
      <c r="X90" s="548">
        <f t="shared" si="40"/>
        <v>0</v>
      </c>
      <c r="Y90" s="548">
        <f t="shared" si="41"/>
        <v>2.2690000000000001</v>
      </c>
      <c r="Z90" s="549">
        <f t="shared" si="42"/>
        <v>3380810</v>
      </c>
      <c r="AA90" s="549"/>
      <c r="AB90" s="549">
        <f t="shared" si="43"/>
        <v>0</v>
      </c>
      <c r="AC90" s="549">
        <f t="shared" si="44"/>
        <v>0</v>
      </c>
      <c r="AD90" s="549">
        <f t="shared" si="45"/>
        <v>3380810</v>
      </c>
      <c r="AE90" s="550">
        <f t="shared" si="46"/>
        <v>270464.8</v>
      </c>
      <c r="AF90" s="550">
        <f t="shared" si="47"/>
        <v>50712.15</v>
      </c>
      <c r="AG90" s="550">
        <f t="shared" si="48"/>
        <v>33808.1</v>
      </c>
      <c r="AH90" s="550"/>
      <c r="AI90" s="550">
        <f t="shared" si="49"/>
        <v>354985.05</v>
      </c>
      <c r="AJ90" s="567"/>
      <c r="AK90" s="568"/>
      <c r="AL90" s="568"/>
      <c r="AM90" s="568"/>
      <c r="AN90" s="569">
        <f t="shared" si="50"/>
        <v>2.2690000000000001</v>
      </c>
      <c r="AO90" s="640">
        <v>0.25</v>
      </c>
      <c r="AP90" s="185">
        <f t="shared" si="51"/>
        <v>0.56730000000000003</v>
      </c>
      <c r="AQ90" s="178">
        <f t="shared" si="52"/>
        <v>845277</v>
      </c>
      <c r="AR90" s="550"/>
      <c r="AS90" s="178">
        <f t="shared" si="53"/>
        <v>3871102</v>
      </c>
      <c r="AT90" s="562"/>
      <c r="AU90" s="195"/>
      <c r="AV90" s="485"/>
      <c r="AW90" s="29"/>
      <c r="AX90" s="29"/>
      <c r="AY90" s="29"/>
      <c r="AZ90" s="29"/>
      <c r="BA90" s="29"/>
      <c r="BB90" s="29"/>
      <c r="BC90" s="29"/>
      <c r="BD90" s="29"/>
      <c r="BE90" s="29"/>
      <c r="BF90" s="29"/>
    </row>
    <row r="91" spans="1:58" s="189" customFormat="1" ht="37.5" customHeight="1" x14ac:dyDescent="0.25">
      <c r="A91" s="168" t="s">
        <v>380</v>
      </c>
      <c r="B91" s="168" t="str">
        <f>VLOOKUP(D91,[1]LuongBC_T01!$B$9:$C$292,2,FALSE)</f>
        <v>0016100006516003</v>
      </c>
      <c r="C91" s="565" t="s">
        <v>1412</v>
      </c>
      <c r="D91" s="544" t="s">
        <v>1410</v>
      </c>
      <c r="E91" s="563" t="s">
        <v>1136</v>
      </c>
      <c r="F91" s="564"/>
      <c r="G91" s="564"/>
      <c r="H91" s="564"/>
      <c r="I91" s="564"/>
      <c r="J91" s="564"/>
      <c r="K91" s="565"/>
      <c r="L91" s="564"/>
      <c r="M91" s="545"/>
      <c r="N91" s="263" t="s">
        <v>807</v>
      </c>
      <c r="O91" s="566"/>
      <c r="P91" s="566"/>
      <c r="Q91" s="545">
        <v>2.2690000000000001</v>
      </c>
      <c r="R91" s="546"/>
      <c r="S91" s="564"/>
      <c r="T91" s="546">
        <f t="shared" si="39"/>
        <v>0</v>
      </c>
      <c r="U91" s="547"/>
      <c r="V91" s="545"/>
      <c r="W91" s="179">
        <f>VLOOKUP(D91,[3]BC!$D$14:$X$294,20,FALSE)</f>
        <v>0</v>
      </c>
      <c r="X91" s="548">
        <f t="shared" si="40"/>
        <v>0</v>
      </c>
      <c r="Y91" s="548">
        <f t="shared" si="41"/>
        <v>2.2690000000000001</v>
      </c>
      <c r="Z91" s="549">
        <f t="shared" si="42"/>
        <v>3380810</v>
      </c>
      <c r="AA91" s="549"/>
      <c r="AB91" s="549">
        <f t="shared" si="43"/>
        <v>0</v>
      </c>
      <c r="AC91" s="549">
        <f t="shared" si="44"/>
        <v>0</v>
      </c>
      <c r="AD91" s="549">
        <f t="shared" si="45"/>
        <v>3380810</v>
      </c>
      <c r="AE91" s="550">
        <f t="shared" si="46"/>
        <v>270464.8</v>
      </c>
      <c r="AF91" s="550">
        <f t="shared" si="47"/>
        <v>50712.15</v>
      </c>
      <c r="AG91" s="550">
        <f t="shared" si="48"/>
        <v>33808.1</v>
      </c>
      <c r="AH91" s="550"/>
      <c r="AI91" s="550">
        <f t="shared" si="49"/>
        <v>354985.05</v>
      </c>
      <c r="AJ91" s="567"/>
      <c r="AK91" s="568"/>
      <c r="AL91" s="568"/>
      <c r="AM91" s="568"/>
      <c r="AN91" s="569">
        <f t="shared" si="50"/>
        <v>2.2690000000000001</v>
      </c>
      <c r="AO91" s="640">
        <v>0.25</v>
      </c>
      <c r="AP91" s="185">
        <f t="shared" si="51"/>
        <v>0.56730000000000003</v>
      </c>
      <c r="AQ91" s="178">
        <f t="shared" si="52"/>
        <v>845277</v>
      </c>
      <c r="AR91" s="550"/>
      <c r="AS91" s="178">
        <f t="shared" si="53"/>
        <v>3871102</v>
      </c>
      <c r="AT91" s="562"/>
      <c r="AU91" s="195"/>
      <c r="AV91" s="485"/>
      <c r="AW91" s="29"/>
      <c r="AX91" s="29"/>
      <c r="AY91" s="29"/>
      <c r="AZ91" s="29"/>
      <c r="BA91" s="29"/>
      <c r="BB91" s="29"/>
      <c r="BC91" s="29"/>
      <c r="BD91" s="29"/>
      <c r="BE91" s="29"/>
      <c r="BF91" s="29"/>
    </row>
    <row r="92" spans="1:58" s="189" customFormat="1" ht="37.5" customHeight="1" x14ac:dyDescent="0.25">
      <c r="A92" s="168" t="s">
        <v>381</v>
      </c>
      <c r="B92" s="168" t="str">
        <f>VLOOKUP(D92,[1]LuongBC_T01!$B$9:$C$292,2,FALSE)</f>
        <v>0016100006511001</v>
      </c>
      <c r="C92" s="168" t="s">
        <v>1413</v>
      </c>
      <c r="D92" s="169" t="s">
        <v>1411</v>
      </c>
      <c r="E92" s="263" t="s">
        <v>1106</v>
      </c>
      <c r="F92" s="220"/>
      <c r="G92" s="220"/>
      <c r="H92" s="220"/>
      <c r="I92" s="220"/>
      <c r="J92" s="220"/>
      <c r="K92" s="168"/>
      <c r="L92" s="220"/>
      <c r="M92" s="170"/>
      <c r="N92" s="263" t="s">
        <v>1116</v>
      </c>
      <c r="O92" s="251"/>
      <c r="P92" s="251"/>
      <c r="Q92" s="170">
        <v>1.9890000000000001</v>
      </c>
      <c r="R92" s="176"/>
      <c r="S92" s="220"/>
      <c r="T92" s="176">
        <f t="shared" si="39"/>
        <v>0</v>
      </c>
      <c r="U92" s="175"/>
      <c r="V92" s="170"/>
      <c r="W92" s="179">
        <f>VLOOKUP(D92,[3]BC!$D$14:$X$294,20,FALSE)</f>
        <v>0</v>
      </c>
      <c r="X92" s="216">
        <f t="shared" si="40"/>
        <v>0</v>
      </c>
      <c r="Y92" s="216">
        <f t="shared" si="41"/>
        <v>1.9890000000000001</v>
      </c>
      <c r="Z92" s="180">
        <f t="shared" si="42"/>
        <v>2963610</v>
      </c>
      <c r="AA92" s="180"/>
      <c r="AB92" s="180">
        <f t="shared" si="43"/>
        <v>0</v>
      </c>
      <c r="AC92" s="180">
        <f t="shared" si="44"/>
        <v>0</v>
      </c>
      <c r="AD92" s="180">
        <f t="shared" si="45"/>
        <v>2963610</v>
      </c>
      <c r="AE92" s="178">
        <f t="shared" si="46"/>
        <v>237088.80000000002</v>
      </c>
      <c r="AF92" s="178">
        <f t="shared" si="47"/>
        <v>44454.15</v>
      </c>
      <c r="AG92" s="178">
        <f t="shared" si="48"/>
        <v>29636.100000000002</v>
      </c>
      <c r="AH92" s="178"/>
      <c r="AI92" s="178">
        <f t="shared" si="49"/>
        <v>311179.05</v>
      </c>
      <c r="AJ92" s="192"/>
      <c r="AK92" s="182"/>
      <c r="AL92" s="182"/>
      <c r="AM92" s="182"/>
      <c r="AN92" s="183">
        <f t="shared" si="50"/>
        <v>1.9890000000000001</v>
      </c>
      <c r="AO92" s="640"/>
      <c r="AP92" s="185">
        <f t="shared" si="51"/>
        <v>0</v>
      </c>
      <c r="AQ92" s="178">
        <f t="shared" si="52"/>
        <v>0</v>
      </c>
      <c r="AR92" s="178"/>
      <c r="AS92" s="178">
        <f t="shared" si="53"/>
        <v>2652431</v>
      </c>
      <c r="AT92" s="469"/>
      <c r="AU92" s="195"/>
      <c r="AV92" s="485"/>
      <c r="AW92" s="29"/>
      <c r="AX92" s="29"/>
      <c r="AY92" s="29"/>
      <c r="AZ92" s="29"/>
      <c r="BA92" s="29"/>
      <c r="BB92" s="29"/>
      <c r="BC92" s="29"/>
      <c r="BD92" s="29"/>
      <c r="BE92" s="29"/>
      <c r="BF92" s="29"/>
    </row>
    <row r="93" spans="1:58" s="189" customFormat="1" ht="37.5" customHeight="1" x14ac:dyDescent="0.25">
      <c r="A93" s="168" t="s">
        <v>1422</v>
      </c>
      <c r="B93" s="168"/>
      <c r="C93" s="660"/>
      <c r="D93" s="169" t="s">
        <v>1439</v>
      </c>
      <c r="E93" s="263" t="s">
        <v>1094</v>
      </c>
      <c r="F93" s="220"/>
      <c r="G93" s="220"/>
      <c r="H93" s="220"/>
      <c r="I93" s="220"/>
      <c r="J93" s="220"/>
      <c r="K93" s="168"/>
      <c r="L93" s="490" t="s">
        <v>1448</v>
      </c>
      <c r="M93" s="170"/>
      <c r="N93" s="662" t="s">
        <v>1438</v>
      </c>
      <c r="O93" s="251"/>
      <c r="P93" s="251"/>
      <c r="Q93" s="170">
        <v>1.9890000000000001</v>
      </c>
      <c r="R93" s="176"/>
      <c r="S93" s="220"/>
      <c r="T93" s="176">
        <f t="shared" si="39"/>
        <v>0</v>
      </c>
      <c r="U93" s="175"/>
      <c r="V93" s="170"/>
      <c r="W93" s="179">
        <f>VLOOKUP(D93,[3]BC!$D$14:$X$294,20,FALSE)</f>
        <v>0</v>
      </c>
      <c r="X93" s="216">
        <f t="shared" si="40"/>
        <v>0</v>
      </c>
      <c r="Y93" s="216">
        <f t="shared" si="41"/>
        <v>1.9890000000000001</v>
      </c>
      <c r="Z93" s="180">
        <f t="shared" si="42"/>
        <v>2963610</v>
      </c>
      <c r="AA93" s="180"/>
      <c r="AB93" s="180">
        <f t="shared" si="43"/>
        <v>0</v>
      </c>
      <c r="AC93" s="180">
        <f t="shared" si="44"/>
        <v>0</v>
      </c>
      <c r="AD93" s="180">
        <f t="shared" si="45"/>
        <v>2963610</v>
      </c>
      <c r="AE93" s="178">
        <f t="shared" si="46"/>
        <v>237088.80000000002</v>
      </c>
      <c r="AF93" s="178">
        <f t="shared" si="47"/>
        <v>44454.15</v>
      </c>
      <c r="AG93" s="178">
        <f t="shared" si="48"/>
        <v>29636.100000000002</v>
      </c>
      <c r="AH93" s="178"/>
      <c r="AI93" s="178">
        <f t="shared" si="49"/>
        <v>311179.05</v>
      </c>
      <c r="AJ93" s="192"/>
      <c r="AK93" s="182"/>
      <c r="AL93" s="182"/>
      <c r="AM93" s="182"/>
      <c r="AN93" s="183">
        <f t="shared" si="50"/>
        <v>1.9890000000000001</v>
      </c>
      <c r="AO93" s="640">
        <v>0.25</v>
      </c>
      <c r="AP93" s="185">
        <f t="shared" si="51"/>
        <v>0.49730000000000002</v>
      </c>
      <c r="AQ93" s="178">
        <f t="shared" si="52"/>
        <v>740977</v>
      </c>
      <c r="AR93" s="178"/>
      <c r="AS93" s="178">
        <f t="shared" si="53"/>
        <v>3393408</v>
      </c>
      <c r="AT93" s="469"/>
      <c r="AU93" s="195"/>
      <c r="AV93" s="659"/>
      <c r="AW93" s="29"/>
      <c r="AX93" s="29"/>
      <c r="AY93" s="29"/>
      <c r="AZ93" s="29"/>
      <c r="BA93" s="29"/>
      <c r="BB93" s="29"/>
      <c r="BC93" s="29"/>
      <c r="BD93" s="29"/>
      <c r="BE93" s="29"/>
      <c r="BF93" s="29"/>
    </row>
    <row r="94" spans="1:58" s="189" customFormat="1" ht="37.5" customHeight="1" x14ac:dyDescent="0.25">
      <c r="A94" s="168" t="s">
        <v>1423</v>
      </c>
      <c r="B94" s="168"/>
      <c r="C94" s="660"/>
      <c r="D94" s="169" t="s">
        <v>1440</v>
      </c>
      <c r="E94" s="263" t="s">
        <v>1441</v>
      </c>
      <c r="F94" s="220"/>
      <c r="G94" s="220"/>
      <c r="H94" s="220"/>
      <c r="I94" s="220"/>
      <c r="J94" s="220"/>
      <c r="K94" s="168"/>
      <c r="L94" s="490" t="s">
        <v>1444</v>
      </c>
      <c r="M94" s="170"/>
      <c r="N94" s="662" t="s">
        <v>1438</v>
      </c>
      <c r="O94" s="251"/>
      <c r="P94" s="251"/>
      <c r="Q94" s="170">
        <v>2.2690000000000001</v>
      </c>
      <c r="R94" s="176"/>
      <c r="S94" s="220"/>
      <c r="T94" s="176">
        <f t="shared" si="39"/>
        <v>0</v>
      </c>
      <c r="U94" s="175"/>
      <c r="V94" s="170"/>
      <c r="W94" s="179">
        <f>VLOOKUP(D94,[3]BC!$D$14:$X$294,20,FALSE)</f>
        <v>0</v>
      </c>
      <c r="X94" s="216">
        <f t="shared" si="40"/>
        <v>0</v>
      </c>
      <c r="Y94" s="216">
        <f t="shared" si="41"/>
        <v>2.2690000000000001</v>
      </c>
      <c r="Z94" s="180">
        <f t="shared" si="42"/>
        <v>3380810</v>
      </c>
      <c r="AA94" s="180"/>
      <c r="AB94" s="180">
        <f t="shared" si="43"/>
        <v>0</v>
      </c>
      <c r="AC94" s="180">
        <f t="shared" si="44"/>
        <v>0</v>
      </c>
      <c r="AD94" s="180">
        <f t="shared" si="45"/>
        <v>3380810</v>
      </c>
      <c r="AE94" s="178">
        <f t="shared" si="46"/>
        <v>270464.8</v>
      </c>
      <c r="AF94" s="178">
        <f t="shared" si="47"/>
        <v>50712.15</v>
      </c>
      <c r="AG94" s="178">
        <f t="shared" si="48"/>
        <v>33808.1</v>
      </c>
      <c r="AH94" s="178"/>
      <c r="AI94" s="178">
        <f t="shared" si="49"/>
        <v>354985.05</v>
      </c>
      <c r="AJ94" s="192"/>
      <c r="AK94" s="182"/>
      <c r="AL94" s="182"/>
      <c r="AM94" s="182"/>
      <c r="AN94" s="183">
        <f t="shared" si="50"/>
        <v>2.2690000000000001</v>
      </c>
      <c r="AO94" s="640">
        <v>0.25</v>
      </c>
      <c r="AP94" s="185">
        <f t="shared" si="51"/>
        <v>0.56730000000000003</v>
      </c>
      <c r="AQ94" s="178">
        <f t="shared" si="52"/>
        <v>845277</v>
      </c>
      <c r="AR94" s="178"/>
      <c r="AS94" s="178">
        <f t="shared" si="53"/>
        <v>3871102</v>
      </c>
      <c r="AT94" s="469"/>
      <c r="AU94" s="195"/>
      <c r="AV94" s="659"/>
      <c r="AW94" s="29"/>
      <c r="AX94" s="29"/>
      <c r="AY94" s="29"/>
      <c r="AZ94" s="29"/>
      <c r="BA94" s="29"/>
      <c r="BB94" s="29"/>
      <c r="BC94" s="29"/>
      <c r="BD94" s="29"/>
      <c r="BE94" s="29"/>
      <c r="BF94" s="29"/>
    </row>
    <row r="95" spans="1:58" s="189" customFormat="1" ht="37.5" customHeight="1" x14ac:dyDescent="0.25">
      <c r="A95" s="168" t="s">
        <v>382</v>
      </c>
      <c r="B95" s="168"/>
      <c r="C95" s="660"/>
      <c r="D95" s="169" t="s">
        <v>1442</v>
      </c>
      <c r="E95" s="263" t="s">
        <v>1377</v>
      </c>
      <c r="F95" s="220"/>
      <c r="G95" s="220"/>
      <c r="H95" s="220"/>
      <c r="I95" s="220"/>
      <c r="J95" s="220"/>
      <c r="K95" s="168"/>
      <c r="L95" s="490" t="s">
        <v>1446</v>
      </c>
      <c r="M95" s="170"/>
      <c r="N95" s="662" t="s">
        <v>1438</v>
      </c>
      <c r="O95" s="251"/>
      <c r="P95" s="251"/>
      <c r="Q95" s="170">
        <v>1.9890000000000001</v>
      </c>
      <c r="R95" s="176"/>
      <c r="S95" s="220"/>
      <c r="T95" s="176">
        <f t="shared" si="39"/>
        <v>0</v>
      </c>
      <c r="U95" s="175"/>
      <c r="V95" s="170"/>
      <c r="W95" s="179">
        <f>VLOOKUP(D95,[3]BC!$D$14:$X$294,20,FALSE)</f>
        <v>0</v>
      </c>
      <c r="X95" s="216">
        <f t="shared" si="40"/>
        <v>0</v>
      </c>
      <c r="Y95" s="216">
        <f t="shared" si="41"/>
        <v>1.9890000000000001</v>
      </c>
      <c r="Z95" s="180">
        <f t="shared" si="42"/>
        <v>2963610</v>
      </c>
      <c r="AA95" s="180"/>
      <c r="AB95" s="180">
        <f t="shared" si="43"/>
        <v>0</v>
      </c>
      <c r="AC95" s="180">
        <f t="shared" si="44"/>
        <v>0</v>
      </c>
      <c r="AD95" s="180">
        <f t="shared" si="45"/>
        <v>2963610</v>
      </c>
      <c r="AE95" s="178">
        <f t="shared" si="46"/>
        <v>237088.80000000002</v>
      </c>
      <c r="AF95" s="178">
        <f t="shared" si="47"/>
        <v>44454.15</v>
      </c>
      <c r="AG95" s="178">
        <f t="shared" si="48"/>
        <v>29636.100000000002</v>
      </c>
      <c r="AH95" s="178"/>
      <c r="AI95" s="178">
        <f t="shared" si="49"/>
        <v>311179.05</v>
      </c>
      <c r="AJ95" s="192"/>
      <c r="AK95" s="182"/>
      <c r="AL95" s="182"/>
      <c r="AM95" s="182"/>
      <c r="AN95" s="183">
        <f t="shared" si="50"/>
        <v>1.9890000000000001</v>
      </c>
      <c r="AO95" s="640">
        <v>0.25</v>
      </c>
      <c r="AP95" s="185">
        <f t="shared" si="51"/>
        <v>0.49730000000000002</v>
      </c>
      <c r="AQ95" s="178">
        <f t="shared" si="52"/>
        <v>740977</v>
      </c>
      <c r="AR95" s="178"/>
      <c r="AS95" s="178">
        <f t="shared" si="53"/>
        <v>3393408</v>
      </c>
      <c r="AT95" s="469"/>
      <c r="AU95" s="195"/>
      <c r="AV95" s="659"/>
      <c r="AW95" s="29"/>
      <c r="AX95" s="29"/>
      <c r="AY95" s="29"/>
      <c r="AZ95" s="29"/>
      <c r="BA95" s="29"/>
      <c r="BB95" s="29"/>
      <c r="BC95" s="29"/>
      <c r="BD95" s="29"/>
      <c r="BE95" s="29"/>
      <c r="BF95" s="29"/>
    </row>
    <row r="96" spans="1:58" s="189" customFormat="1" ht="37.5" customHeight="1" x14ac:dyDescent="0.25">
      <c r="A96" s="168" t="s">
        <v>1419</v>
      </c>
      <c r="B96" s="168"/>
      <c r="C96" s="721"/>
      <c r="D96" s="544" t="s">
        <v>1456</v>
      </c>
      <c r="E96" s="563" t="s">
        <v>1441</v>
      </c>
      <c r="F96" s="564"/>
      <c r="G96" s="564"/>
      <c r="H96" s="564"/>
      <c r="I96" s="564"/>
      <c r="J96" s="564"/>
      <c r="K96" s="565"/>
      <c r="L96" s="722"/>
      <c r="M96" s="545"/>
      <c r="N96" s="662" t="s">
        <v>1438</v>
      </c>
      <c r="O96" s="566"/>
      <c r="P96" s="566"/>
      <c r="Q96" s="545">
        <v>2.2690000000000001</v>
      </c>
      <c r="R96" s="546"/>
      <c r="S96" s="564"/>
      <c r="T96" s="546">
        <f t="shared" si="39"/>
        <v>0</v>
      </c>
      <c r="U96" s="547"/>
      <c r="V96" s="545"/>
      <c r="W96" s="179"/>
      <c r="X96" s="216">
        <f t="shared" si="40"/>
        <v>0</v>
      </c>
      <c r="Y96" s="216">
        <f t="shared" si="41"/>
        <v>2.2690000000000001</v>
      </c>
      <c r="Z96" s="180">
        <f t="shared" si="42"/>
        <v>3380810</v>
      </c>
      <c r="AA96" s="549"/>
      <c r="AB96" s="180">
        <f t="shared" si="43"/>
        <v>0</v>
      </c>
      <c r="AC96" s="180">
        <f t="shared" si="44"/>
        <v>0</v>
      </c>
      <c r="AD96" s="180">
        <f t="shared" si="45"/>
        <v>3380810</v>
      </c>
      <c r="AE96" s="178">
        <f t="shared" si="46"/>
        <v>270464.8</v>
      </c>
      <c r="AF96" s="178">
        <f t="shared" si="47"/>
        <v>50712.15</v>
      </c>
      <c r="AG96" s="178">
        <f t="shared" si="48"/>
        <v>33808.1</v>
      </c>
      <c r="AH96" s="550"/>
      <c r="AI96" s="178">
        <f t="shared" si="49"/>
        <v>354985.05</v>
      </c>
      <c r="AJ96" s="567"/>
      <c r="AK96" s="568"/>
      <c r="AL96" s="568"/>
      <c r="AM96" s="568"/>
      <c r="AN96" s="569">
        <f t="shared" si="50"/>
        <v>2.2690000000000001</v>
      </c>
      <c r="AO96" s="640">
        <v>0.25</v>
      </c>
      <c r="AP96" s="185">
        <f t="shared" si="51"/>
        <v>0.56730000000000003</v>
      </c>
      <c r="AQ96" s="178">
        <f t="shared" si="52"/>
        <v>845277</v>
      </c>
      <c r="AR96" s="550"/>
      <c r="AS96" s="178">
        <f t="shared" si="53"/>
        <v>3871102</v>
      </c>
      <c r="AT96" s="562"/>
      <c r="AU96" s="723" t="s">
        <v>1458</v>
      </c>
      <c r="AV96" s="659"/>
    </row>
    <row r="97" spans="1:58" s="189" customFormat="1" ht="37.5" customHeight="1" x14ac:dyDescent="0.25">
      <c r="A97" s="168" t="s">
        <v>1420</v>
      </c>
      <c r="B97" s="168"/>
      <c r="C97" s="721"/>
      <c r="D97" s="544" t="s">
        <v>1457</v>
      </c>
      <c r="E97" s="563" t="s">
        <v>1094</v>
      </c>
      <c r="F97" s="564"/>
      <c r="G97" s="564"/>
      <c r="H97" s="564"/>
      <c r="I97" s="564"/>
      <c r="J97" s="564"/>
      <c r="K97" s="565"/>
      <c r="L97" s="722"/>
      <c r="M97" s="545"/>
      <c r="N97" s="662" t="s">
        <v>1438</v>
      </c>
      <c r="O97" s="566"/>
      <c r="P97" s="566"/>
      <c r="Q97" s="545">
        <v>1.9890000000000001</v>
      </c>
      <c r="R97" s="546"/>
      <c r="S97" s="564"/>
      <c r="T97" s="546">
        <f t="shared" si="39"/>
        <v>0</v>
      </c>
      <c r="U97" s="547"/>
      <c r="V97" s="545"/>
      <c r="W97" s="179"/>
      <c r="X97" s="216">
        <f t="shared" si="40"/>
        <v>0</v>
      </c>
      <c r="Y97" s="216">
        <f t="shared" si="41"/>
        <v>1.9890000000000001</v>
      </c>
      <c r="Z97" s="180">
        <f t="shared" si="42"/>
        <v>2963610</v>
      </c>
      <c r="AA97" s="549"/>
      <c r="AB97" s="180">
        <f t="shared" si="43"/>
        <v>0</v>
      </c>
      <c r="AC97" s="180">
        <f t="shared" si="44"/>
        <v>0</v>
      </c>
      <c r="AD97" s="180">
        <f t="shared" si="45"/>
        <v>2963610</v>
      </c>
      <c r="AE97" s="178">
        <f t="shared" si="46"/>
        <v>237088.80000000002</v>
      </c>
      <c r="AF97" s="178">
        <f t="shared" si="47"/>
        <v>44454.15</v>
      </c>
      <c r="AG97" s="178">
        <f t="shared" si="48"/>
        <v>29636.100000000002</v>
      </c>
      <c r="AH97" s="550"/>
      <c r="AI97" s="178">
        <f t="shared" si="49"/>
        <v>311179.05</v>
      </c>
      <c r="AJ97" s="567"/>
      <c r="AK97" s="568"/>
      <c r="AL97" s="568"/>
      <c r="AM97" s="568"/>
      <c r="AN97" s="569">
        <f t="shared" si="50"/>
        <v>1.9890000000000001</v>
      </c>
      <c r="AO97" s="640">
        <v>0.25</v>
      </c>
      <c r="AP97" s="185">
        <f t="shared" si="51"/>
        <v>0.49730000000000002</v>
      </c>
      <c r="AQ97" s="178">
        <f t="shared" si="52"/>
        <v>740977</v>
      </c>
      <c r="AR97" s="550"/>
      <c r="AS97" s="178">
        <f t="shared" si="53"/>
        <v>3393408</v>
      </c>
      <c r="AT97" s="562"/>
      <c r="AU97" s="723" t="s">
        <v>1458</v>
      </c>
      <c r="AV97" s="659"/>
    </row>
    <row r="98" spans="1:58" s="189" customFormat="1" ht="37.5" customHeight="1" x14ac:dyDescent="0.25">
      <c r="A98" s="168" t="s">
        <v>383</v>
      </c>
      <c r="B98" s="168"/>
      <c r="C98" s="721"/>
      <c r="D98" s="544" t="s">
        <v>1455</v>
      </c>
      <c r="E98" s="563" t="s">
        <v>1259</v>
      </c>
      <c r="F98" s="564"/>
      <c r="G98" s="564"/>
      <c r="H98" s="564"/>
      <c r="I98" s="564"/>
      <c r="J98" s="564"/>
      <c r="K98" s="565"/>
      <c r="L98" s="722"/>
      <c r="M98" s="545"/>
      <c r="N98" s="662" t="s">
        <v>1438</v>
      </c>
      <c r="O98" s="566"/>
      <c r="P98" s="566"/>
      <c r="Q98" s="545">
        <v>1.9890000000000001</v>
      </c>
      <c r="R98" s="546"/>
      <c r="S98" s="564"/>
      <c r="T98" s="546">
        <f>ROUND(Q98*S98/100,4)</f>
        <v>0</v>
      </c>
      <c r="U98" s="547"/>
      <c r="V98" s="545"/>
      <c r="W98" s="179"/>
      <c r="X98" s="216">
        <f t="shared" si="40"/>
        <v>0</v>
      </c>
      <c r="Y98" s="216">
        <f t="shared" si="41"/>
        <v>1.9890000000000001</v>
      </c>
      <c r="Z98" s="180">
        <f t="shared" si="42"/>
        <v>2963610</v>
      </c>
      <c r="AA98" s="549"/>
      <c r="AB98" s="180">
        <f t="shared" si="43"/>
        <v>0</v>
      </c>
      <c r="AC98" s="180">
        <f t="shared" si="44"/>
        <v>0</v>
      </c>
      <c r="AD98" s="180">
        <f t="shared" si="45"/>
        <v>2963610</v>
      </c>
      <c r="AE98" s="178">
        <f t="shared" si="46"/>
        <v>237088.80000000002</v>
      </c>
      <c r="AF98" s="178">
        <f t="shared" si="47"/>
        <v>44454.15</v>
      </c>
      <c r="AG98" s="178">
        <f t="shared" si="48"/>
        <v>29636.100000000002</v>
      </c>
      <c r="AH98" s="550"/>
      <c r="AI98" s="178">
        <f t="shared" si="49"/>
        <v>311179.05</v>
      </c>
      <c r="AJ98" s="567"/>
      <c r="AK98" s="568"/>
      <c r="AL98" s="568"/>
      <c r="AM98" s="568"/>
      <c r="AN98" s="569">
        <f>Q98+T98+V98</f>
        <v>1.9890000000000001</v>
      </c>
      <c r="AO98" s="640">
        <v>0.25</v>
      </c>
      <c r="AP98" s="185">
        <f t="shared" si="51"/>
        <v>0.49730000000000002</v>
      </c>
      <c r="AQ98" s="178">
        <f t="shared" si="52"/>
        <v>740977</v>
      </c>
      <c r="AR98" s="550"/>
      <c r="AS98" s="178">
        <f t="shared" si="53"/>
        <v>3393408</v>
      </c>
      <c r="AT98" s="562"/>
      <c r="AU98" s="723" t="s">
        <v>1458</v>
      </c>
      <c r="AV98" s="659"/>
    </row>
    <row r="99" spans="1:58" s="189" customFormat="1" ht="37.5" customHeight="1" x14ac:dyDescent="0.25">
      <c r="A99" s="471" t="s">
        <v>384</v>
      </c>
      <c r="B99" s="168"/>
      <c r="C99" s="661"/>
      <c r="D99" s="432" t="s">
        <v>1443</v>
      </c>
      <c r="E99" s="296" t="s">
        <v>1377</v>
      </c>
      <c r="F99" s="632"/>
      <c r="G99" s="632"/>
      <c r="H99" s="632"/>
      <c r="I99" s="632"/>
      <c r="J99" s="632"/>
      <c r="K99" s="471"/>
      <c r="L99" s="665" t="s">
        <v>1445</v>
      </c>
      <c r="M99" s="438"/>
      <c r="N99" s="663" t="s">
        <v>1438</v>
      </c>
      <c r="O99" s="633"/>
      <c r="P99" s="633"/>
      <c r="Q99" s="438">
        <v>1.9890000000000001</v>
      </c>
      <c r="R99" s="436"/>
      <c r="S99" s="632"/>
      <c r="T99" s="436">
        <f t="shared" si="39"/>
        <v>0</v>
      </c>
      <c r="U99" s="445"/>
      <c r="V99" s="438"/>
      <c r="W99" s="179">
        <f>VLOOKUP(D99,[3]BC!$D$14:$X$294,20,FALSE)</f>
        <v>0</v>
      </c>
      <c r="X99" s="440">
        <f t="shared" si="40"/>
        <v>0</v>
      </c>
      <c r="Y99" s="440">
        <f t="shared" si="41"/>
        <v>1.9890000000000001</v>
      </c>
      <c r="Z99" s="238">
        <f t="shared" si="42"/>
        <v>2963610</v>
      </c>
      <c r="AA99" s="238"/>
      <c r="AB99" s="238">
        <f t="shared" si="43"/>
        <v>0</v>
      </c>
      <c r="AC99" s="238">
        <f t="shared" si="44"/>
        <v>0</v>
      </c>
      <c r="AD99" s="238">
        <f t="shared" si="45"/>
        <v>2963610</v>
      </c>
      <c r="AE99" s="225">
        <f t="shared" si="46"/>
        <v>237088.80000000002</v>
      </c>
      <c r="AF99" s="225">
        <f t="shared" si="47"/>
        <v>44454.15</v>
      </c>
      <c r="AG99" s="225">
        <f t="shared" si="48"/>
        <v>29636.100000000002</v>
      </c>
      <c r="AH99" s="225"/>
      <c r="AI99" s="225">
        <f t="shared" si="49"/>
        <v>311179.05</v>
      </c>
      <c r="AJ99" s="487"/>
      <c r="AK99" s="488"/>
      <c r="AL99" s="488"/>
      <c r="AM99" s="488"/>
      <c r="AN99" s="489">
        <f t="shared" si="50"/>
        <v>1.9890000000000001</v>
      </c>
      <c r="AO99" s="664">
        <v>0.25</v>
      </c>
      <c r="AP99" s="634">
        <f t="shared" si="51"/>
        <v>0.49730000000000002</v>
      </c>
      <c r="AQ99" s="225">
        <f t="shared" si="52"/>
        <v>740977</v>
      </c>
      <c r="AR99" s="225"/>
      <c r="AS99" s="225">
        <f t="shared" si="53"/>
        <v>3393408</v>
      </c>
      <c r="AT99" s="470"/>
      <c r="AU99" s="542"/>
      <c r="AV99" s="659"/>
      <c r="AW99" s="29"/>
      <c r="AX99" s="29"/>
      <c r="AY99" s="29"/>
      <c r="AZ99" s="29"/>
      <c r="BA99" s="29"/>
      <c r="BB99" s="29"/>
      <c r="BC99" s="29"/>
      <c r="BD99" s="29"/>
      <c r="BE99" s="29"/>
      <c r="BF99" s="29"/>
    </row>
    <row r="100" spans="1:58" s="109" customFormat="1" ht="20.25" customHeight="1" x14ac:dyDescent="0.25">
      <c r="A100" s="229"/>
      <c r="B100" s="168" t="e">
        <f>VLOOKUP(D100,[1]LuongBC_T01!$B$9:$C$292,2,FALSE)</f>
        <v>#N/A</v>
      </c>
      <c r="C100" s="479"/>
      <c r="D100" s="1029" t="s">
        <v>665</v>
      </c>
      <c r="E100" s="1030"/>
      <c r="F100" s="1030"/>
      <c r="G100" s="1030"/>
      <c r="H100" s="1030"/>
      <c r="I100" s="1030"/>
      <c r="J100" s="1030"/>
      <c r="K100" s="1030"/>
      <c r="L100" s="1030"/>
      <c r="M100" s="1030"/>
      <c r="N100" s="1030"/>
      <c r="O100" s="1030"/>
      <c r="P100" s="1030"/>
      <c r="Q100" s="457">
        <f>SUM(Q89:Q99)</f>
        <v>23.279000000000007</v>
      </c>
      <c r="R100" s="336"/>
      <c r="S100" s="353">
        <f>SUM(S89:S92)</f>
        <v>0</v>
      </c>
      <c r="T100" s="367">
        <f>SUM(T89:T99)</f>
        <v>0</v>
      </c>
      <c r="U100" s="237"/>
      <c r="V100" s="237">
        <f>SUM(V89:V92)</f>
        <v>0</v>
      </c>
      <c r="W100" s="237">
        <f>SUM(W89:W92)</f>
        <v>0</v>
      </c>
      <c r="X100" s="236">
        <f>SUM(X89:X99)</f>
        <v>0</v>
      </c>
      <c r="Y100" s="365">
        <f>SUM(Y89:Y99)</f>
        <v>23.279000000000007</v>
      </c>
      <c r="Z100" s="237">
        <f>SUM(Z89:Z99)</f>
        <v>34685710</v>
      </c>
      <c r="AA100" s="237"/>
      <c r="AB100" s="237">
        <f t="shared" ref="AB100:AG100" si="54">SUM(AB89:AB99)</f>
        <v>0</v>
      </c>
      <c r="AC100" s="237">
        <f t="shared" si="54"/>
        <v>0</v>
      </c>
      <c r="AD100" s="237">
        <f t="shared" si="54"/>
        <v>34685710</v>
      </c>
      <c r="AE100" s="297">
        <f t="shared" si="54"/>
        <v>2774856.8</v>
      </c>
      <c r="AF100" s="297">
        <f t="shared" si="54"/>
        <v>520285.65000000014</v>
      </c>
      <c r="AG100" s="297">
        <f t="shared" si="54"/>
        <v>346857.1</v>
      </c>
      <c r="AH100" s="297"/>
      <c r="AI100" s="297">
        <f>SUM(AI89:AI99)</f>
        <v>3641999.5499999993</v>
      </c>
      <c r="AJ100" s="297">
        <f>SUM(AJ89:AJ99)</f>
        <v>0</v>
      </c>
      <c r="AK100" s="297">
        <f>SUM(AK89:AK99)</f>
        <v>0</v>
      </c>
      <c r="AL100" s="297">
        <f>SUM(AL89:AL99)</f>
        <v>0</v>
      </c>
      <c r="AM100" s="297">
        <f>SUM(AM89:AM99)</f>
        <v>0</v>
      </c>
      <c r="AN100" s="497" t="e">
        <f>SUM(#REF!)</f>
        <v>#REF!</v>
      </c>
      <c r="AO100" s="641" t="e">
        <f>SUM(#REF!)</f>
        <v>#REF!</v>
      </c>
      <c r="AP100" s="367">
        <f>SUM(AP89:AP99)</f>
        <v>5.3230000000000004</v>
      </c>
      <c r="AQ100" s="297">
        <f>SUM(AQ89:AQ99)</f>
        <v>7931270</v>
      </c>
      <c r="AR100" s="297" t="e">
        <f>SUM(#REF!)</f>
        <v>#REF!</v>
      </c>
      <c r="AS100" s="297">
        <f>SUM(AS89:AS99)-1</f>
        <v>38974980</v>
      </c>
      <c r="AT100" s="513"/>
      <c r="AU100" s="514"/>
      <c r="AV100" s="98"/>
      <c r="AW100" s="552"/>
      <c r="AX100" s="552"/>
      <c r="AY100" s="552"/>
      <c r="AZ100" s="552"/>
      <c r="BA100" s="552"/>
      <c r="BB100" s="552"/>
      <c r="BC100" s="552"/>
      <c r="BD100" s="552"/>
      <c r="BE100" s="552"/>
      <c r="BF100" s="552"/>
    </row>
    <row r="101" spans="1:58" s="99" customFormat="1" ht="21" customHeight="1" x14ac:dyDescent="0.25">
      <c r="A101" s="127"/>
      <c r="B101" s="168" t="e">
        <f>VLOOKUP(D101,[1]LuongBC_T01!$B$9:$C$292,2,FALSE)</f>
        <v>#N/A</v>
      </c>
      <c r="C101" s="480"/>
      <c r="D101" s="1035" t="s">
        <v>50</v>
      </c>
      <c r="E101" s="1036"/>
      <c r="F101" s="1036"/>
      <c r="G101" s="1036"/>
      <c r="H101" s="1036"/>
      <c r="I101" s="1036"/>
      <c r="J101" s="1036"/>
      <c r="K101" s="1036"/>
      <c r="L101" s="1036"/>
      <c r="M101" s="1036"/>
      <c r="N101" s="1036"/>
      <c r="O101" s="1036"/>
      <c r="P101" s="1036"/>
      <c r="Q101" s="1036"/>
      <c r="R101" s="337"/>
      <c r="S101" s="351"/>
      <c r="T101" s="111"/>
      <c r="U101" s="112"/>
      <c r="V101" s="110"/>
      <c r="W101" s="125"/>
      <c r="X101" s="114"/>
      <c r="Y101" s="114"/>
      <c r="Z101" s="114"/>
      <c r="AA101" s="114"/>
      <c r="AB101" s="114"/>
      <c r="AC101" s="114"/>
      <c r="AD101" s="114"/>
      <c r="AE101" s="113"/>
      <c r="AF101" s="113"/>
      <c r="AG101" s="113"/>
      <c r="AH101" s="113"/>
      <c r="AI101" s="113"/>
      <c r="AJ101" s="115"/>
      <c r="AK101" s="113"/>
      <c r="AL101" s="113"/>
      <c r="AM101" s="113"/>
      <c r="AN101" s="498"/>
      <c r="AO101" s="125"/>
      <c r="AP101" s="116"/>
      <c r="AQ101" s="113"/>
      <c r="AR101" s="113"/>
      <c r="AS101" s="113"/>
      <c r="AT101" s="507"/>
      <c r="AU101" s="508"/>
      <c r="AV101" s="52"/>
      <c r="AW101" s="29"/>
      <c r="AX101" s="29"/>
      <c r="AY101" s="29"/>
      <c r="AZ101" s="29"/>
      <c r="BA101" s="29"/>
      <c r="BB101" s="29"/>
      <c r="BC101" s="29"/>
      <c r="BD101" s="29"/>
      <c r="BE101" s="29"/>
      <c r="BF101" s="29"/>
    </row>
    <row r="102" spans="1:58" s="99" customFormat="1" ht="21" customHeight="1" x14ac:dyDescent="0.25">
      <c r="A102" s="30"/>
      <c r="B102" s="168" t="e">
        <f>VLOOKUP(D102,[1]LuongBC_T01!$B$9:$C$292,2,FALSE)</f>
        <v>#N/A</v>
      </c>
      <c r="C102" s="386"/>
      <c r="D102" s="1037" t="s">
        <v>51</v>
      </c>
      <c r="E102" s="1038"/>
      <c r="F102" s="1038"/>
      <c r="G102" s="1038"/>
      <c r="H102" s="1038"/>
      <c r="I102" s="1038"/>
      <c r="J102" s="1038"/>
      <c r="K102" s="1038"/>
      <c r="L102" s="1038"/>
      <c r="M102" s="1038"/>
      <c r="N102" s="1038"/>
      <c r="O102" s="1038"/>
      <c r="P102" s="1038"/>
      <c r="Q102" s="1038"/>
      <c r="R102" s="1039"/>
      <c r="S102" s="352"/>
      <c r="T102" s="90"/>
      <c r="U102" s="129"/>
      <c r="V102" s="91"/>
      <c r="W102" s="95"/>
      <c r="X102" s="93"/>
      <c r="Y102" s="93"/>
      <c r="Z102" s="93"/>
      <c r="AA102" s="93"/>
      <c r="AB102" s="93"/>
      <c r="AC102" s="93"/>
      <c r="AD102" s="93"/>
      <c r="AE102" s="92"/>
      <c r="AF102" s="92"/>
      <c r="AG102" s="92"/>
      <c r="AH102" s="92"/>
      <c r="AI102" s="92"/>
      <c r="AJ102" s="94"/>
      <c r="AK102" s="92"/>
      <c r="AL102" s="92"/>
      <c r="AM102" s="92"/>
      <c r="AN102" s="193"/>
      <c r="AO102" s="95"/>
      <c r="AP102" s="96"/>
      <c r="AQ102" s="92"/>
      <c r="AR102" s="92"/>
      <c r="AS102" s="92"/>
      <c r="AT102" s="97"/>
      <c r="AU102" s="144"/>
      <c r="AV102" s="88"/>
      <c r="AW102" s="29"/>
      <c r="AX102" s="29"/>
      <c r="AY102" s="29"/>
      <c r="AZ102" s="29"/>
      <c r="BA102" s="29"/>
      <c r="BB102" s="29"/>
      <c r="BC102" s="29"/>
      <c r="BD102" s="29"/>
      <c r="BE102" s="29"/>
      <c r="BF102" s="29"/>
    </row>
    <row r="103" spans="1:58" s="189" customFormat="1" ht="38.25" customHeight="1" x14ac:dyDescent="0.25">
      <c r="A103" s="168" t="s">
        <v>385</v>
      </c>
      <c r="B103" s="168" t="str">
        <f>VLOOKUP(D103,[1]LuongBC_T01!$B$9:$C$292,2,FALSE)</f>
        <v>0016100006823003</v>
      </c>
      <c r="C103" s="199" t="s">
        <v>907</v>
      </c>
      <c r="D103" s="169" t="s">
        <v>1198</v>
      </c>
      <c r="E103" s="263" t="s">
        <v>1390</v>
      </c>
      <c r="F103" s="169" t="s">
        <v>550</v>
      </c>
      <c r="G103" s="170"/>
      <c r="H103" s="170" t="s">
        <v>283</v>
      </c>
      <c r="I103" s="170" t="s">
        <v>283</v>
      </c>
      <c r="J103" s="169" t="s">
        <v>259</v>
      </c>
      <c r="K103" s="170" t="str">
        <f>VLOOKUP(D103,[2]T3!$B$2:$D$328,3,FALSE)</f>
        <v>023376448</v>
      </c>
      <c r="L103" s="171" t="s">
        <v>122</v>
      </c>
      <c r="M103" s="171" t="s">
        <v>907</v>
      </c>
      <c r="N103" s="390" t="s">
        <v>1438</v>
      </c>
      <c r="O103" s="172" t="s">
        <v>692</v>
      </c>
      <c r="P103" s="173">
        <v>5</v>
      </c>
      <c r="Q103" s="174">
        <v>3.99</v>
      </c>
      <c r="R103" s="176">
        <f t="shared" ref="R103:R166" si="55">T103+V103+X103</f>
        <v>1.0716000000000001</v>
      </c>
      <c r="S103" s="370"/>
      <c r="T103" s="176">
        <f t="shared" ref="T103:T166" si="56">ROUND(Q103*S103/100,4)</f>
        <v>0</v>
      </c>
      <c r="U103" s="175">
        <f t="shared" ref="U103:U113" si="57">Q103*S103*$D$8/100</f>
        <v>0</v>
      </c>
      <c r="V103" s="170">
        <v>0.45</v>
      </c>
      <c r="W103" s="179">
        <v>0.14000000000000001</v>
      </c>
      <c r="X103" s="216">
        <f t="shared" ref="X103:X166" si="58">ROUND((Q103+T103+V103)*W103,4)</f>
        <v>0.62160000000000004</v>
      </c>
      <c r="Y103" s="216">
        <f t="shared" ref="Y103:Y162" si="59">Q103+T103+V103+X103</f>
        <v>5.0616000000000003</v>
      </c>
      <c r="Z103" s="180">
        <f t="shared" ref="Z103:Z166" si="60">ROUND(Y103*$D$8,0)</f>
        <v>7541784</v>
      </c>
      <c r="AA103" s="180"/>
      <c r="AB103" s="180"/>
      <c r="AC103" s="180">
        <f t="shared" ref="AC103:AC148" si="61">Z103/24*AA103*75%</f>
        <v>0</v>
      </c>
      <c r="AD103" s="180">
        <f t="shared" ref="AD103:AD166" si="62">ROUND(Z103-AB103+AC103,0)</f>
        <v>7541784</v>
      </c>
      <c r="AE103" s="178">
        <f t="shared" ref="AE103:AE166" si="63">Z103*8%</f>
        <v>603342.72</v>
      </c>
      <c r="AF103" s="178">
        <f t="shared" ref="AF103:AF166" si="64">Z103*1.5%</f>
        <v>113126.76</v>
      </c>
      <c r="AG103" s="178">
        <f t="shared" ref="AG103:AG166" si="65">Z103*1%</f>
        <v>75417.84</v>
      </c>
      <c r="AH103" s="178"/>
      <c r="AI103" s="178">
        <f t="shared" ref="AI103:AI166" si="66">SUM(AE103:AH103)</f>
        <v>791887.32</v>
      </c>
      <c r="AJ103" s="192"/>
      <c r="AK103" s="182">
        <f t="shared" ref="AK103:AK166" si="67">AJ103*$D$8</f>
        <v>0</v>
      </c>
      <c r="AL103" s="182"/>
      <c r="AM103" s="182"/>
      <c r="AN103" s="193">
        <f t="shared" ref="AN103:AN135" si="68">Q103+T103+V103</f>
        <v>4.4400000000000004</v>
      </c>
      <c r="AO103" s="246">
        <v>0.25</v>
      </c>
      <c r="AP103" s="194">
        <f>ROUND(AN103*AO103,4)</f>
        <v>1.1100000000000001</v>
      </c>
      <c r="AQ103" s="178">
        <f t="shared" ref="AQ103:AQ166" si="69">ROUND(AP103*$D$8,0)</f>
        <v>1653900</v>
      </c>
      <c r="AR103" s="178"/>
      <c r="AS103" s="178">
        <f t="shared" ref="AS103:AS119" si="70">ROUND(AD103-AI103+AK103+AM103+AQ103,0)</f>
        <v>8403797</v>
      </c>
      <c r="AT103" s="469" t="str">
        <f t="shared" ref="AT103:AT152" si="71">A103</f>
        <v>85</v>
      </c>
      <c r="AU103" s="195"/>
      <c r="AV103" s="198" t="s">
        <v>714</v>
      </c>
    </row>
    <row r="104" spans="1:58" s="191" customFormat="1" ht="33" customHeight="1" x14ac:dyDescent="0.25">
      <c r="A104" s="168" t="s">
        <v>386</v>
      </c>
      <c r="B104" s="168" t="str">
        <f>VLOOKUP(D104,[1]LuongBC_T01!$B$9:$C$292,2,FALSE)</f>
        <v>0016100006787007</v>
      </c>
      <c r="C104" s="199" t="s">
        <v>908</v>
      </c>
      <c r="D104" s="169" t="s">
        <v>1199</v>
      </c>
      <c r="E104" s="263" t="s">
        <v>1389</v>
      </c>
      <c r="F104" s="169" t="s">
        <v>549</v>
      </c>
      <c r="G104" s="170"/>
      <c r="H104" s="170" t="s">
        <v>283</v>
      </c>
      <c r="I104" s="170" t="s">
        <v>283</v>
      </c>
      <c r="J104" s="169" t="s">
        <v>252</v>
      </c>
      <c r="K104" s="170" t="str">
        <f>VLOOKUP(D104,[2]T3!$B$2:$D$328,3,FALSE)</f>
        <v>023353491</v>
      </c>
      <c r="L104" s="171" t="s">
        <v>118</v>
      </c>
      <c r="M104" s="171" t="s">
        <v>908</v>
      </c>
      <c r="N104" s="390" t="s">
        <v>1438</v>
      </c>
      <c r="O104" s="172" t="s">
        <v>692</v>
      </c>
      <c r="P104" s="173">
        <v>5</v>
      </c>
      <c r="Q104" s="174">
        <v>3.99</v>
      </c>
      <c r="R104" s="176">
        <f t="shared" si="55"/>
        <v>1.1160000000000001</v>
      </c>
      <c r="S104" s="370"/>
      <c r="T104" s="176">
        <f t="shared" si="56"/>
        <v>0</v>
      </c>
      <c r="U104" s="175">
        <f t="shared" si="57"/>
        <v>0</v>
      </c>
      <c r="V104" s="170">
        <v>0.45</v>
      </c>
      <c r="W104" s="179">
        <v>0.15</v>
      </c>
      <c r="X104" s="216">
        <f t="shared" si="58"/>
        <v>0.66600000000000004</v>
      </c>
      <c r="Y104" s="216">
        <f t="shared" si="59"/>
        <v>5.1060000000000008</v>
      </c>
      <c r="Z104" s="180">
        <f t="shared" si="60"/>
        <v>7607940</v>
      </c>
      <c r="AA104" s="180"/>
      <c r="AB104" s="180">
        <f t="shared" ref="AB104:AB167" si="72">Z104/24*AA104</f>
        <v>0</v>
      </c>
      <c r="AC104" s="180">
        <f t="shared" si="61"/>
        <v>0</v>
      </c>
      <c r="AD104" s="180">
        <f t="shared" si="62"/>
        <v>7607940</v>
      </c>
      <c r="AE104" s="178">
        <f t="shared" si="63"/>
        <v>608635.20000000007</v>
      </c>
      <c r="AF104" s="178">
        <f t="shared" si="64"/>
        <v>114119.09999999999</v>
      </c>
      <c r="AG104" s="178">
        <f t="shared" si="65"/>
        <v>76079.400000000009</v>
      </c>
      <c r="AH104" s="178"/>
      <c r="AI104" s="178">
        <f t="shared" si="66"/>
        <v>798833.70000000007</v>
      </c>
      <c r="AJ104" s="671"/>
      <c r="AK104" s="182">
        <f t="shared" si="67"/>
        <v>0</v>
      </c>
      <c r="AL104" s="182"/>
      <c r="AM104" s="182"/>
      <c r="AN104" s="193">
        <f t="shared" si="68"/>
        <v>4.4400000000000004</v>
      </c>
      <c r="AO104" s="246">
        <v>0.25</v>
      </c>
      <c r="AP104" s="194">
        <f t="shared" ref="AP104:AP167" si="73">ROUND(AN104*AO104,4)</f>
        <v>1.1100000000000001</v>
      </c>
      <c r="AQ104" s="178">
        <f t="shared" si="69"/>
        <v>1653900</v>
      </c>
      <c r="AR104" s="178"/>
      <c r="AS104" s="178">
        <f t="shared" si="70"/>
        <v>8463006</v>
      </c>
      <c r="AT104" s="469" t="str">
        <f t="shared" si="71"/>
        <v>86</v>
      </c>
      <c r="AU104" s="195"/>
      <c r="AV104" s="187" t="s">
        <v>709</v>
      </c>
    </row>
    <row r="105" spans="1:58" s="189" customFormat="1" ht="39" customHeight="1" x14ac:dyDescent="0.25">
      <c r="A105" s="168" t="s">
        <v>387</v>
      </c>
      <c r="B105" s="168" t="str">
        <f>VLOOKUP(D105,[1]LuongBC_T01!$B$9:$C$292,2,FALSE)</f>
        <v>0016100006648007</v>
      </c>
      <c r="C105" s="199" t="s">
        <v>941</v>
      </c>
      <c r="D105" s="169" t="s">
        <v>823</v>
      </c>
      <c r="E105" s="263" t="s">
        <v>1425</v>
      </c>
      <c r="F105" s="169"/>
      <c r="G105" s="170"/>
      <c r="H105" s="170"/>
      <c r="I105" s="170"/>
      <c r="J105" s="169"/>
      <c r="K105" s="170" t="str">
        <f>VLOOKUP(D105,[2]T3!$B$2:$D$328,3,FALSE)</f>
        <v>024858065</v>
      </c>
      <c r="L105" s="249"/>
      <c r="M105" s="249" t="s">
        <v>941</v>
      </c>
      <c r="N105" s="390" t="s">
        <v>807</v>
      </c>
      <c r="O105" s="222" t="s">
        <v>692</v>
      </c>
      <c r="P105" s="172">
        <v>5</v>
      </c>
      <c r="Q105" s="174">
        <v>3.99</v>
      </c>
      <c r="R105" s="176">
        <f>T105+V105+X105</f>
        <v>1.1604000000000001</v>
      </c>
      <c r="S105" s="370"/>
      <c r="T105" s="176">
        <f>ROUND(Q105*S105/100,4)</f>
        <v>0</v>
      </c>
      <c r="U105" s="175">
        <f>Q105*S105*$D$8/100</f>
        <v>0</v>
      </c>
      <c r="V105" s="170">
        <v>0.45</v>
      </c>
      <c r="W105" s="179">
        <v>0.16</v>
      </c>
      <c r="X105" s="216">
        <f>ROUND((Q105+T105+V105)*W105,4)</f>
        <v>0.71040000000000003</v>
      </c>
      <c r="Y105" s="216">
        <f>Q105+T105+V105+X105</f>
        <v>5.1504000000000003</v>
      </c>
      <c r="Z105" s="180">
        <f>ROUND(Y105*$D$8,0)</f>
        <v>7674096</v>
      </c>
      <c r="AA105" s="180"/>
      <c r="AB105" s="180">
        <f>Z105/24*AA105</f>
        <v>0</v>
      </c>
      <c r="AC105" s="180"/>
      <c r="AD105" s="180">
        <f>ROUND(Z105-AB105+AC105,0)</f>
        <v>7674096</v>
      </c>
      <c r="AE105" s="178">
        <f t="shared" si="63"/>
        <v>613927.68000000005</v>
      </c>
      <c r="AF105" s="178">
        <f t="shared" si="64"/>
        <v>115111.44</v>
      </c>
      <c r="AG105" s="178">
        <f t="shared" si="65"/>
        <v>76740.960000000006</v>
      </c>
      <c r="AH105" s="178"/>
      <c r="AI105" s="178">
        <f>SUM(AE105:AH105)</f>
        <v>805780.08000000007</v>
      </c>
      <c r="AJ105" s="192"/>
      <c r="AK105" s="182">
        <f>AJ105*$D$8</f>
        <v>0</v>
      </c>
      <c r="AL105" s="182"/>
      <c r="AM105" s="182"/>
      <c r="AN105" s="193">
        <f t="shared" si="68"/>
        <v>4.4400000000000004</v>
      </c>
      <c r="AO105" s="246">
        <v>0.25</v>
      </c>
      <c r="AP105" s="194">
        <f>ROUND(AN105*AO105,4)</f>
        <v>1.1100000000000001</v>
      </c>
      <c r="AQ105" s="178">
        <f>ROUND(AP105*$D$8,0)</f>
        <v>1653900</v>
      </c>
      <c r="AR105" s="178"/>
      <c r="AS105" s="178">
        <f t="shared" si="70"/>
        <v>8522216</v>
      </c>
      <c r="AT105" s="469" t="str">
        <f t="shared" si="71"/>
        <v>87</v>
      </c>
      <c r="AU105" s="244"/>
      <c r="AV105" s="242"/>
    </row>
    <row r="106" spans="1:58" s="189" customFormat="1" ht="42" customHeight="1" x14ac:dyDescent="0.25">
      <c r="A106" s="168" t="s">
        <v>388</v>
      </c>
      <c r="B106" s="168" t="str">
        <f>VLOOKUP(D106,[1]LuongBC_T01!$B$9:$C$292,2,FALSE)</f>
        <v>0016100006563001</v>
      </c>
      <c r="C106" s="199" t="s">
        <v>916</v>
      </c>
      <c r="D106" s="169" t="s">
        <v>1202</v>
      </c>
      <c r="E106" s="263" t="s">
        <v>1397</v>
      </c>
      <c r="F106" s="169" t="s">
        <v>549</v>
      </c>
      <c r="G106" s="170"/>
      <c r="H106" s="170"/>
      <c r="I106" s="170" t="s">
        <v>284</v>
      </c>
      <c r="J106" s="169" t="s">
        <v>279</v>
      </c>
      <c r="K106" s="170" t="str">
        <f>VLOOKUP(D106,[2]T3!$B$2:$D$328,3,FALSE)</f>
        <v>023809591</v>
      </c>
      <c r="L106" s="171" t="s">
        <v>143</v>
      </c>
      <c r="M106" s="171" t="s">
        <v>916</v>
      </c>
      <c r="N106" s="390" t="s">
        <v>1438</v>
      </c>
      <c r="O106" s="222" t="s">
        <v>692</v>
      </c>
      <c r="P106" s="172">
        <v>3</v>
      </c>
      <c r="Q106" s="174">
        <v>3.33</v>
      </c>
      <c r="R106" s="176">
        <f>T106+V106+X106</f>
        <v>0.75239999999999996</v>
      </c>
      <c r="S106" s="370"/>
      <c r="T106" s="176">
        <f>ROUND(Q106*S106/100,4)</f>
        <v>0</v>
      </c>
      <c r="U106" s="175">
        <f>Q106*S106*$D$8/100</f>
        <v>0</v>
      </c>
      <c r="V106" s="170">
        <v>0.45</v>
      </c>
      <c r="W106" s="179">
        <v>0.08</v>
      </c>
      <c r="X106" s="216">
        <f>ROUND((Q106+T106+V106)*W106,4)</f>
        <v>0.3024</v>
      </c>
      <c r="Y106" s="216">
        <f>Q106+T106+V106+X106</f>
        <v>4.0823999999999998</v>
      </c>
      <c r="Z106" s="180">
        <f t="shared" si="60"/>
        <v>6082776</v>
      </c>
      <c r="AA106" s="180"/>
      <c r="AB106" s="180">
        <f>Z106/24*AA106</f>
        <v>0</v>
      </c>
      <c r="AC106" s="180">
        <f>Z106/24*AA106*75%</f>
        <v>0</v>
      </c>
      <c r="AD106" s="180">
        <f>ROUND(Z106-AB106+AC106,0)</f>
        <v>6082776</v>
      </c>
      <c r="AE106" s="178">
        <f t="shared" si="63"/>
        <v>486622.08</v>
      </c>
      <c r="AF106" s="178">
        <f t="shared" si="64"/>
        <v>91241.64</v>
      </c>
      <c r="AG106" s="178">
        <f t="shared" si="65"/>
        <v>60827.76</v>
      </c>
      <c r="AH106" s="178"/>
      <c r="AI106" s="178">
        <f>SUM(AE106:AH106)</f>
        <v>638691.48</v>
      </c>
      <c r="AJ106" s="192">
        <v>0.3</v>
      </c>
      <c r="AK106" s="182">
        <f>AJ106*$D$8</f>
        <v>447000</v>
      </c>
      <c r="AL106" s="182"/>
      <c r="AM106" s="182"/>
      <c r="AN106" s="193">
        <f t="shared" si="68"/>
        <v>3.7800000000000002</v>
      </c>
      <c r="AO106" s="246">
        <v>0.25</v>
      </c>
      <c r="AP106" s="194">
        <f>ROUND(AN106*AO106,4)</f>
        <v>0.94499999999999995</v>
      </c>
      <c r="AQ106" s="178">
        <f>ROUND(AP106*$D$8,0)</f>
        <v>1408050</v>
      </c>
      <c r="AR106" s="178"/>
      <c r="AS106" s="178">
        <f t="shared" si="70"/>
        <v>7299135</v>
      </c>
      <c r="AT106" s="469" t="str">
        <f t="shared" si="71"/>
        <v>88</v>
      </c>
      <c r="AU106" s="195" t="s">
        <v>1430</v>
      </c>
      <c r="AV106" s="186" t="s">
        <v>715</v>
      </c>
    </row>
    <row r="107" spans="1:58" s="189" customFormat="1" ht="33" customHeight="1" x14ac:dyDescent="0.25">
      <c r="A107" s="168" t="s">
        <v>389</v>
      </c>
      <c r="B107" s="168" t="str">
        <f>VLOOKUP(D107,[1]LuongBC_T01!$B$9:$C$292,2,FALSE)</f>
        <v>0016100006548002</v>
      </c>
      <c r="C107" s="199" t="s">
        <v>911</v>
      </c>
      <c r="D107" s="230" t="s">
        <v>782</v>
      </c>
      <c r="E107" s="263" t="s">
        <v>1427</v>
      </c>
      <c r="F107" s="231"/>
      <c r="G107" s="231"/>
      <c r="H107" s="200"/>
      <c r="I107" s="200" t="s">
        <v>284</v>
      </c>
      <c r="J107" s="231"/>
      <c r="K107" s="170" t="str">
        <f>VLOOKUP(D107,[2]T3!$B$2:$D$328,3,FALSE)</f>
        <v>250411489</v>
      </c>
      <c r="L107" s="226" t="s">
        <v>791</v>
      </c>
      <c r="M107" s="226" t="s">
        <v>911</v>
      </c>
      <c r="N107" s="393" t="s">
        <v>1116</v>
      </c>
      <c r="O107" s="170" t="s">
        <v>692</v>
      </c>
      <c r="P107" s="170">
        <v>5</v>
      </c>
      <c r="Q107" s="177">
        <v>3.99</v>
      </c>
      <c r="R107" s="176">
        <f t="shared" si="55"/>
        <v>0.45</v>
      </c>
      <c r="S107" s="169"/>
      <c r="T107" s="176">
        <f t="shared" si="56"/>
        <v>0</v>
      </c>
      <c r="U107" s="175">
        <f t="shared" si="57"/>
        <v>0</v>
      </c>
      <c r="V107" s="170">
        <v>0.45</v>
      </c>
      <c r="W107" s="179">
        <f>VLOOKUP(D107,[3]BC!$D$14:$W$287,20,FALSE)</f>
        <v>0</v>
      </c>
      <c r="X107" s="216">
        <f t="shared" si="58"/>
        <v>0</v>
      </c>
      <c r="Y107" s="216">
        <f t="shared" si="59"/>
        <v>4.4400000000000004</v>
      </c>
      <c r="Z107" s="180">
        <f t="shared" si="60"/>
        <v>6615600</v>
      </c>
      <c r="AA107" s="180"/>
      <c r="AB107" s="180">
        <f t="shared" si="72"/>
        <v>0</v>
      </c>
      <c r="AC107" s="180">
        <f t="shared" si="61"/>
        <v>0</v>
      </c>
      <c r="AD107" s="180">
        <f t="shared" si="62"/>
        <v>6615600</v>
      </c>
      <c r="AE107" s="178">
        <f t="shared" si="63"/>
        <v>529248</v>
      </c>
      <c r="AF107" s="178">
        <f t="shared" si="64"/>
        <v>99234</v>
      </c>
      <c r="AG107" s="178">
        <f t="shared" si="65"/>
        <v>66156</v>
      </c>
      <c r="AH107" s="178"/>
      <c r="AI107" s="178">
        <f t="shared" si="66"/>
        <v>694638</v>
      </c>
      <c r="AJ107" s="192"/>
      <c r="AK107" s="182">
        <f t="shared" si="67"/>
        <v>0</v>
      </c>
      <c r="AL107" s="182"/>
      <c r="AM107" s="182"/>
      <c r="AN107" s="183">
        <f t="shared" si="68"/>
        <v>4.4400000000000004</v>
      </c>
      <c r="AO107" s="179"/>
      <c r="AP107" s="194">
        <f t="shared" si="73"/>
        <v>0</v>
      </c>
      <c r="AQ107" s="178">
        <f t="shared" si="69"/>
        <v>0</v>
      </c>
      <c r="AR107" s="178"/>
      <c r="AS107" s="178">
        <f t="shared" si="70"/>
        <v>5920962</v>
      </c>
      <c r="AT107" s="469" t="str">
        <f t="shared" si="71"/>
        <v>89</v>
      </c>
      <c r="AU107" s="195"/>
      <c r="AV107" s="198"/>
      <c r="AW107" s="29"/>
      <c r="AX107" s="29"/>
      <c r="AY107" s="29"/>
      <c r="AZ107" s="29"/>
      <c r="BA107" s="29"/>
      <c r="BB107" s="29"/>
      <c r="BC107" s="29"/>
      <c r="BD107" s="29"/>
      <c r="BE107" s="29"/>
      <c r="BF107" s="29"/>
    </row>
    <row r="108" spans="1:58" s="189" customFormat="1" ht="38.25" customHeight="1" x14ac:dyDescent="0.25">
      <c r="A108" s="168" t="s">
        <v>390</v>
      </c>
      <c r="B108" s="168" t="str">
        <f>VLOOKUP(D108,[1]LuongBC_T01!$B$9:$C$292,2,FALSE)</f>
        <v>0016100006540001</v>
      </c>
      <c r="C108" s="170" t="s">
        <v>1325</v>
      </c>
      <c r="D108" s="169" t="s">
        <v>1294</v>
      </c>
      <c r="E108" s="263" t="s">
        <v>1454</v>
      </c>
      <c r="F108" s="220"/>
      <c r="G108" s="220"/>
      <c r="H108" s="220"/>
      <c r="I108" s="220"/>
      <c r="J108" s="220"/>
      <c r="K108" s="170" t="str">
        <f>VLOOKUP(D108,[2]T3!$B$2:$D$328,3,FALSE)</f>
        <v>051091000077</v>
      </c>
      <c r="L108" s="220"/>
      <c r="M108" s="170"/>
      <c r="N108" s="263" t="s">
        <v>1116</v>
      </c>
      <c r="O108" s="251"/>
      <c r="P108" s="251"/>
      <c r="Q108" s="170">
        <v>2.34</v>
      </c>
      <c r="R108" s="176">
        <f t="shared" si="55"/>
        <v>0.35</v>
      </c>
      <c r="S108" s="220"/>
      <c r="T108" s="176">
        <f>ROUND(Q108*S108/100,4)</f>
        <v>0</v>
      </c>
      <c r="U108" s="175"/>
      <c r="V108" s="170">
        <v>0.35</v>
      </c>
      <c r="W108" s="179">
        <f>VLOOKUP(D108,[3]BC!$D$14:$W$287,20,FALSE)</f>
        <v>0</v>
      </c>
      <c r="X108" s="216">
        <f>ROUND((Q108+T108+V108)*W108,4)</f>
        <v>0</v>
      </c>
      <c r="Y108" s="216">
        <f>Q108+T108+V108+X108</f>
        <v>2.69</v>
      </c>
      <c r="Z108" s="180">
        <f>ROUND(Y108*$D$8,0)</f>
        <v>4008100</v>
      </c>
      <c r="AA108" s="180"/>
      <c r="AB108" s="180">
        <f>Z108/24*AA108</f>
        <v>0</v>
      </c>
      <c r="AC108" s="180">
        <f>Z108/24*AA108*75%</f>
        <v>0</v>
      </c>
      <c r="AD108" s="180">
        <f>ROUND(Z108-AB108+AC108,0)</f>
        <v>4008100</v>
      </c>
      <c r="AE108" s="178">
        <f t="shared" si="63"/>
        <v>320648</v>
      </c>
      <c r="AF108" s="178">
        <f t="shared" si="64"/>
        <v>60121.5</v>
      </c>
      <c r="AG108" s="178">
        <f t="shared" si="65"/>
        <v>40081</v>
      </c>
      <c r="AH108" s="178"/>
      <c r="AI108" s="178">
        <f>SUM(AE108:AH108)</f>
        <v>420850.5</v>
      </c>
      <c r="AJ108" s="192">
        <v>0.45</v>
      </c>
      <c r="AK108" s="182">
        <f>AJ108*$D$8</f>
        <v>670500</v>
      </c>
      <c r="AL108" s="182"/>
      <c r="AM108" s="182"/>
      <c r="AN108" s="183">
        <f t="shared" si="68"/>
        <v>2.69</v>
      </c>
      <c r="AO108" s="179"/>
      <c r="AP108" s="185">
        <f>ROUND(AN108*AO108,4)</f>
        <v>0</v>
      </c>
      <c r="AQ108" s="178">
        <f>ROUND(AP108*$D$8,0)</f>
        <v>0</v>
      </c>
      <c r="AR108" s="178"/>
      <c r="AS108" s="178">
        <f t="shared" si="70"/>
        <v>4257750</v>
      </c>
      <c r="AT108" s="469" t="str">
        <f t="shared" si="71"/>
        <v>90</v>
      </c>
      <c r="AU108" s="195" t="s">
        <v>1395</v>
      </c>
      <c r="AV108" s="485"/>
      <c r="AW108" s="29"/>
      <c r="AX108" s="29"/>
      <c r="AY108" s="29"/>
      <c r="AZ108" s="29"/>
      <c r="BA108" s="29"/>
      <c r="BB108" s="29"/>
      <c r="BC108" s="29"/>
      <c r="BD108" s="29"/>
      <c r="BE108" s="29"/>
      <c r="BF108" s="29"/>
    </row>
    <row r="109" spans="1:58" s="189" customFormat="1" ht="45.75" customHeight="1" x14ac:dyDescent="0.25">
      <c r="A109" s="168" t="s">
        <v>391</v>
      </c>
      <c r="B109" s="168" t="str">
        <f>VLOOKUP(D109,[1]LuongBC_T01!$B$9:$C$292,2,FALSE)</f>
        <v>0016100006799005</v>
      </c>
      <c r="C109" s="170" t="s">
        <v>981</v>
      </c>
      <c r="D109" s="169" t="s">
        <v>1279</v>
      </c>
      <c r="E109" s="263" t="s">
        <v>1452</v>
      </c>
      <c r="F109" s="169"/>
      <c r="G109" s="170"/>
      <c r="H109" s="169"/>
      <c r="I109" s="169"/>
      <c r="J109" s="169"/>
      <c r="K109" s="170" t="str">
        <f>VLOOKUP(D109,[2]T3!$B$2:$D$328,3,FALSE)</f>
        <v>080185000458</v>
      </c>
      <c r="L109" s="197"/>
      <c r="M109" s="197"/>
      <c r="N109" s="390" t="s">
        <v>39</v>
      </c>
      <c r="O109" s="170"/>
      <c r="P109" s="170"/>
      <c r="Q109" s="192">
        <v>3</v>
      </c>
      <c r="R109" s="176">
        <f t="shared" si="55"/>
        <v>0.35</v>
      </c>
      <c r="S109" s="178"/>
      <c r="T109" s="176">
        <f>ROUND(Q109*S109/100,4)</f>
        <v>0</v>
      </c>
      <c r="U109" s="175"/>
      <c r="V109" s="192">
        <v>0.35</v>
      </c>
      <c r="W109" s="179">
        <f>VLOOKUP(D109,[3]BC!$D$14:$W$287,20,FALSE)</f>
        <v>0</v>
      </c>
      <c r="X109" s="216">
        <f>ROUND((Q109+T109+V109)*W109,4)</f>
        <v>0</v>
      </c>
      <c r="Y109" s="216">
        <f>Q109+T109+V109+X109</f>
        <v>3.35</v>
      </c>
      <c r="Z109" s="180">
        <f>ROUND(Y109*$D$8,0)</f>
        <v>4991500</v>
      </c>
      <c r="AA109" s="180"/>
      <c r="AB109" s="180">
        <f>Z109/24*AA109</f>
        <v>0</v>
      </c>
      <c r="AC109" s="180">
        <f>Z109/24*AA109*75%</f>
        <v>0</v>
      </c>
      <c r="AD109" s="180">
        <f>ROUND(Z109-AB109+AC109,0)</f>
        <v>4991500</v>
      </c>
      <c r="AE109" s="178">
        <f>Z109*8%</f>
        <v>399320</v>
      </c>
      <c r="AF109" s="178">
        <f>Z109*1.5%</f>
        <v>74872.5</v>
      </c>
      <c r="AG109" s="178">
        <f>Z109*1%</f>
        <v>49915</v>
      </c>
      <c r="AH109" s="178"/>
      <c r="AI109" s="178">
        <f>SUM(AE109:AH109)</f>
        <v>524107.5</v>
      </c>
      <c r="AJ109" s="215"/>
      <c r="AK109" s="182">
        <f>AJ109*$D$8</f>
        <v>0</v>
      </c>
      <c r="AL109" s="182"/>
      <c r="AM109" s="182"/>
      <c r="AN109" s="216">
        <f t="shared" si="68"/>
        <v>3.35</v>
      </c>
      <c r="AO109" s="179"/>
      <c r="AP109" s="194">
        <f>ROUND(AN109*AO109,4)</f>
        <v>0</v>
      </c>
      <c r="AQ109" s="178">
        <f>ROUND(AP109*$D$8,0)</f>
        <v>0</v>
      </c>
      <c r="AR109" s="178"/>
      <c r="AS109" s="178">
        <f>ROUND(AD109-AI109+AK109+AM109+AQ109,0)</f>
        <v>4467393</v>
      </c>
      <c r="AT109" s="469"/>
      <c r="AU109" s="221"/>
      <c r="AV109" s="223"/>
    </row>
    <row r="110" spans="1:58" s="189" customFormat="1" ht="40.5" customHeight="1" x14ac:dyDescent="0.25">
      <c r="A110" s="168" t="s">
        <v>392</v>
      </c>
      <c r="B110" s="168" t="str">
        <f>VLOOKUP(D110,[1]LuongBC_T01!$B$9:$C$292,2,FALSE)</f>
        <v>0016100006682008</v>
      </c>
      <c r="C110" s="512" t="s">
        <v>912</v>
      </c>
      <c r="D110" s="524" t="s">
        <v>1200</v>
      </c>
      <c r="E110" s="521" t="s">
        <v>1253</v>
      </c>
      <c r="F110" s="524" t="s">
        <v>549</v>
      </c>
      <c r="G110" s="525" t="s">
        <v>25</v>
      </c>
      <c r="H110" s="525"/>
      <c r="I110" s="525" t="s">
        <v>284</v>
      </c>
      <c r="J110" s="524" t="s">
        <v>276</v>
      </c>
      <c r="K110" s="484" t="s">
        <v>1348</v>
      </c>
      <c r="L110" s="610" t="s">
        <v>129</v>
      </c>
      <c r="M110" s="610" t="s">
        <v>912</v>
      </c>
      <c r="N110" s="611" t="s">
        <v>38</v>
      </c>
      <c r="O110" s="613" t="s">
        <v>692</v>
      </c>
      <c r="P110" s="613">
        <v>5</v>
      </c>
      <c r="Q110" s="614">
        <v>3.99</v>
      </c>
      <c r="R110" s="463">
        <f t="shared" si="55"/>
        <v>0.35</v>
      </c>
      <c r="S110" s="615"/>
      <c r="T110" s="463">
        <f t="shared" si="56"/>
        <v>0</v>
      </c>
      <c r="U110" s="529">
        <f t="shared" si="57"/>
        <v>0</v>
      </c>
      <c r="V110" s="525">
        <v>0.35</v>
      </c>
      <c r="W110" s="179">
        <f>VLOOKUP(D110,[3]BC!$D$14:$W$287,20,FALSE)</f>
        <v>0</v>
      </c>
      <c r="X110" s="531">
        <f t="shared" si="58"/>
        <v>0</v>
      </c>
      <c r="Y110" s="531">
        <f t="shared" si="59"/>
        <v>4.34</v>
      </c>
      <c r="Z110" s="532">
        <f t="shared" si="60"/>
        <v>6466600</v>
      </c>
      <c r="AA110" s="532"/>
      <c r="AB110" s="532">
        <f t="shared" si="72"/>
        <v>0</v>
      </c>
      <c r="AC110" s="532">
        <f t="shared" si="61"/>
        <v>0</v>
      </c>
      <c r="AD110" s="532">
        <f t="shared" si="62"/>
        <v>6466600</v>
      </c>
      <c r="AE110" s="533">
        <f t="shared" si="63"/>
        <v>517328</v>
      </c>
      <c r="AF110" s="533">
        <f t="shared" si="64"/>
        <v>96999</v>
      </c>
      <c r="AG110" s="533">
        <f t="shared" si="65"/>
        <v>64666</v>
      </c>
      <c r="AH110" s="533"/>
      <c r="AI110" s="533">
        <f t="shared" si="66"/>
        <v>678993</v>
      </c>
      <c r="AJ110" s="534"/>
      <c r="AK110" s="535">
        <f t="shared" si="67"/>
        <v>0</v>
      </c>
      <c r="AL110" s="535"/>
      <c r="AM110" s="535"/>
      <c r="AN110" s="616">
        <f t="shared" si="68"/>
        <v>4.34</v>
      </c>
      <c r="AO110" s="530"/>
      <c r="AP110" s="537">
        <f t="shared" si="73"/>
        <v>0</v>
      </c>
      <c r="AQ110" s="533">
        <f t="shared" si="69"/>
        <v>0</v>
      </c>
      <c r="AR110" s="533"/>
      <c r="AS110" s="533">
        <f t="shared" si="70"/>
        <v>5787607</v>
      </c>
      <c r="AT110" s="538" t="str">
        <f t="shared" si="71"/>
        <v>92</v>
      </c>
      <c r="AU110" s="539"/>
      <c r="AV110" s="187"/>
      <c r="AW110" s="29"/>
      <c r="AX110" s="29"/>
      <c r="AY110" s="29"/>
      <c r="AZ110" s="29"/>
      <c r="BA110" s="29"/>
      <c r="BB110" s="29"/>
      <c r="BC110" s="29"/>
      <c r="BD110" s="29"/>
      <c r="BE110" s="29"/>
      <c r="BF110" s="29"/>
    </row>
    <row r="111" spans="1:58" s="189" customFormat="1" ht="32.25" customHeight="1" x14ac:dyDescent="0.25">
      <c r="A111" s="168" t="s">
        <v>1096</v>
      </c>
      <c r="B111" s="168" t="str">
        <f>VLOOKUP(D111,[1]LuongBC_T01!$B$9:$C$292,2,FALSE)</f>
        <v>0016100006730005</v>
      </c>
      <c r="C111" s="199" t="s">
        <v>913</v>
      </c>
      <c r="D111" s="169" t="s">
        <v>1201</v>
      </c>
      <c r="E111" s="263" t="s">
        <v>1254</v>
      </c>
      <c r="F111" s="169" t="s">
        <v>549</v>
      </c>
      <c r="G111" s="200"/>
      <c r="H111" s="200" t="s">
        <v>283</v>
      </c>
      <c r="I111" s="200" t="s">
        <v>283</v>
      </c>
      <c r="J111" s="200" t="s">
        <v>580</v>
      </c>
      <c r="K111" s="170" t="str">
        <f>VLOOKUP(D111,[2]T3!$B$2:$D$328,3,FALSE)</f>
        <v>025531048</v>
      </c>
      <c r="L111" s="201" t="s">
        <v>602</v>
      </c>
      <c r="M111" s="201" t="s">
        <v>913</v>
      </c>
      <c r="N111" s="392" t="s">
        <v>807</v>
      </c>
      <c r="O111" s="170" t="s">
        <v>692</v>
      </c>
      <c r="P111" s="170">
        <v>3</v>
      </c>
      <c r="Q111" s="177">
        <v>3.66</v>
      </c>
      <c r="R111" s="176">
        <f t="shared" si="55"/>
        <v>0.751</v>
      </c>
      <c r="S111" s="220"/>
      <c r="T111" s="176">
        <f t="shared" si="56"/>
        <v>0</v>
      </c>
      <c r="U111" s="175">
        <f t="shared" si="57"/>
        <v>0</v>
      </c>
      <c r="V111" s="170">
        <v>0.35</v>
      </c>
      <c r="W111" s="179">
        <v>0.1</v>
      </c>
      <c r="X111" s="216">
        <f t="shared" si="58"/>
        <v>0.40100000000000002</v>
      </c>
      <c r="Y111" s="216">
        <f t="shared" si="59"/>
        <v>4.4109999999999996</v>
      </c>
      <c r="Z111" s="180">
        <f t="shared" si="60"/>
        <v>6572390</v>
      </c>
      <c r="AA111" s="180"/>
      <c r="AB111" s="180">
        <f t="shared" si="72"/>
        <v>0</v>
      </c>
      <c r="AC111" s="180">
        <f t="shared" si="61"/>
        <v>0</v>
      </c>
      <c r="AD111" s="180">
        <f t="shared" si="62"/>
        <v>6572390</v>
      </c>
      <c r="AE111" s="178">
        <f t="shared" si="63"/>
        <v>525791.19999999995</v>
      </c>
      <c r="AF111" s="178">
        <f t="shared" si="64"/>
        <v>98585.849999999991</v>
      </c>
      <c r="AG111" s="178">
        <f t="shared" si="65"/>
        <v>65723.899999999994</v>
      </c>
      <c r="AH111" s="178"/>
      <c r="AI111" s="178">
        <f t="shared" si="66"/>
        <v>690100.95</v>
      </c>
      <c r="AJ111" s="192"/>
      <c r="AK111" s="182">
        <f t="shared" si="67"/>
        <v>0</v>
      </c>
      <c r="AL111" s="182"/>
      <c r="AM111" s="182"/>
      <c r="AN111" s="193">
        <f t="shared" si="68"/>
        <v>4.01</v>
      </c>
      <c r="AO111" s="246">
        <v>0.45</v>
      </c>
      <c r="AP111" s="194">
        <f t="shared" si="73"/>
        <v>1.8045</v>
      </c>
      <c r="AQ111" s="178">
        <f t="shared" si="69"/>
        <v>2688705</v>
      </c>
      <c r="AR111" s="178"/>
      <c r="AS111" s="178">
        <f t="shared" si="70"/>
        <v>8570994</v>
      </c>
      <c r="AT111" s="469" t="str">
        <f t="shared" si="71"/>
        <v>93</v>
      </c>
      <c r="AU111" s="195"/>
      <c r="AV111" s="198" t="s">
        <v>710</v>
      </c>
    </row>
    <row r="112" spans="1:58" s="189" customFormat="1" ht="33" customHeight="1" x14ac:dyDescent="0.25">
      <c r="A112" s="168" t="s">
        <v>393</v>
      </c>
      <c r="B112" s="168" t="str">
        <f>VLOOKUP(D112,[1]LuongBC_T01!$B$9:$C$292,2,FALSE)</f>
        <v>0016100006777001</v>
      </c>
      <c r="C112" s="199" t="s">
        <v>915</v>
      </c>
      <c r="D112" s="169" t="s">
        <v>62</v>
      </c>
      <c r="E112" s="263" t="s">
        <v>1254</v>
      </c>
      <c r="F112" s="169" t="s">
        <v>550</v>
      </c>
      <c r="G112" s="200" t="s">
        <v>25</v>
      </c>
      <c r="H112" s="170" t="s">
        <v>283</v>
      </c>
      <c r="I112" s="170" t="s">
        <v>283</v>
      </c>
      <c r="J112" s="169" t="s">
        <v>245</v>
      </c>
      <c r="K112" s="170" t="str">
        <f>VLOOKUP(D112,[2]T3!$B$2:$D$328,3,FALSE)</f>
        <v>024774604</v>
      </c>
      <c r="L112" s="171" t="s">
        <v>114</v>
      </c>
      <c r="M112" s="171" t="s">
        <v>915</v>
      </c>
      <c r="N112" s="390" t="s">
        <v>1438</v>
      </c>
      <c r="O112" s="172" t="s">
        <v>692</v>
      </c>
      <c r="P112" s="173">
        <v>4</v>
      </c>
      <c r="Q112" s="174">
        <v>3.66</v>
      </c>
      <c r="R112" s="176">
        <f t="shared" si="55"/>
        <v>0.83119999999999994</v>
      </c>
      <c r="S112" s="370"/>
      <c r="T112" s="176">
        <f t="shared" si="56"/>
        <v>0</v>
      </c>
      <c r="U112" s="175">
        <f t="shared" si="57"/>
        <v>0</v>
      </c>
      <c r="V112" s="170">
        <v>0.35</v>
      </c>
      <c r="W112" s="179">
        <v>0.12</v>
      </c>
      <c r="X112" s="216">
        <f t="shared" si="58"/>
        <v>0.48120000000000002</v>
      </c>
      <c r="Y112" s="216">
        <f t="shared" si="59"/>
        <v>4.4912000000000001</v>
      </c>
      <c r="Z112" s="180">
        <f t="shared" si="60"/>
        <v>6691888</v>
      </c>
      <c r="AA112" s="180"/>
      <c r="AB112" s="180">
        <f t="shared" si="72"/>
        <v>0</v>
      </c>
      <c r="AC112" s="180">
        <f t="shared" si="61"/>
        <v>0</v>
      </c>
      <c r="AD112" s="180">
        <f t="shared" si="62"/>
        <v>6691888</v>
      </c>
      <c r="AE112" s="178">
        <f t="shared" si="63"/>
        <v>535351.04000000004</v>
      </c>
      <c r="AF112" s="178">
        <f t="shared" si="64"/>
        <v>100378.31999999999</v>
      </c>
      <c r="AG112" s="178">
        <f t="shared" si="65"/>
        <v>66918.880000000005</v>
      </c>
      <c r="AH112" s="178"/>
      <c r="AI112" s="178">
        <f t="shared" si="66"/>
        <v>702648.24</v>
      </c>
      <c r="AJ112" s="192"/>
      <c r="AK112" s="182">
        <f t="shared" si="67"/>
        <v>0</v>
      </c>
      <c r="AL112" s="182"/>
      <c r="AM112" s="182"/>
      <c r="AN112" s="193">
        <f t="shared" si="68"/>
        <v>4.01</v>
      </c>
      <c r="AO112" s="246">
        <v>0.45</v>
      </c>
      <c r="AP112" s="194">
        <f t="shared" si="73"/>
        <v>1.8045</v>
      </c>
      <c r="AQ112" s="178">
        <f t="shared" si="69"/>
        <v>2688705</v>
      </c>
      <c r="AR112" s="178"/>
      <c r="AS112" s="178">
        <f t="shared" si="70"/>
        <v>8677945</v>
      </c>
      <c r="AT112" s="469" t="str">
        <f t="shared" si="71"/>
        <v>94</v>
      </c>
      <c r="AU112" s="195"/>
      <c r="AV112" s="198" t="s">
        <v>710</v>
      </c>
    </row>
    <row r="113" spans="1:48" s="189" customFormat="1" ht="33.75" customHeight="1" x14ac:dyDescent="0.25">
      <c r="A113" s="168" t="s">
        <v>1127</v>
      </c>
      <c r="B113" s="168" t="str">
        <f>VLOOKUP(D113,[1]LuongBC_T01!$B$9:$C$292,2,FALSE)</f>
        <v>0016100006761008</v>
      </c>
      <c r="C113" s="199" t="s">
        <v>914</v>
      </c>
      <c r="D113" s="169" t="s">
        <v>307</v>
      </c>
      <c r="E113" s="263" t="s">
        <v>1388</v>
      </c>
      <c r="F113" s="169" t="s">
        <v>549</v>
      </c>
      <c r="G113" s="200"/>
      <c r="H113" s="200" t="s">
        <v>283</v>
      </c>
      <c r="I113" s="170" t="s">
        <v>283</v>
      </c>
      <c r="J113" s="169" t="s">
        <v>536</v>
      </c>
      <c r="K113" s="168" t="s">
        <v>1359</v>
      </c>
      <c r="L113" s="201" t="s">
        <v>686</v>
      </c>
      <c r="M113" s="201" t="s">
        <v>914</v>
      </c>
      <c r="N113" s="390" t="s">
        <v>1438</v>
      </c>
      <c r="O113" s="172" t="s">
        <v>692</v>
      </c>
      <c r="P113" s="173">
        <v>3</v>
      </c>
      <c r="Q113" s="174">
        <v>3.33</v>
      </c>
      <c r="R113" s="176">
        <f t="shared" si="55"/>
        <v>0.75479999999999992</v>
      </c>
      <c r="S113" s="370"/>
      <c r="T113" s="176">
        <f t="shared" si="56"/>
        <v>0</v>
      </c>
      <c r="U113" s="175">
        <f t="shared" si="57"/>
        <v>0</v>
      </c>
      <c r="V113" s="170">
        <v>0.35</v>
      </c>
      <c r="W113" s="179">
        <v>0.11</v>
      </c>
      <c r="X113" s="216">
        <f t="shared" si="58"/>
        <v>0.40479999999999999</v>
      </c>
      <c r="Y113" s="216">
        <f t="shared" si="59"/>
        <v>4.0848000000000004</v>
      </c>
      <c r="Z113" s="180">
        <f t="shared" si="60"/>
        <v>6086352</v>
      </c>
      <c r="AA113" s="180"/>
      <c r="AB113" s="180">
        <f t="shared" si="72"/>
        <v>0</v>
      </c>
      <c r="AC113" s="180">
        <f t="shared" si="61"/>
        <v>0</v>
      </c>
      <c r="AD113" s="180">
        <f t="shared" si="62"/>
        <v>6086352</v>
      </c>
      <c r="AE113" s="178">
        <f t="shared" si="63"/>
        <v>486908.16000000003</v>
      </c>
      <c r="AF113" s="178">
        <f t="shared" si="64"/>
        <v>91295.28</v>
      </c>
      <c r="AG113" s="178">
        <f t="shared" si="65"/>
        <v>60863.520000000004</v>
      </c>
      <c r="AH113" s="178"/>
      <c r="AI113" s="178">
        <f t="shared" si="66"/>
        <v>639066.96000000008</v>
      </c>
      <c r="AJ113" s="192"/>
      <c r="AK113" s="182">
        <f t="shared" si="67"/>
        <v>0</v>
      </c>
      <c r="AL113" s="182"/>
      <c r="AM113" s="182"/>
      <c r="AN113" s="193">
        <f t="shared" si="68"/>
        <v>3.68</v>
      </c>
      <c r="AO113" s="246">
        <v>0.25</v>
      </c>
      <c r="AP113" s="194">
        <f t="shared" si="73"/>
        <v>0.92</v>
      </c>
      <c r="AQ113" s="178">
        <f t="shared" si="69"/>
        <v>1370800</v>
      </c>
      <c r="AR113" s="178"/>
      <c r="AS113" s="178">
        <f t="shared" si="70"/>
        <v>6818085</v>
      </c>
      <c r="AT113" s="469" t="str">
        <f t="shared" si="71"/>
        <v>95</v>
      </c>
      <c r="AU113" s="195"/>
      <c r="AV113" s="198" t="s">
        <v>709</v>
      </c>
    </row>
    <row r="114" spans="1:48" s="189" customFormat="1" ht="30" customHeight="1" x14ac:dyDescent="0.25">
      <c r="A114" s="168" t="s">
        <v>394</v>
      </c>
      <c r="B114" s="168" t="str">
        <f>VLOOKUP(D114,[1]LuongBC_T01!$B$9:$C$292,2,FALSE)</f>
        <v>0016100006539003</v>
      </c>
      <c r="C114" s="199" t="s">
        <v>968</v>
      </c>
      <c r="D114" s="169" t="s">
        <v>65</v>
      </c>
      <c r="E114" s="263" t="s">
        <v>1466</v>
      </c>
      <c r="F114" s="169" t="s">
        <v>549</v>
      </c>
      <c r="G114" s="200" t="s">
        <v>25</v>
      </c>
      <c r="H114" s="200"/>
      <c r="I114" s="170" t="s">
        <v>283</v>
      </c>
      <c r="J114" s="169" t="s">
        <v>248</v>
      </c>
      <c r="K114" s="170" t="str">
        <f>VLOOKUP(D114,[2]T3!$B$2:$D$328,3,FALSE)</f>
        <v>024673300</v>
      </c>
      <c r="L114" s="171" t="s">
        <v>148</v>
      </c>
      <c r="M114" s="171" t="s">
        <v>968</v>
      </c>
      <c r="N114" s="390" t="s">
        <v>1438</v>
      </c>
      <c r="O114" s="172" t="s">
        <v>692</v>
      </c>
      <c r="P114" s="173">
        <v>4</v>
      </c>
      <c r="Q114" s="174">
        <v>3.66</v>
      </c>
      <c r="R114" s="176">
        <f t="shared" si="55"/>
        <v>0.67079999999999995</v>
      </c>
      <c r="S114" s="370"/>
      <c r="T114" s="176">
        <f t="shared" si="56"/>
        <v>0</v>
      </c>
      <c r="U114" s="175">
        <f>Q114*S114*$D$8/100</f>
        <v>0</v>
      </c>
      <c r="V114" s="170">
        <v>0.35</v>
      </c>
      <c r="W114" s="179">
        <v>0.08</v>
      </c>
      <c r="X114" s="216">
        <f t="shared" si="58"/>
        <v>0.32079999999999997</v>
      </c>
      <c r="Y114" s="216">
        <f t="shared" si="59"/>
        <v>4.3308</v>
      </c>
      <c r="Z114" s="180">
        <f>ROUND(Y114*$D$8,0)</f>
        <v>6452892</v>
      </c>
      <c r="AA114" s="180"/>
      <c r="AB114" s="180">
        <f t="shared" si="72"/>
        <v>0</v>
      </c>
      <c r="AC114" s="180">
        <f>Z114/24*AA114*75%</f>
        <v>0</v>
      </c>
      <c r="AD114" s="180">
        <f t="shared" si="62"/>
        <v>6452892</v>
      </c>
      <c r="AE114" s="178">
        <f>Z114*8%</f>
        <v>516231.36</v>
      </c>
      <c r="AF114" s="178">
        <f>Z114*1.5%</f>
        <v>96793.37999999999</v>
      </c>
      <c r="AG114" s="178">
        <f>Z114*1%</f>
        <v>64528.92</v>
      </c>
      <c r="AH114" s="178"/>
      <c r="AI114" s="178">
        <f t="shared" si="66"/>
        <v>677553.66</v>
      </c>
      <c r="AJ114" s="192"/>
      <c r="AK114" s="182">
        <f>AJ114*$D$8</f>
        <v>0</v>
      </c>
      <c r="AL114" s="182"/>
      <c r="AM114" s="182"/>
      <c r="AN114" s="193">
        <f>Q114+T114+V114</f>
        <v>4.01</v>
      </c>
      <c r="AO114" s="246">
        <v>0.25</v>
      </c>
      <c r="AP114" s="194">
        <f t="shared" si="73"/>
        <v>1.0024999999999999</v>
      </c>
      <c r="AQ114" s="178">
        <f t="shared" si="69"/>
        <v>1493725</v>
      </c>
      <c r="AR114" s="178"/>
      <c r="AS114" s="178">
        <f>ROUND(AD114-AI114+AK114+AM114+AQ114,0)</f>
        <v>7269063</v>
      </c>
      <c r="AT114" s="469" t="str">
        <f>A114</f>
        <v>96</v>
      </c>
      <c r="AU114" s="195"/>
      <c r="AV114" s="187" t="s">
        <v>705</v>
      </c>
    </row>
    <row r="115" spans="1:48" s="189" customFormat="1" ht="44.25" customHeight="1" x14ac:dyDescent="0.25">
      <c r="A115" s="168" t="s">
        <v>1115</v>
      </c>
      <c r="B115" s="168" t="str">
        <f>VLOOKUP(D115,[1]LuongBC_T01!$B$9:$C$292,2,FALSE)</f>
        <v>0008100002629007</v>
      </c>
      <c r="C115" s="199" t="s">
        <v>1000</v>
      </c>
      <c r="D115" s="230" t="s">
        <v>557</v>
      </c>
      <c r="E115" s="263" t="s">
        <v>1260</v>
      </c>
      <c r="F115" s="231"/>
      <c r="G115" s="231"/>
      <c r="H115" s="200" t="s">
        <v>283</v>
      </c>
      <c r="I115" s="200" t="s">
        <v>283</v>
      </c>
      <c r="J115" s="231"/>
      <c r="K115" s="170" t="str">
        <f>VLOOKUP(D115,[2]T3!$B$2:$D$328,3,FALSE)</f>
        <v>025624118</v>
      </c>
      <c r="L115" s="231"/>
      <c r="M115" s="231" t="s">
        <v>1000</v>
      </c>
      <c r="N115" s="390" t="s">
        <v>1438</v>
      </c>
      <c r="O115" s="170" t="s">
        <v>692</v>
      </c>
      <c r="P115" s="170">
        <v>3</v>
      </c>
      <c r="Q115" s="177">
        <v>3.33</v>
      </c>
      <c r="R115" s="176">
        <f t="shared" si="55"/>
        <v>0.60759999999999992</v>
      </c>
      <c r="S115" s="169"/>
      <c r="T115" s="176">
        <f t="shared" si="56"/>
        <v>0</v>
      </c>
      <c r="U115" s="175">
        <f>Q115*S115*$D$8/100</f>
        <v>0</v>
      </c>
      <c r="V115" s="711">
        <v>0.35</v>
      </c>
      <c r="W115" s="179">
        <f>VLOOKUP(D115,[3]BC!$D$14:$W$287,20,FALSE)</f>
        <v>7.0000000000000007E-2</v>
      </c>
      <c r="X115" s="216">
        <f t="shared" si="58"/>
        <v>0.2576</v>
      </c>
      <c r="Y115" s="216">
        <f t="shared" si="59"/>
        <v>3.9376000000000002</v>
      </c>
      <c r="Z115" s="180">
        <f t="shared" si="60"/>
        <v>5867024</v>
      </c>
      <c r="AA115" s="180"/>
      <c r="AB115" s="180">
        <f t="shared" si="72"/>
        <v>0</v>
      </c>
      <c r="AC115" s="180">
        <f>Z115/24*AA115*75%</f>
        <v>0</v>
      </c>
      <c r="AD115" s="180">
        <f t="shared" si="62"/>
        <v>5867024</v>
      </c>
      <c r="AE115" s="178">
        <f t="shared" si="63"/>
        <v>469361.91999999998</v>
      </c>
      <c r="AF115" s="178">
        <f t="shared" si="64"/>
        <v>88005.36</v>
      </c>
      <c r="AG115" s="178">
        <f t="shared" si="65"/>
        <v>58670.239999999998</v>
      </c>
      <c r="AH115" s="178"/>
      <c r="AI115" s="178">
        <f t="shared" si="66"/>
        <v>616037.52</v>
      </c>
      <c r="AJ115" s="192"/>
      <c r="AK115" s="182">
        <f>AJ115*$D$8</f>
        <v>0</v>
      </c>
      <c r="AL115" s="182"/>
      <c r="AM115" s="182"/>
      <c r="AN115" s="183">
        <f t="shared" si="68"/>
        <v>3.68</v>
      </c>
      <c r="AO115" s="246">
        <v>0.25</v>
      </c>
      <c r="AP115" s="194">
        <f t="shared" si="73"/>
        <v>0.92</v>
      </c>
      <c r="AQ115" s="178">
        <f t="shared" si="69"/>
        <v>1370800</v>
      </c>
      <c r="AR115" s="178"/>
      <c r="AS115" s="178">
        <f t="shared" si="70"/>
        <v>6621786</v>
      </c>
      <c r="AT115" s="469" t="str">
        <f t="shared" si="71"/>
        <v>97</v>
      </c>
      <c r="AU115" s="195" t="s">
        <v>1468</v>
      </c>
      <c r="AV115" s="198" t="s">
        <v>711</v>
      </c>
    </row>
    <row r="116" spans="1:48" s="189" customFormat="1" ht="25.5" x14ac:dyDescent="0.25">
      <c r="A116" s="168" t="s">
        <v>395</v>
      </c>
      <c r="B116" s="168" t="str">
        <f>VLOOKUP(D116,[1]LuongBC_T01!$B$9:$C$292,2,FALSE)</f>
        <v>0016100007211001</v>
      </c>
      <c r="C116" s="170" t="s">
        <v>1318</v>
      </c>
      <c r="D116" s="169" t="s">
        <v>1281</v>
      </c>
      <c r="E116" s="263" t="s">
        <v>1371</v>
      </c>
      <c r="F116" s="169"/>
      <c r="G116" s="170"/>
      <c r="H116" s="170"/>
      <c r="I116" s="170"/>
      <c r="J116" s="169"/>
      <c r="K116" s="170" t="str">
        <f>VLOOKUP(D116,[2]T3!$B$2:$D$328,3,FALSE)</f>
        <v>240895328</v>
      </c>
      <c r="L116" s="249"/>
      <c r="M116" s="249"/>
      <c r="N116" s="390" t="s">
        <v>1438</v>
      </c>
      <c r="O116" s="222"/>
      <c r="P116" s="172"/>
      <c r="Q116" s="174">
        <v>3.33</v>
      </c>
      <c r="R116" s="176">
        <f t="shared" si="55"/>
        <v>0.68120000000000003</v>
      </c>
      <c r="S116" s="370"/>
      <c r="T116" s="176">
        <f t="shared" si="56"/>
        <v>0</v>
      </c>
      <c r="U116" s="175"/>
      <c r="V116" s="170">
        <v>0.35</v>
      </c>
      <c r="W116" s="179">
        <f>VLOOKUP(D116,[3]BC!$D$14:$W$287,20,FALSE)</f>
        <v>0.09</v>
      </c>
      <c r="X116" s="216">
        <f t="shared" si="58"/>
        <v>0.33119999999999999</v>
      </c>
      <c r="Y116" s="216">
        <f t="shared" si="59"/>
        <v>4.0112000000000005</v>
      </c>
      <c r="Z116" s="180">
        <f t="shared" si="60"/>
        <v>5976688</v>
      </c>
      <c r="AA116" s="180"/>
      <c r="AB116" s="180">
        <f t="shared" si="72"/>
        <v>0</v>
      </c>
      <c r="AC116" s="180"/>
      <c r="AD116" s="180">
        <f t="shared" si="62"/>
        <v>5976688</v>
      </c>
      <c r="AE116" s="178">
        <f t="shared" si="63"/>
        <v>478135.04000000004</v>
      </c>
      <c r="AF116" s="178">
        <f t="shared" si="64"/>
        <v>89650.319999999992</v>
      </c>
      <c r="AG116" s="178">
        <f t="shared" si="65"/>
        <v>59766.880000000005</v>
      </c>
      <c r="AH116" s="178"/>
      <c r="AI116" s="178">
        <f t="shared" si="66"/>
        <v>627552.24</v>
      </c>
      <c r="AJ116" s="192"/>
      <c r="AK116" s="182"/>
      <c r="AL116" s="182"/>
      <c r="AM116" s="182"/>
      <c r="AN116" s="183">
        <f t="shared" si="68"/>
        <v>3.68</v>
      </c>
      <c r="AO116" s="179">
        <v>0.25</v>
      </c>
      <c r="AP116" s="194">
        <f t="shared" si="73"/>
        <v>0.92</v>
      </c>
      <c r="AQ116" s="178">
        <f t="shared" si="69"/>
        <v>1370800</v>
      </c>
      <c r="AR116" s="178"/>
      <c r="AS116" s="178">
        <f t="shared" si="70"/>
        <v>6719936</v>
      </c>
      <c r="AT116" s="469" t="str">
        <f t="shared" si="71"/>
        <v>98</v>
      </c>
      <c r="AU116" s="244"/>
      <c r="AV116" s="242"/>
    </row>
    <row r="117" spans="1:48" s="189" customFormat="1" ht="47.25" customHeight="1" x14ac:dyDescent="0.25">
      <c r="A117" s="168" t="s">
        <v>396</v>
      </c>
      <c r="B117" s="168" t="str">
        <f>VLOOKUP(D117,[1]LuongBC_T01!$B$9:$C$292,2,FALSE)</f>
        <v>0016100007759007</v>
      </c>
      <c r="C117" s="170" t="s">
        <v>1315</v>
      </c>
      <c r="D117" s="169" t="s">
        <v>1296</v>
      </c>
      <c r="E117" s="263" t="s">
        <v>1453</v>
      </c>
      <c r="F117" s="220"/>
      <c r="G117" s="220"/>
      <c r="H117" s="220"/>
      <c r="I117" s="220"/>
      <c r="J117" s="220"/>
      <c r="K117" s="170" t="str">
        <f>VLOOKUP(D117,[2]T3!$B$2:$D$328,3,FALSE)</f>
        <v>300881563</v>
      </c>
      <c r="L117" s="220"/>
      <c r="M117" s="170"/>
      <c r="N117" s="390" t="s">
        <v>1438</v>
      </c>
      <c r="O117" s="251"/>
      <c r="P117" s="251"/>
      <c r="Q117" s="177">
        <v>3.33</v>
      </c>
      <c r="R117" s="176">
        <f t="shared" si="55"/>
        <v>0.93879999999999997</v>
      </c>
      <c r="S117" s="220"/>
      <c r="T117" s="176">
        <f>ROUND(Q117*S117/100,4)</f>
        <v>0</v>
      </c>
      <c r="U117" s="175"/>
      <c r="V117" s="170">
        <v>0.35</v>
      </c>
      <c r="W117" s="179">
        <f>VLOOKUP(D117,[3]BC!$D$14:$W$287,20,FALSE)</f>
        <v>0.16</v>
      </c>
      <c r="X117" s="216">
        <f>ROUND((Q117+T117+V117)*W117,4)</f>
        <v>0.58879999999999999</v>
      </c>
      <c r="Y117" s="216">
        <f>Q117+T117+V117+X117</f>
        <v>4.2688000000000006</v>
      </c>
      <c r="Z117" s="180">
        <f>ROUND(Y117*$D$8,0)</f>
        <v>6360512</v>
      </c>
      <c r="AA117" s="180"/>
      <c r="AB117" s="180">
        <f>Z117/24*AA117</f>
        <v>0</v>
      </c>
      <c r="AC117" s="180">
        <f>Z117/24*AA117*75%</f>
        <v>0</v>
      </c>
      <c r="AD117" s="180">
        <f>ROUND(Z117-AB117+AC117,0)</f>
        <v>6360512</v>
      </c>
      <c r="AE117" s="178">
        <f>Z117*8%</f>
        <v>508840.96000000002</v>
      </c>
      <c r="AF117" s="178">
        <f>Z117*1.5%</f>
        <v>95407.679999999993</v>
      </c>
      <c r="AG117" s="178">
        <f>Z117*1%</f>
        <v>63605.120000000003</v>
      </c>
      <c r="AH117" s="178"/>
      <c r="AI117" s="178">
        <f>SUM(AE117:AH117)</f>
        <v>667853.76</v>
      </c>
      <c r="AJ117" s="192"/>
      <c r="AK117" s="182"/>
      <c r="AL117" s="182"/>
      <c r="AM117" s="182"/>
      <c r="AN117" s="183">
        <f>Q117+T117+V117</f>
        <v>3.68</v>
      </c>
      <c r="AO117" s="246">
        <v>0.25</v>
      </c>
      <c r="AP117" s="185">
        <f>ROUND(AN117*AO117,4)</f>
        <v>0.92</v>
      </c>
      <c r="AQ117" s="178">
        <f>ROUND(AP117*$D$8,0)</f>
        <v>1370800</v>
      </c>
      <c r="AR117" s="178"/>
      <c r="AS117" s="178">
        <f>ROUND(AD117-AI117+AK117+AM117+AQ117,0)</f>
        <v>7063458</v>
      </c>
      <c r="AT117" s="469" t="str">
        <f>A117</f>
        <v>99</v>
      </c>
      <c r="AU117" s="195"/>
      <c r="AV117" s="485"/>
    </row>
    <row r="118" spans="1:48" s="189" customFormat="1" ht="33.75" customHeight="1" x14ac:dyDescent="0.25">
      <c r="A118" s="168" t="s">
        <v>397</v>
      </c>
      <c r="B118" s="168" t="str">
        <f>VLOOKUP(D118,[1]LuongBC_T01!$B$9:$C$292,2,FALSE)</f>
        <v>0016100006587008</v>
      </c>
      <c r="C118" s="199" t="s">
        <v>917</v>
      </c>
      <c r="D118" s="230" t="s">
        <v>766</v>
      </c>
      <c r="E118" s="263" t="s">
        <v>1387</v>
      </c>
      <c r="F118" s="231"/>
      <c r="G118" s="231"/>
      <c r="H118" s="231"/>
      <c r="I118" s="231"/>
      <c r="J118" s="231"/>
      <c r="K118" s="170" t="str">
        <f>VLOOKUP(D118,[2]T3!$B$2:$D$328,3,FALSE)</f>
        <v>020750459</v>
      </c>
      <c r="L118" s="226" t="s">
        <v>793</v>
      </c>
      <c r="M118" s="226" t="s">
        <v>917</v>
      </c>
      <c r="N118" s="393" t="s">
        <v>807</v>
      </c>
      <c r="O118" s="170" t="s">
        <v>692</v>
      </c>
      <c r="P118" s="170">
        <v>3</v>
      </c>
      <c r="Q118" s="177">
        <v>3.33</v>
      </c>
      <c r="R118" s="176">
        <f t="shared" si="55"/>
        <v>0.57079999999999997</v>
      </c>
      <c r="S118" s="169"/>
      <c r="T118" s="176">
        <f t="shared" si="56"/>
        <v>0</v>
      </c>
      <c r="U118" s="175"/>
      <c r="V118" s="170">
        <v>0.35</v>
      </c>
      <c r="W118" s="179">
        <v>0.06</v>
      </c>
      <c r="X118" s="216">
        <f t="shared" si="58"/>
        <v>0.2208</v>
      </c>
      <c r="Y118" s="216">
        <f t="shared" si="59"/>
        <v>3.9008000000000003</v>
      </c>
      <c r="Z118" s="180">
        <f>ROUND(Y118*$D$8,0)</f>
        <v>5812192</v>
      </c>
      <c r="AA118" s="180"/>
      <c r="AB118" s="180">
        <f t="shared" si="72"/>
        <v>0</v>
      </c>
      <c r="AC118" s="180">
        <f>Z118/24*AA118*75%</f>
        <v>0</v>
      </c>
      <c r="AD118" s="180">
        <f t="shared" si="62"/>
        <v>5812192</v>
      </c>
      <c r="AE118" s="178">
        <f>Z118*8%</f>
        <v>464975.35999999999</v>
      </c>
      <c r="AF118" s="178">
        <f>Z118*1.5%</f>
        <v>87182.87999999999</v>
      </c>
      <c r="AG118" s="178">
        <f>Z118*1%</f>
        <v>58121.919999999998</v>
      </c>
      <c r="AH118" s="178"/>
      <c r="AI118" s="178">
        <f t="shared" si="66"/>
        <v>610280.16</v>
      </c>
      <c r="AJ118" s="192"/>
      <c r="AK118" s="182">
        <f>AJ118*$D$8</f>
        <v>0</v>
      </c>
      <c r="AL118" s="182"/>
      <c r="AM118" s="182"/>
      <c r="AN118" s="183">
        <f>Q118+T118+V118</f>
        <v>3.68</v>
      </c>
      <c r="AO118" s="246">
        <v>0.25</v>
      </c>
      <c r="AP118" s="194">
        <f t="shared" si="73"/>
        <v>0.92</v>
      </c>
      <c r="AQ118" s="178">
        <f t="shared" si="69"/>
        <v>1370800</v>
      </c>
      <c r="AR118" s="178"/>
      <c r="AS118" s="178">
        <f>ROUND(AD118-AI118+AK118+AM118+AQ118,0)</f>
        <v>6572712</v>
      </c>
      <c r="AT118" s="469" t="str">
        <f>A118</f>
        <v>100</v>
      </c>
      <c r="AU118" s="195"/>
      <c r="AV118" s="196"/>
    </row>
    <row r="119" spans="1:48" s="189" customFormat="1" ht="27.75" customHeight="1" x14ac:dyDescent="0.25">
      <c r="A119" s="168" t="s">
        <v>398</v>
      </c>
      <c r="B119" s="168" t="str">
        <f>VLOOKUP(D119,[1]LuongBC_T01!$B$9:$C$292,2,FALSE)</f>
        <v>0016100006630008</v>
      </c>
      <c r="C119" s="199" t="s">
        <v>1011</v>
      </c>
      <c r="D119" s="230" t="s">
        <v>560</v>
      </c>
      <c r="E119" s="263" t="s">
        <v>1463</v>
      </c>
      <c r="F119" s="231"/>
      <c r="G119" s="231"/>
      <c r="H119" s="231"/>
      <c r="I119" s="231"/>
      <c r="J119" s="231"/>
      <c r="K119" s="170" t="str">
        <f>VLOOKUP(D119,[2]T3!$B$2:$D$328,3,FALSE)</f>
        <v>025076575</v>
      </c>
      <c r="L119" s="226" t="s">
        <v>744</v>
      </c>
      <c r="M119" s="226" t="s">
        <v>1011</v>
      </c>
      <c r="N119" s="390" t="s">
        <v>1438</v>
      </c>
      <c r="O119" s="170" t="s">
        <v>692</v>
      </c>
      <c r="P119" s="170">
        <v>2</v>
      </c>
      <c r="Q119" s="177">
        <v>3</v>
      </c>
      <c r="R119" s="176">
        <f t="shared" si="55"/>
        <v>0.6915</v>
      </c>
      <c r="S119" s="169"/>
      <c r="T119" s="176">
        <f t="shared" si="56"/>
        <v>0</v>
      </c>
      <c r="U119" s="175">
        <f>Q119*S119*$D$8/100</f>
        <v>0</v>
      </c>
      <c r="V119" s="177">
        <v>0.45</v>
      </c>
      <c r="W119" s="179">
        <v>7.0000000000000007E-2</v>
      </c>
      <c r="X119" s="216">
        <f t="shared" si="58"/>
        <v>0.24149999999999999</v>
      </c>
      <c r="Y119" s="216">
        <f t="shared" si="59"/>
        <v>3.6915</v>
      </c>
      <c r="Z119" s="180">
        <f t="shared" si="60"/>
        <v>5500335</v>
      </c>
      <c r="AA119" s="180"/>
      <c r="AB119" s="180">
        <f t="shared" si="72"/>
        <v>0</v>
      </c>
      <c r="AC119" s="180">
        <f>Z119/24*AA119*75%</f>
        <v>0</v>
      </c>
      <c r="AD119" s="180">
        <f t="shared" si="62"/>
        <v>5500335</v>
      </c>
      <c r="AE119" s="178">
        <f t="shared" si="63"/>
        <v>440026.8</v>
      </c>
      <c r="AF119" s="178">
        <f t="shared" si="64"/>
        <v>82505.024999999994</v>
      </c>
      <c r="AG119" s="178">
        <f t="shared" si="65"/>
        <v>55003.35</v>
      </c>
      <c r="AH119" s="178"/>
      <c r="AI119" s="178">
        <f t="shared" si="66"/>
        <v>577535.17499999993</v>
      </c>
      <c r="AJ119" s="192"/>
      <c r="AK119" s="182">
        <f>AJ119*$D$8</f>
        <v>0</v>
      </c>
      <c r="AL119" s="182"/>
      <c r="AM119" s="182"/>
      <c r="AN119" s="183">
        <f t="shared" si="68"/>
        <v>3.45</v>
      </c>
      <c r="AO119" s="246">
        <v>0.25</v>
      </c>
      <c r="AP119" s="194">
        <f t="shared" si="73"/>
        <v>0.86250000000000004</v>
      </c>
      <c r="AQ119" s="178">
        <f t="shared" si="69"/>
        <v>1285125</v>
      </c>
      <c r="AR119" s="178"/>
      <c r="AS119" s="178">
        <f t="shared" si="70"/>
        <v>6207925</v>
      </c>
      <c r="AT119" s="469" t="str">
        <f t="shared" si="71"/>
        <v>101</v>
      </c>
      <c r="AU119" s="195"/>
      <c r="AV119" s="198" t="s">
        <v>708</v>
      </c>
    </row>
    <row r="120" spans="1:48" s="189" customFormat="1" ht="25.5" x14ac:dyDescent="0.25">
      <c r="A120" s="168" t="s">
        <v>399</v>
      </c>
      <c r="B120" s="168" t="str">
        <f>VLOOKUP(D120,[1]LuongBC_T01!$B$9:$C$292,2,FALSE)</f>
        <v>0016100006558008</v>
      </c>
      <c r="C120" s="170" t="s">
        <v>1321</v>
      </c>
      <c r="D120" s="169" t="s">
        <v>1097</v>
      </c>
      <c r="E120" s="263" t="s">
        <v>1386</v>
      </c>
      <c r="F120" s="220"/>
      <c r="G120" s="220"/>
      <c r="H120" s="220"/>
      <c r="I120" s="220"/>
      <c r="J120" s="220"/>
      <c r="K120" s="170" t="str">
        <f>VLOOKUP(D120,[2]T3!$B$2:$D$328,3,FALSE)</f>
        <v>142482490</v>
      </c>
      <c r="L120" s="220"/>
      <c r="M120" s="170"/>
      <c r="N120" s="390" t="s">
        <v>1438</v>
      </c>
      <c r="O120" s="170"/>
      <c r="P120" s="170">
        <v>2</v>
      </c>
      <c r="Q120" s="177">
        <v>3</v>
      </c>
      <c r="R120" s="176">
        <f t="shared" si="55"/>
        <v>0.35</v>
      </c>
      <c r="S120" s="220"/>
      <c r="T120" s="176">
        <f t="shared" si="56"/>
        <v>0</v>
      </c>
      <c r="U120" s="175">
        <f>Q120*S120*$D$8/100</f>
        <v>0</v>
      </c>
      <c r="V120" s="177">
        <v>0.35</v>
      </c>
      <c r="W120" s="179">
        <f>VLOOKUP(D120,[3]BC!$D$14:$W$287,20,FALSE)</f>
        <v>0</v>
      </c>
      <c r="X120" s="216">
        <f t="shared" si="58"/>
        <v>0</v>
      </c>
      <c r="Y120" s="216">
        <f t="shared" si="59"/>
        <v>3.35</v>
      </c>
      <c r="Z120" s="180">
        <f t="shared" si="60"/>
        <v>4991500</v>
      </c>
      <c r="AA120" s="180"/>
      <c r="AB120" s="180">
        <f t="shared" si="72"/>
        <v>0</v>
      </c>
      <c r="AC120" s="180">
        <f>Z120/24*AA120*75%</f>
        <v>0</v>
      </c>
      <c r="AD120" s="180">
        <f t="shared" si="62"/>
        <v>4991500</v>
      </c>
      <c r="AE120" s="178">
        <f t="shared" si="63"/>
        <v>399320</v>
      </c>
      <c r="AF120" s="178">
        <f t="shared" si="64"/>
        <v>74872.5</v>
      </c>
      <c r="AG120" s="178">
        <f t="shared" si="65"/>
        <v>49915</v>
      </c>
      <c r="AH120" s="178"/>
      <c r="AI120" s="178">
        <f t="shared" si="66"/>
        <v>524107.5</v>
      </c>
      <c r="AJ120" s="192"/>
      <c r="AK120" s="182">
        <f>AJ120*$D$8</f>
        <v>0</v>
      </c>
      <c r="AL120" s="182"/>
      <c r="AM120" s="182"/>
      <c r="AN120" s="183">
        <f t="shared" si="68"/>
        <v>3.35</v>
      </c>
      <c r="AO120" s="246">
        <v>0.25</v>
      </c>
      <c r="AP120" s="185">
        <f t="shared" si="73"/>
        <v>0.83750000000000002</v>
      </c>
      <c r="AQ120" s="178">
        <f t="shared" si="69"/>
        <v>1247875</v>
      </c>
      <c r="AR120" s="178"/>
      <c r="AS120" s="178">
        <f>ROUND(AD120-AI120+AK120+AM120+AQ120,0)-1</f>
        <v>5715267</v>
      </c>
      <c r="AT120" s="469" t="str">
        <f t="shared" si="71"/>
        <v>102</v>
      </c>
      <c r="AU120" s="195"/>
      <c r="AV120" s="198"/>
    </row>
    <row r="121" spans="1:48" s="189" customFormat="1" ht="31.5" customHeight="1" x14ac:dyDescent="0.25">
      <c r="A121" s="168" t="s">
        <v>400</v>
      </c>
      <c r="B121" s="168" t="str">
        <f>VLOOKUP(D121,[1]LuongBC_T01!$B$9:$C$292,2,FALSE)</f>
        <v>0016100006608005</v>
      </c>
      <c r="C121" s="199" t="s">
        <v>942</v>
      </c>
      <c r="D121" s="169" t="s">
        <v>818</v>
      </c>
      <c r="E121" s="263" t="s">
        <v>1247</v>
      </c>
      <c r="F121" s="169"/>
      <c r="G121" s="170"/>
      <c r="H121" s="170"/>
      <c r="I121" s="170"/>
      <c r="J121" s="169"/>
      <c r="K121" s="170" t="str">
        <f>VLOOKUP(D121,[2]T3!$B$2:$D$328,3,FALSE)</f>
        <v>022962107</v>
      </c>
      <c r="L121" s="249"/>
      <c r="M121" s="249" t="s">
        <v>942</v>
      </c>
      <c r="N121" s="390" t="s">
        <v>1438</v>
      </c>
      <c r="O121" s="222" t="s">
        <v>692</v>
      </c>
      <c r="P121" s="172">
        <v>4</v>
      </c>
      <c r="Q121" s="174">
        <v>3.66</v>
      </c>
      <c r="R121" s="176">
        <f>T121+V121+X121</f>
        <v>0.87129999999999996</v>
      </c>
      <c r="S121" s="370"/>
      <c r="T121" s="176">
        <f>ROUND(Q121*S121/100,4)</f>
        <v>0</v>
      </c>
      <c r="U121" s="175">
        <f>Q121*S121*$D$8/100</f>
        <v>0</v>
      </c>
      <c r="V121" s="170">
        <v>0.35</v>
      </c>
      <c r="W121" s="179">
        <f>VLOOKUP(D121,[3]BC!$D$14:$W$287,20,FALSE)</f>
        <v>0.13</v>
      </c>
      <c r="X121" s="216">
        <f>ROUND((Q121+T121+V121)*W121,4)</f>
        <v>0.52129999999999999</v>
      </c>
      <c r="Y121" s="216">
        <f>Q121+T121+V121+X121</f>
        <v>4.5312999999999999</v>
      </c>
      <c r="Z121" s="180">
        <f>ROUND(Y121*$D$8,0)</f>
        <v>6751637</v>
      </c>
      <c r="AA121" s="180"/>
      <c r="AB121" s="180">
        <f>Z121/24*AA121</f>
        <v>0</v>
      </c>
      <c r="AC121" s="180">
        <f>Z121/24*AA121*75%</f>
        <v>0</v>
      </c>
      <c r="AD121" s="180">
        <f>ROUND(Z121-AB121+AC121,0)</f>
        <v>6751637</v>
      </c>
      <c r="AE121" s="178">
        <f>Z121*8%</f>
        <v>540130.96</v>
      </c>
      <c r="AF121" s="178">
        <f>Z121*1.5%</f>
        <v>101274.55499999999</v>
      </c>
      <c r="AG121" s="178">
        <f>Z121*1%</f>
        <v>67516.37</v>
      </c>
      <c r="AH121" s="178"/>
      <c r="AI121" s="178">
        <f>SUM(AE121:AH121)</f>
        <v>708921.88499999989</v>
      </c>
      <c r="AJ121" s="192"/>
      <c r="AK121" s="182">
        <f>AJ121*$D$8</f>
        <v>0</v>
      </c>
      <c r="AL121" s="182"/>
      <c r="AM121" s="182"/>
      <c r="AN121" s="193">
        <f>Q121+T121+V121</f>
        <v>4.01</v>
      </c>
      <c r="AO121" s="246">
        <v>0.25</v>
      </c>
      <c r="AP121" s="194">
        <f>ROUND(AN121*AO121,4)</f>
        <v>1.0024999999999999</v>
      </c>
      <c r="AQ121" s="178">
        <f>ROUND(AP121*$D$8,0)</f>
        <v>1493725</v>
      </c>
      <c r="AR121" s="178"/>
      <c r="AS121" s="178">
        <f>ROUND(AD121-AI121+AK121+AM121+AQ121,0)</f>
        <v>7536440</v>
      </c>
      <c r="AT121" s="469" t="str">
        <f>A121</f>
        <v>103</v>
      </c>
      <c r="AU121" s="244"/>
      <c r="AV121" s="242"/>
    </row>
    <row r="122" spans="1:48" s="189" customFormat="1" ht="33" customHeight="1" x14ac:dyDescent="0.25">
      <c r="A122" s="168" t="s">
        <v>401</v>
      </c>
      <c r="B122" s="168" t="str">
        <f>VLOOKUP(D122,[1]LuongBC_T01!$B$9:$C$292,2,FALSE)</f>
        <v>0016100006528001</v>
      </c>
      <c r="C122" s="199" t="s">
        <v>918</v>
      </c>
      <c r="D122" s="169" t="s">
        <v>1203</v>
      </c>
      <c r="E122" s="263" t="s">
        <v>1384</v>
      </c>
      <c r="F122" s="169" t="s">
        <v>549</v>
      </c>
      <c r="G122" s="170"/>
      <c r="H122" s="170" t="s">
        <v>283</v>
      </c>
      <c r="I122" s="200" t="s">
        <v>283</v>
      </c>
      <c r="J122" s="220" t="s">
        <v>262</v>
      </c>
      <c r="K122" s="170" t="str">
        <f>VLOOKUP(D122,[2]T3!$B$2:$D$328,3,FALSE)</f>
        <v>024610718</v>
      </c>
      <c r="L122" s="171" t="s">
        <v>123</v>
      </c>
      <c r="M122" s="171" t="s">
        <v>918</v>
      </c>
      <c r="N122" s="390" t="s">
        <v>807</v>
      </c>
      <c r="O122" s="172" t="s">
        <v>692</v>
      </c>
      <c r="P122" s="173">
        <v>4</v>
      </c>
      <c r="Q122" s="174">
        <v>3.99</v>
      </c>
      <c r="R122" s="176">
        <f t="shared" si="55"/>
        <v>0.80120000000000002</v>
      </c>
      <c r="S122" s="370"/>
      <c r="T122" s="176">
        <f t="shared" si="56"/>
        <v>0</v>
      </c>
      <c r="U122" s="175">
        <f t="shared" ref="U122:U147" si="74">Q122*S122*$D$8/100</f>
        <v>0</v>
      </c>
      <c r="V122" s="170">
        <v>0.25</v>
      </c>
      <c r="W122" s="179">
        <v>0.13</v>
      </c>
      <c r="X122" s="216">
        <f t="shared" si="58"/>
        <v>0.55120000000000002</v>
      </c>
      <c r="Y122" s="216">
        <f t="shared" si="59"/>
        <v>4.7911999999999999</v>
      </c>
      <c r="Z122" s="180">
        <f t="shared" si="60"/>
        <v>7138888</v>
      </c>
      <c r="AA122" s="180"/>
      <c r="AB122" s="180">
        <f t="shared" si="72"/>
        <v>0</v>
      </c>
      <c r="AC122" s="180">
        <f t="shared" si="61"/>
        <v>0</v>
      </c>
      <c r="AD122" s="180">
        <f t="shared" si="62"/>
        <v>7138888</v>
      </c>
      <c r="AE122" s="178">
        <f t="shared" si="63"/>
        <v>571111.04</v>
      </c>
      <c r="AF122" s="178">
        <f t="shared" si="64"/>
        <v>107083.31999999999</v>
      </c>
      <c r="AG122" s="178">
        <f t="shared" si="65"/>
        <v>71388.88</v>
      </c>
      <c r="AH122" s="178"/>
      <c r="AI122" s="178">
        <f t="shared" si="66"/>
        <v>749583.24</v>
      </c>
      <c r="AJ122" s="192"/>
      <c r="AK122" s="182">
        <f t="shared" si="67"/>
        <v>0</v>
      </c>
      <c r="AL122" s="182"/>
      <c r="AM122" s="182"/>
      <c r="AN122" s="193">
        <f t="shared" si="68"/>
        <v>4.24</v>
      </c>
      <c r="AO122" s="246">
        <v>0.25</v>
      </c>
      <c r="AP122" s="194">
        <f t="shared" si="73"/>
        <v>1.06</v>
      </c>
      <c r="AQ122" s="178">
        <f t="shared" si="69"/>
        <v>1579400</v>
      </c>
      <c r="AR122" s="178"/>
      <c r="AS122" s="178">
        <f t="shared" ref="AS122:AS183" si="75">ROUND(AD122-AI122+AK122+AM122+AQ122,0)</f>
        <v>7968705</v>
      </c>
      <c r="AT122" s="469" t="str">
        <f t="shared" si="71"/>
        <v>104</v>
      </c>
      <c r="AU122" s="186"/>
      <c r="AV122" s="187" t="s">
        <v>704</v>
      </c>
    </row>
    <row r="123" spans="1:48" s="191" customFormat="1" ht="34.5" customHeight="1" x14ac:dyDescent="0.25">
      <c r="A123" s="168" t="s">
        <v>402</v>
      </c>
      <c r="B123" s="168" t="str">
        <f>VLOOKUP(D123,[1]LuongBC_T01!$B$9:$C$292,2,FALSE)</f>
        <v>0016100006779004</v>
      </c>
      <c r="C123" s="199" t="s">
        <v>919</v>
      </c>
      <c r="D123" s="169" t="s">
        <v>1204</v>
      </c>
      <c r="E123" s="263" t="s">
        <v>1385</v>
      </c>
      <c r="F123" s="169" t="s">
        <v>549</v>
      </c>
      <c r="G123" s="170"/>
      <c r="H123" s="170"/>
      <c r="I123" s="170" t="s">
        <v>283</v>
      </c>
      <c r="J123" s="169" t="s">
        <v>254</v>
      </c>
      <c r="K123" s="170" t="str">
        <f>VLOOKUP(D123,[2]T3!$B$2:$D$328,3,FALSE)</f>
        <v>023172992</v>
      </c>
      <c r="L123" s="171" t="s">
        <v>120</v>
      </c>
      <c r="M123" s="171" t="s">
        <v>919</v>
      </c>
      <c r="N123" s="390" t="s">
        <v>1438</v>
      </c>
      <c r="O123" s="172" t="s">
        <v>692</v>
      </c>
      <c r="P123" s="173">
        <v>5</v>
      </c>
      <c r="Q123" s="174">
        <v>3.99</v>
      </c>
      <c r="R123" s="176">
        <f t="shared" si="55"/>
        <v>0.88600000000000001</v>
      </c>
      <c r="S123" s="370"/>
      <c r="T123" s="176">
        <f t="shared" si="56"/>
        <v>0</v>
      </c>
      <c r="U123" s="175">
        <f t="shared" si="74"/>
        <v>0</v>
      </c>
      <c r="V123" s="170">
        <v>0.25</v>
      </c>
      <c r="W123" s="179">
        <v>0.15</v>
      </c>
      <c r="X123" s="216">
        <f t="shared" si="58"/>
        <v>0.63600000000000001</v>
      </c>
      <c r="Y123" s="216">
        <f t="shared" si="59"/>
        <v>4.8760000000000003</v>
      </c>
      <c r="Z123" s="180">
        <f t="shared" si="60"/>
        <v>7265240</v>
      </c>
      <c r="AA123" s="180"/>
      <c r="AB123" s="180">
        <f t="shared" si="72"/>
        <v>0</v>
      </c>
      <c r="AC123" s="180">
        <f t="shared" si="61"/>
        <v>0</v>
      </c>
      <c r="AD123" s="180">
        <f t="shared" si="62"/>
        <v>7265240</v>
      </c>
      <c r="AE123" s="178">
        <f t="shared" si="63"/>
        <v>581219.20000000007</v>
      </c>
      <c r="AF123" s="178">
        <f t="shared" si="64"/>
        <v>108978.59999999999</v>
      </c>
      <c r="AG123" s="178">
        <f t="shared" si="65"/>
        <v>72652.400000000009</v>
      </c>
      <c r="AH123" s="178"/>
      <c r="AI123" s="178">
        <f t="shared" si="66"/>
        <v>762850.20000000007</v>
      </c>
      <c r="AJ123" s="181"/>
      <c r="AK123" s="182">
        <f t="shared" si="67"/>
        <v>0</v>
      </c>
      <c r="AL123" s="182"/>
      <c r="AM123" s="182"/>
      <c r="AN123" s="193">
        <f t="shared" si="68"/>
        <v>4.24</v>
      </c>
      <c r="AO123" s="246">
        <v>0.25</v>
      </c>
      <c r="AP123" s="194">
        <f t="shared" si="73"/>
        <v>1.06</v>
      </c>
      <c r="AQ123" s="178">
        <f t="shared" si="69"/>
        <v>1579400</v>
      </c>
      <c r="AR123" s="178"/>
      <c r="AS123" s="178">
        <f t="shared" si="75"/>
        <v>8081790</v>
      </c>
      <c r="AT123" s="469" t="str">
        <f t="shared" si="71"/>
        <v>105</v>
      </c>
      <c r="AU123" s="195"/>
      <c r="AV123" s="223" t="s">
        <v>709</v>
      </c>
    </row>
    <row r="124" spans="1:48" s="191" customFormat="1" ht="39" customHeight="1" x14ac:dyDescent="0.25">
      <c r="A124" s="168" t="s">
        <v>403</v>
      </c>
      <c r="B124" s="168" t="str">
        <f>VLOOKUP(D124,[1]LuongBC_T01!$B$9:$C$292,2,FALSE)</f>
        <v>0016100006632003</v>
      </c>
      <c r="C124" s="199" t="s">
        <v>920</v>
      </c>
      <c r="D124" s="169" t="s">
        <v>1205</v>
      </c>
      <c r="E124" s="263" t="s">
        <v>1383</v>
      </c>
      <c r="F124" s="169" t="s">
        <v>549</v>
      </c>
      <c r="G124" s="170"/>
      <c r="H124" s="170" t="s">
        <v>283</v>
      </c>
      <c r="I124" s="170" t="s">
        <v>283</v>
      </c>
      <c r="J124" s="169" t="s">
        <v>263</v>
      </c>
      <c r="K124" s="170" t="str">
        <f>VLOOKUP(D124,[2]T3!$B$2:$D$328,3,FALSE)</f>
        <v>023655683</v>
      </c>
      <c r="L124" s="171" t="s">
        <v>124</v>
      </c>
      <c r="M124" s="171" t="s">
        <v>920</v>
      </c>
      <c r="N124" s="390" t="s">
        <v>1438</v>
      </c>
      <c r="O124" s="172" t="s">
        <v>692</v>
      </c>
      <c r="P124" s="173">
        <v>4</v>
      </c>
      <c r="Q124" s="174">
        <v>3.66</v>
      </c>
      <c r="R124" s="176">
        <f t="shared" si="55"/>
        <v>0.75829999999999997</v>
      </c>
      <c r="S124" s="377"/>
      <c r="T124" s="176">
        <f t="shared" si="56"/>
        <v>0</v>
      </c>
      <c r="U124" s="175">
        <f t="shared" si="74"/>
        <v>0</v>
      </c>
      <c r="V124" s="170">
        <v>0.25</v>
      </c>
      <c r="W124" s="179">
        <v>0.13</v>
      </c>
      <c r="X124" s="216">
        <f t="shared" si="58"/>
        <v>0.50829999999999997</v>
      </c>
      <c r="Y124" s="216">
        <f t="shared" si="59"/>
        <v>4.4183000000000003</v>
      </c>
      <c r="Z124" s="180">
        <f t="shared" si="60"/>
        <v>6583267</v>
      </c>
      <c r="AA124" s="180"/>
      <c r="AB124" s="180">
        <f t="shared" si="72"/>
        <v>0</v>
      </c>
      <c r="AC124" s="180">
        <f t="shared" si="61"/>
        <v>0</v>
      </c>
      <c r="AD124" s="180">
        <f t="shared" si="62"/>
        <v>6583267</v>
      </c>
      <c r="AE124" s="178">
        <f t="shared" si="63"/>
        <v>526661.36</v>
      </c>
      <c r="AF124" s="178">
        <f t="shared" si="64"/>
        <v>98749.00499999999</v>
      </c>
      <c r="AG124" s="178">
        <f t="shared" si="65"/>
        <v>65832.67</v>
      </c>
      <c r="AH124" s="178"/>
      <c r="AI124" s="178">
        <f t="shared" si="66"/>
        <v>691243.03500000003</v>
      </c>
      <c r="AJ124" s="181"/>
      <c r="AK124" s="182">
        <f t="shared" si="67"/>
        <v>0</v>
      </c>
      <c r="AL124" s="182"/>
      <c r="AM124" s="182"/>
      <c r="AN124" s="193">
        <f t="shared" si="68"/>
        <v>3.91</v>
      </c>
      <c r="AO124" s="246">
        <v>0.25</v>
      </c>
      <c r="AP124" s="194">
        <f t="shared" si="73"/>
        <v>0.97750000000000004</v>
      </c>
      <c r="AQ124" s="178">
        <f t="shared" si="69"/>
        <v>1456475</v>
      </c>
      <c r="AR124" s="178"/>
      <c r="AS124" s="178">
        <f t="shared" si="75"/>
        <v>7348499</v>
      </c>
      <c r="AT124" s="469" t="str">
        <f t="shared" si="71"/>
        <v>106</v>
      </c>
      <c r="AU124" s="195"/>
      <c r="AV124" s="242" t="s">
        <v>714</v>
      </c>
    </row>
    <row r="125" spans="1:48" s="189" customFormat="1" ht="37.5" customHeight="1" x14ac:dyDescent="0.25">
      <c r="A125" s="168" t="s">
        <v>404</v>
      </c>
      <c r="B125" s="168" t="str">
        <f>VLOOKUP(D125,[1]LuongBC_T01!$B$9:$C$292,2,FALSE)</f>
        <v>0016100006740008</v>
      </c>
      <c r="C125" s="199" t="s">
        <v>976</v>
      </c>
      <c r="D125" s="169" t="s">
        <v>298</v>
      </c>
      <c r="E125" s="263" t="s">
        <v>1465</v>
      </c>
      <c r="F125" s="169" t="s">
        <v>549</v>
      </c>
      <c r="G125" s="200"/>
      <c r="H125" s="170" t="s">
        <v>283</v>
      </c>
      <c r="I125" s="170" t="s">
        <v>283</v>
      </c>
      <c r="J125" s="169" t="s">
        <v>528</v>
      </c>
      <c r="K125" s="170" t="str">
        <f>VLOOKUP(D125,[2]T3!$B$2:$D$328,3,FALSE)</f>
        <v>023523303</v>
      </c>
      <c r="L125" s="171" t="s">
        <v>339</v>
      </c>
      <c r="M125" s="171" t="s">
        <v>976</v>
      </c>
      <c r="N125" s="390" t="s">
        <v>1438</v>
      </c>
      <c r="O125" s="172" t="s">
        <v>692</v>
      </c>
      <c r="P125" s="173">
        <v>4</v>
      </c>
      <c r="Q125" s="174">
        <v>3.66</v>
      </c>
      <c r="R125" s="176">
        <f>T125+V125+X125</f>
        <v>0.68009999999999993</v>
      </c>
      <c r="S125" s="370"/>
      <c r="T125" s="176">
        <f>ROUND(Q125*S125/100,4)</f>
        <v>0</v>
      </c>
      <c r="U125" s="175">
        <f>Q125*S125*$D$8/100</f>
        <v>0</v>
      </c>
      <c r="V125" s="170">
        <v>0.25</v>
      </c>
      <c r="W125" s="179">
        <v>0.11</v>
      </c>
      <c r="X125" s="216">
        <f>ROUND((Q125+T125+V125)*W125,4)</f>
        <v>0.43009999999999998</v>
      </c>
      <c r="Y125" s="216">
        <f>Q125+T125+V125+X125</f>
        <v>4.3401000000000005</v>
      </c>
      <c r="Z125" s="180">
        <f>ROUND(Y125*$D$8,0)</f>
        <v>6466749</v>
      </c>
      <c r="AA125" s="180"/>
      <c r="AB125" s="180">
        <v>0</v>
      </c>
      <c r="AC125" s="180">
        <f>Z125/24*AA125*75%</f>
        <v>0</v>
      </c>
      <c r="AD125" s="180">
        <f>ROUND(Z125-AB125+AC125,0)</f>
        <v>6466749</v>
      </c>
      <c r="AE125" s="178">
        <f>Z125*8%</f>
        <v>517339.92</v>
      </c>
      <c r="AF125" s="178">
        <f>Z125*1.5%</f>
        <v>97001.235000000001</v>
      </c>
      <c r="AG125" s="178">
        <f>Z125*1%</f>
        <v>64667.49</v>
      </c>
      <c r="AH125" s="178"/>
      <c r="AI125" s="178">
        <f>SUM(AE125:AH125)</f>
        <v>679008.64500000002</v>
      </c>
      <c r="AJ125" s="192"/>
      <c r="AK125" s="182">
        <f>AJ125*$D$8</f>
        <v>0</v>
      </c>
      <c r="AL125" s="182"/>
      <c r="AM125" s="182"/>
      <c r="AN125" s="193">
        <f>Q125+T125+V125</f>
        <v>3.91</v>
      </c>
      <c r="AO125" s="246">
        <v>0.25</v>
      </c>
      <c r="AP125" s="194">
        <f>ROUND(AN125*AO125,4)</f>
        <v>0.97750000000000004</v>
      </c>
      <c r="AQ125" s="178">
        <f>ROUND(AP125*$D$8,0)</f>
        <v>1456475</v>
      </c>
      <c r="AR125" s="178"/>
      <c r="AS125" s="178">
        <f>ROUND(AD125-AI125+AK125+AM125+AQ125,0)</f>
        <v>7244215</v>
      </c>
      <c r="AT125" s="469" t="str">
        <f>A125</f>
        <v>107</v>
      </c>
      <c r="AU125" s="195"/>
      <c r="AV125" s="187" t="s">
        <v>714</v>
      </c>
    </row>
    <row r="126" spans="1:48" s="189" customFormat="1" ht="36.75" customHeight="1" x14ac:dyDescent="0.25">
      <c r="A126" s="168" t="s">
        <v>405</v>
      </c>
      <c r="B126" s="168" t="str">
        <f>VLOOKUP(D126,[1]LuongBC_T01!$B$9:$C$292,2,FALSE)</f>
        <v>0016100006626003</v>
      </c>
      <c r="C126" s="199" t="s">
        <v>922</v>
      </c>
      <c r="D126" s="169" t="s">
        <v>306</v>
      </c>
      <c r="E126" s="263" t="s">
        <v>1255</v>
      </c>
      <c r="F126" s="169" t="s">
        <v>549</v>
      </c>
      <c r="G126" s="200"/>
      <c r="H126" s="200" t="s">
        <v>283</v>
      </c>
      <c r="I126" s="170" t="s">
        <v>283</v>
      </c>
      <c r="J126" s="169" t="s">
        <v>535</v>
      </c>
      <c r="K126" s="170" t="str">
        <f>VLOOKUP(D126,[2]T3!$B$2:$D$328,3,FALSE)</f>
        <v>023204127</v>
      </c>
      <c r="L126" s="171" t="s">
        <v>333</v>
      </c>
      <c r="M126" s="171" t="s">
        <v>922</v>
      </c>
      <c r="N126" s="390" t="s">
        <v>1438</v>
      </c>
      <c r="O126" s="172" t="s">
        <v>692</v>
      </c>
      <c r="P126" s="173">
        <v>3</v>
      </c>
      <c r="Q126" s="174">
        <v>3.33</v>
      </c>
      <c r="R126" s="176">
        <f t="shared" si="55"/>
        <v>0.64379999999999993</v>
      </c>
      <c r="S126" s="370"/>
      <c r="T126" s="176">
        <f t="shared" si="56"/>
        <v>0</v>
      </c>
      <c r="U126" s="175">
        <f t="shared" si="74"/>
        <v>0</v>
      </c>
      <c r="V126" s="170">
        <v>0.25</v>
      </c>
      <c r="W126" s="179">
        <v>0.11</v>
      </c>
      <c r="X126" s="216">
        <f t="shared" si="58"/>
        <v>0.39379999999999998</v>
      </c>
      <c r="Y126" s="216">
        <f t="shared" si="59"/>
        <v>3.9738000000000002</v>
      </c>
      <c r="Z126" s="180">
        <f t="shared" si="60"/>
        <v>5920962</v>
      </c>
      <c r="AA126" s="180"/>
      <c r="AB126" s="180">
        <f t="shared" si="72"/>
        <v>0</v>
      </c>
      <c r="AC126" s="180">
        <f t="shared" si="61"/>
        <v>0</v>
      </c>
      <c r="AD126" s="180">
        <f t="shared" si="62"/>
        <v>5920962</v>
      </c>
      <c r="AE126" s="178">
        <f t="shared" si="63"/>
        <v>473676.96</v>
      </c>
      <c r="AF126" s="178">
        <f t="shared" si="64"/>
        <v>88814.43</v>
      </c>
      <c r="AG126" s="178">
        <f t="shared" si="65"/>
        <v>59209.62</v>
      </c>
      <c r="AH126" s="178"/>
      <c r="AI126" s="178">
        <f t="shared" si="66"/>
        <v>621701.01</v>
      </c>
      <c r="AJ126" s="192"/>
      <c r="AK126" s="182">
        <f t="shared" si="67"/>
        <v>0</v>
      </c>
      <c r="AL126" s="182"/>
      <c r="AM126" s="182"/>
      <c r="AN126" s="193">
        <f t="shared" si="68"/>
        <v>3.58</v>
      </c>
      <c r="AO126" s="246">
        <v>0.25</v>
      </c>
      <c r="AP126" s="194">
        <f t="shared" si="73"/>
        <v>0.89500000000000002</v>
      </c>
      <c r="AQ126" s="178">
        <f t="shared" si="69"/>
        <v>1333550</v>
      </c>
      <c r="AR126" s="178"/>
      <c r="AS126" s="178">
        <f t="shared" si="75"/>
        <v>6632811</v>
      </c>
      <c r="AT126" s="469" t="str">
        <f t="shared" si="71"/>
        <v>108</v>
      </c>
      <c r="AU126" s="186"/>
      <c r="AV126" s="187" t="s">
        <v>711</v>
      </c>
    </row>
    <row r="127" spans="1:48" s="191" customFormat="1" ht="29.25" customHeight="1" x14ac:dyDescent="0.25">
      <c r="A127" s="168" t="s">
        <v>797</v>
      </c>
      <c r="B127" s="168" t="str">
        <f>VLOOKUP(D127,[1]LuongBC_T01!$B$9:$C$292,2,FALSE)</f>
        <v>0016100006619007</v>
      </c>
      <c r="C127" s="199" t="s">
        <v>959</v>
      </c>
      <c r="D127" s="169" t="s">
        <v>1208</v>
      </c>
      <c r="E127" s="263" t="s">
        <v>1297</v>
      </c>
      <c r="F127" s="169" t="s">
        <v>549</v>
      </c>
      <c r="G127" s="170"/>
      <c r="H127" s="170" t="s">
        <v>283</v>
      </c>
      <c r="I127" s="200" t="s">
        <v>283</v>
      </c>
      <c r="J127" s="220" t="s">
        <v>257</v>
      </c>
      <c r="K127" s="168" t="s">
        <v>1366</v>
      </c>
      <c r="L127" s="171" t="s">
        <v>121</v>
      </c>
      <c r="M127" s="171" t="s">
        <v>959</v>
      </c>
      <c r="N127" s="390" t="s">
        <v>807</v>
      </c>
      <c r="O127" s="172" t="s">
        <v>692</v>
      </c>
      <c r="P127" s="173">
        <v>4</v>
      </c>
      <c r="Q127" s="174">
        <v>3.66</v>
      </c>
      <c r="R127" s="176">
        <f>T127+V127+X127</f>
        <v>1.1493</v>
      </c>
      <c r="S127" s="370"/>
      <c r="T127" s="176">
        <f>ROUND(Q127*S127/100,4)</f>
        <v>0</v>
      </c>
      <c r="U127" s="175">
        <f>Q127*S127*$D$8/100</f>
        <v>0</v>
      </c>
      <c r="V127" s="170">
        <f>0.25</f>
        <v>0.25</v>
      </c>
      <c r="W127" s="179">
        <v>0.23</v>
      </c>
      <c r="X127" s="216">
        <f>ROUND((Q127+T127+V127)*W127,4)</f>
        <v>0.89929999999999999</v>
      </c>
      <c r="Y127" s="216">
        <f>Q127+T127+V127+X127</f>
        <v>4.8093000000000004</v>
      </c>
      <c r="Z127" s="180">
        <f t="shared" si="60"/>
        <v>7165857</v>
      </c>
      <c r="AA127" s="180"/>
      <c r="AB127" s="180">
        <f t="shared" si="72"/>
        <v>0</v>
      </c>
      <c r="AC127" s="180">
        <f t="shared" si="61"/>
        <v>0</v>
      </c>
      <c r="AD127" s="180">
        <f t="shared" si="62"/>
        <v>7165857</v>
      </c>
      <c r="AE127" s="178">
        <f t="shared" si="63"/>
        <v>573268.56000000006</v>
      </c>
      <c r="AF127" s="178">
        <f t="shared" si="64"/>
        <v>107487.855</v>
      </c>
      <c r="AG127" s="178">
        <f t="shared" si="65"/>
        <v>71658.570000000007</v>
      </c>
      <c r="AH127" s="178"/>
      <c r="AI127" s="178">
        <f>SUM(AE127:AH127)</f>
        <v>752414.9850000001</v>
      </c>
      <c r="AJ127" s="192"/>
      <c r="AK127" s="182">
        <f t="shared" si="67"/>
        <v>0</v>
      </c>
      <c r="AL127" s="182"/>
      <c r="AM127" s="182"/>
      <c r="AN127" s="193">
        <f t="shared" si="68"/>
        <v>3.91</v>
      </c>
      <c r="AO127" s="246">
        <v>0.25</v>
      </c>
      <c r="AP127" s="194">
        <f>ROUND(AN127*AO127,4)</f>
        <v>0.97750000000000004</v>
      </c>
      <c r="AQ127" s="178">
        <f t="shared" si="69"/>
        <v>1456475</v>
      </c>
      <c r="AR127" s="178"/>
      <c r="AS127" s="178">
        <f t="shared" si="75"/>
        <v>7869917</v>
      </c>
      <c r="AT127" s="469" t="str">
        <f t="shared" si="71"/>
        <v>109</v>
      </c>
      <c r="AU127" s="195"/>
      <c r="AV127" s="198" t="s">
        <v>710</v>
      </c>
    </row>
    <row r="128" spans="1:48" s="189" customFormat="1" ht="36.75" customHeight="1" x14ac:dyDescent="0.25">
      <c r="A128" s="168" t="s">
        <v>406</v>
      </c>
      <c r="B128" s="168" t="str">
        <f>VLOOKUP(D128,[1]LuongBC_T01!$B$9:$C$292,2,FALSE)</f>
        <v>0016100006750006</v>
      </c>
      <c r="C128" s="199" t="s">
        <v>929</v>
      </c>
      <c r="D128" s="169" t="s">
        <v>1209</v>
      </c>
      <c r="E128" s="263" t="s">
        <v>1255</v>
      </c>
      <c r="F128" s="169" t="s">
        <v>549</v>
      </c>
      <c r="G128" s="200"/>
      <c r="H128" s="200" t="s">
        <v>283</v>
      </c>
      <c r="I128" s="200" t="s">
        <v>283</v>
      </c>
      <c r="J128" s="200" t="s">
        <v>581</v>
      </c>
      <c r="K128" s="170" t="str">
        <f>VLOOKUP(D128,[2]T3!$B$2:$D$328,3,FALSE)</f>
        <v>025187897</v>
      </c>
      <c r="L128" s="201" t="s">
        <v>603</v>
      </c>
      <c r="M128" s="201" t="s">
        <v>929</v>
      </c>
      <c r="N128" s="390" t="s">
        <v>1438</v>
      </c>
      <c r="O128" s="170" t="s">
        <v>692</v>
      </c>
      <c r="P128" s="170">
        <v>3</v>
      </c>
      <c r="Q128" s="177">
        <v>3.33</v>
      </c>
      <c r="R128" s="176">
        <f t="shared" si="55"/>
        <v>0.60799999999999998</v>
      </c>
      <c r="S128" s="220"/>
      <c r="T128" s="176">
        <f t="shared" si="56"/>
        <v>0</v>
      </c>
      <c r="U128" s="175">
        <f t="shared" si="74"/>
        <v>0</v>
      </c>
      <c r="V128" s="170">
        <v>0.25</v>
      </c>
      <c r="W128" s="179">
        <v>0.1</v>
      </c>
      <c r="X128" s="216">
        <f t="shared" si="58"/>
        <v>0.35799999999999998</v>
      </c>
      <c r="Y128" s="216">
        <f t="shared" si="59"/>
        <v>3.9380000000000002</v>
      </c>
      <c r="Z128" s="180">
        <f t="shared" si="60"/>
        <v>5867620</v>
      </c>
      <c r="AA128" s="180"/>
      <c r="AB128" s="180">
        <f t="shared" si="72"/>
        <v>0</v>
      </c>
      <c r="AC128" s="180">
        <f t="shared" si="61"/>
        <v>0</v>
      </c>
      <c r="AD128" s="180">
        <f t="shared" si="62"/>
        <v>5867620</v>
      </c>
      <c r="AE128" s="178">
        <f t="shared" si="63"/>
        <v>469409.60000000003</v>
      </c>
      <c r="AF128" s="178">
        <f t="shared" si="64"/>
        <v>88014.3</v>
      </c>
      <c r="AG128" s="178">
        <f t="shared" si="65"/>
        <v>58676.200000000004</v>
      </c>
      <c r="AH128" s="178"/>
      <c r="AI128" s="178">
        <f t="shared" si="66"/>
        <v>616100.1</v>
      </c>
      <c r="AJ128" s="192"/>
      <c r="AK128" s="182">
        <f t="shared" si="67"/>
        <v>0</v>
      </c>
      <c r="AL128" s="182"/>
      <c r="AM128" s="182"/>
      <c r="AN128" s="193">
        <f t="shared" si="68"/>
        <v>3.58</v>
      </c>
      <c r="AO128" s="246">
        <v>0.25</v>
      </c>
      <c r="AP128" s="194">
        <f t="shared" si="73"/>
        <v>0.89500000000000002</v>
      </c>
      <c r="AQ128" s="178">
        <f t="shared" si="69"/>
        <v>1333550</v>
      </c>
      <c r="AR128" s="178"/>
      <c r="AS128" s="178">
        <f t="shared" si="75"/>
        <v>6585070</v>
      </c>
      <c r="AT128" s="469" t="str">
        <f t="shared" si="71"/>
        <v>110</v>
      </c>
      <c r="AU128" s="186"/>
      <c r="AV128" s="198" t="s">
        <v>711</v>
      </c>
    </row>
    <row r="129" spans="1:58" s="189" customFormat="1" ht="33.75" customHeight="1" x14ac:dyDescent="0.25">
      <c r="A129" s="168" t="s">
        <v>407</v>
      </c>
      <c r="B129" s="726" t="str">
        <f>VLOOKUP(D129,[1]LuongBC_T01!$B$9:$C$292,2,FALSE)</f>
        <v>0016100006628006</v>
      </c>
      <c r="C129" s="750" t="s">
        <v>1003</v>
      </c>
      <c r="D129" s="728" t="s">
        <v>671</v>
      </c>
      <c r="E129" s="729" t="s">
        <v>1260</v>
      </c>
      <c r="F129" s="728" t="s">
        <v>549</v>
      </c>
      <c r="G129" s="751"/>
      <c r="H129" s="751" t="s">
        <v>283</v>
      </c>
      <c r="I129" s="751" t="s">
        <v>283</v>
      </c>
      <c r="J129" s="751"/>
      <c r="K129" s="730" t="str">
        <f>VLOOKUP(D129,[2]T3!$B$2:$D$328,3,FALSE)</f>
        <v>025251872</v>
      </c>
      <c r="L129" s="752" t="s">
        <v>676</v>
      </c>
      <c r="M129" s="752" t="s">
        <v>1003</v>
      </c>
      <c r="N129" s="732" t="s">
        <v>1438</v>
      </c>
      <c r="O129" s="753" t="s">
        <v>692</v>
      </c>
      <c r="P129" s="733">
        <v>3</v>
      </c>
      <c r="Q129" s="754">
        <v>3.33</v>
      </c>
      <c r="R129" s="736">
        <f>T129+V129+X129</f>
        <v>0.57220000000000004</v>
      </c>
      <c r="S129" s="755"/>
      <c r="T129" s="736">
        <f>ROUND(Q129*S129/100,4)</f>
        <v>0</v>
      </c>
      <c r="U129" s="738">
        <f>Q129*S129*$D$8/100</f>
        <v>0</v>
      </c>
      <c r="V129" s="730">
        <v>0.25</v>
      </c>
      <c r="W129" s="739">
        <v>0.09</v>
      </c>
      <c r="X129" s="740">
        <f>ROUND((Q129+T129+V129)*W129,4)</f>
        <v>0.32219999999999999</v>
      </c>
      <c r="Y129" s="740">
        <f>Q129+T129+V129+X129</f>
        <v>3.9022000000000001</v>
      </c>
      <c r="Z129" s="741">
        <f>ROUND(Y129*$D$8,0)</f>
        <v>5814278</v>
      </c>
      <c r="AA129" s="741"/>
      <c r="AB129" s="741">
        <f>Z129/24*AA129</f>
        <v>0</v>
      </c>
      <c r="AC129" s="741">
        <f>Z129/24*AA129*75%</f>
        <v>0</v>
      </c>
      <c r="AD129" s="741">
        <f>ROUND(Z129-AB129+AC129,0)</f>
        <v>5814278</v>
      </c>
      <c r="AE129" s="742">
        <f>Z129*8%</f>
        <v>465142.24</v>
      </c>
      <c r="AF129" s="742">
        <f>Z129*1.5%</f>
        <v>87214.17</v>
      </c>
      <c r="AG129" s="742">
        <f>Z129*1%</f>
        <v>58142.78</v>
      </c>
      <c r="AH129" s="742"/>
      <c r="AI129" s="742">
        <f>SUM(AE129:AH129)</f>
        <v>610499.19000000006</v>
      </c>
      <c r="AJ129" s="743"/>
      <c r="AK129" s="744">
        <f>AJ129*$D$8</f>
        <v>0</v>
      </c>
      <c r="AL129" s="744"/>
      <c r="AM129" s="744"/>
      <c r="AN129" s="756">
        <f>Q129+T129+V129</f>
        <v>3.58</v>
      </c>
      <c r="AO129" s="757">
        <v>0.25</v>
      </c>
      <c r="AP129" s="758">
        <f>ROUND(AN129*AO129,4)</f>
        <v>0.89500000000000002</v>
      </c>
      <c r="AQ129" s="742">
        <f>ROUND(AP129*$D$8,0)</f>
        <v>1333550</v>
      </c>
      <c r="AR129" s="742"/>
      <c r="AS129" s="742">
        <f>ROUND(AD129-AI129+AK129+AM129+AQ129,0)</f>
        <v>6537329</v>
      </c>
      <c r="AT129" s="748" t="str">
        <f>A129</f>
        <v>111</v>
      </c>
      <c r="AU129" s="759"/>
      <c r="AV129" s="198" t="s">
        <v>711</v>
      </c>
    </row>
    <row r="130" spans="1:58" s="189" customFormat="1" ht="32.25" customHeight="1" x14ac:dyDescent="0.25">
      <c r="A130" s="168" t="s">
        <v>408</v>
      </c>
      <c r="B130" s="682" t="str">
        <f>VLOOKUP(D130,[1]LuongBC_T01!$B$9:$C$292,2,FALSE)</f>
        <v>0016100006603003</v>
      </c>
      <c r="C130" s="703" t="s">
        <v>945</v>
      </c>
      <c r="D130" s="683" t="s">
        <v>817</v>
      </c>
      <c r="E130" s="684" t="s">
        <v>1471</v>
      </c>
      <c r="F130" s="683"/>
      <c r="G130" s="685" t="s">
        <v>25</v>
      </c>
      <c r="H130" s="685"/>
      <c r="I130" s="685"/>
      <c r="J130" s="683"/>
      <c r="K130" s="685" t="str">
        <f>VLOOKUP(D130,[2]T3!$B$2:$D$328,3,FALSE)</f>
        <v>054182000015</v>
      </c>
      <c r="L130" s="707"/>
      <c r="M130" s="707" t="s">
        <v>945</v>
      </c>
      <c r="N130" s="686" t="s">
        <v>1438</v>
      </c>
      <c r="O130" s="708" t="s">
        <v>692</v>
      </c>
      <c r="P130" s="687">
        <v>3</v>
      </c>
      <c r="Q130" s="689">
        <v>3.33</v>
      </c>
      <c r="R130" s="690">
        <f>T130+V130+X130</f>
        <v>0.60799999999999998</v>
      </c>
      <c r="S130" s="691"/>
      <c r="T130" s="690">
        <f>ROUND(Q130*S130/100,4)</f>
        <v>0</v>
      </c>
      <c r="U130" s="692">
        <f>Q130*S130*$D$8/100</f>
        <v>0</v>
      </c>
      <c r="V130" s="685">
        <v>0.25</v>
      </c>
      <c r="W130" s="693">
        <v>0.1</v>
      </c>
      <c r="X130" s="694">
        <f>ROUND((Q130+T130+V130)*W130,4)</f>
        <v>0.35799999999999998</v>
      </c>
      <c r="Y130" s="694">
        <f>Q130+T130+V130+X130</f>
        <v>3.9380000000000002</v>
      </c>
      <c r="Z130" s="695">
        <f t="shared" si="60"/>
        <v>5867620</v>
      </c>
      <c r="AA130" s="695"/>
      <c r="AB130" s="695">
        <f>Z130/24*AA130</f>
        <v>0</v>
      </c>
      <c r="AC130" s="695">
        <f>Z130/24*AA130*75%</f>
        <v>0</v>
      </c>
      <c r="AD130" s="695">
        <f>ROUND(Z130-AB130+AC130,0)</f>
        <v>5867620</v>
      </c>
      <c r="AE130" s="696">
        <f t="shared" si="63"/>
        <v>469409.60000000003</v>
      </c>
      <c r="AF130" s="696">
        <f t="shared" si="64"/>
        <v>88014.3</v>
      </c>
      <c r="AG130" s="696">
        <f t="shared" si="65"/>
        <v>58676.200000000004</v>
      </c>
      <c r="AH130" s="696"/>
      <c r="AI130" s="696">
        <f>SUM(AE130:AH130)</f>
        <v>616100.1</v>
      </c>
      <c r="AJ130" s="701"/>
      <c r="AK130" s="697">
        <f>AJ130*$D$8</f>
        <v>0</v>
      </c>
      <c r="AL130" s="697"/>
      <c r="AM130" s="697"/>
      <c r="AN130" s="706">
        <f t="shared" si="68"/>
        <v>3.58</v>
      </c>
      <c r="AO130" s="702">
        <v>0.25</v>
      </c>
      <c r="AP130" s="704">
        <f>ROUND(AN130*AO130,4)</f>
        <v>0.89500000000000002</v>
      </c>
      <c r="AQ130" s="696">
        <f>ROUND(AP130*$D$8,0)</f>
        <v>1333550</v>
      </c>
      <c r="AR130" s="696"/>
      <c r="AS130" s="696">
        <f t="shared" si="75"/>
        <v>6585070</v>
      </c>
      <c r="AT130" s="698" t="str">
        <f t="shared" si="71"/>
        <v>112</v>
      </c>
      <c r="AU130" s="709"/>
      <c r="AV130" s="242"/>
      <c r="AW130" s="29"/>
      <c r="AX130" s="29"/>
      <c r="AY130" s="29"/>
      <c r="AZ130" s="29"/>
      <c r="BA130" s="29"/>
      <c r="BB130" s="29"/>
      <c r="BC130" s="29"/>
      <c r="BD130" s="29"/>
      <c r="BE130" s="29"/>
      <c r="BF130" s="29"/>
    </row>
    <row r="131" spans="1:58" s="189" customFormat="1" ht="33" customHeight="1" x14ac:dyDescent="0.25">
      <c r="A131" s="682" t="s">
        <v>645</v>
      </c>
      <c r="B131" s="682" t="str">
        <f>VLOOKUP(D131,[1]LuongBC_T01!$B$9:$C$292,2,FALSE)</f>
        <v>0016100006604007</v>
      </c>
      <c r="C131" s="703" t="s">
        <v>946</v>
      </c>
      <c r="D131" s="683" t="s">
        <v>819</v>
      </c>
      <c r="E131" s="684" t="s">
        <v>1471</v>
      </c>
      <c r="F131" s="683"/>
      <c r="G131" s="685" t="s">
        <v>25</v>
      </c>
      <c r="H131" s="685"/>
      <c r="I131" s="685"/>
      <c r="J131" s="683"/>
      <c r="K131" s="685" t="str">
        <f>VLOOKUP(D131,[2]T3!$B$2:$D$328,3,FALSE)</f>
        <v>025791269</v>
      </c>
      <c r="L131" s="707"/>
      <c r="M131" s="707" t="s">
        <v>946</v>
      </c>
      <c r="N131" s="686" t="s">
        <v>1438</v>
      </c>
      <c r="O131" s="708" t="s">
        <v>692</v>
      </c>
      <c r="P131" s="687">
        <v>3</v>
      </c>
      <c r="Q131" s="689">
        <v>3</v>
      </c>
      <c r="R131" s="690">
        <f>T131+V131+X131</f>
        <v>0.57499999999999996</v>
      </c>
      <c r="S131" s="691"/>
      <c r="T131" s="690">
        <f>ROUND(Q131*S131/100,4)</f>
        <v>0</v>
      </c>
      <c r="U131" s="692">
        <f>Q131*S131*$D$8/100</f>
        <v>0</v>
      </c>
      <c r="V131" s="685">
        <v>0.25</v>
      </c>
      <c r="W131" s="693">
        <v>0.1</v>
      </c>
      <c r="X131" s="694">
        <f>ROUND((Q131+T131+V131)*W131,4)</f>
        <v>0.32500000000000001</v>
      </c>
      <c r="Y131" s="694">
        <f>Q131+T131+V131+X131</f>
        <v>3.5750000000000002</v>
      </c>
      <c r="Z131" s="695">
        <f t="shared" si="60"/>
        <v>5326750</v>
      </c>
      <c r="AA131" s="695"/>
      <c r="AB131" s="695">
        <f>Z131/24*AA131</f>
        <v>0</v>
      </c>
      <c r="AC131" s="695">
        <f>Z131/24*AA131*75%</f>
        <v>0</v>
      </c>
      <c r="AD131" s="695">
        <f>ROUND(Z131-AB131+AC131,0)</f>
        <v>5326750</v>
      </c>
      <c r="AE131" s="696">
        <f t="shared" si="63"/>
        <v>426140</v>
      </c>
      <c r="AF131" s="696">
        <f t="shared" si="64"/>
        <v>79901.25</v>
      </c>
      <c r="AG131" s="696">
        <f t="shared" si="65"/>
        <v>53267.5</v>
      </c>
      <c r="AH131" s="696"/>
      <c r="AI131" s="696">
        <f>SUM(AE131:AH131)</f>
        <v>559308.75</v>
      </c>
      <c r="AJ131" s="701"/>
      <c r="AK131" s="697">
        <f>AJ131*$D$8</f>
        <v>0</v>
      </c>
      <c r="AL131" s="697"/>
      <c r="AM131" s="697"/>
      <c r="AN131" s="706">
        <f t="shared" si="68"/>
        <v>3.25</v>
      </c>
      <c r="AO131" s="702">
        <v>0.25</v>
      </c>
      <c r="AP131" s="704">
        <f>ROUND(AN131*AO131,4)</f>
        <v>0.8125</v>
      </c>
      <c r="AQ131" s="696">
        <f>ROUND(AP131*$D$8,0)</f>
        <v>1210625</v>
      </c>
      <c r="AR131" s="696"/>
      <c r="AS131" s="696">
        <f t="shared" si="75"/>
        <v>5978066</v>
      </c>
      <c r="AT131" s="698" t="str">
        <f t="shared" si="71"/>
        <v>113</v>
      </c>
      <c r="AU131" s="709"/>
      <c r="AV131" s="242"/>
      <c r="AW131" s="29"/>
      <c r="AX131" s="29"/>
      <c r="AY131" s="29"/>
      <c r="AZ131" s="29"/>
      <c r="BA131" s="29"/>
      <c r="BB131" s="29"/>
      <c r="BC131" s="29"/>
      <c r="BD131" s="29"/>
      <c r="BE131" s="29"/>
      <c r="BF131" s="29"/>
    </row>
    <row r="132" spans="1:58" s="189" customFormat="1" ht="36.75" customHeight="1" x14ac:dyDescent="0.25">
      <c r="A132" s="168" t="s">
        <v>409</v>
      </c>
      <c r="B132" s="168" t="str">
        <f>VLOOKUP(D132,[1]LuongBC_T01!$B$9:$C$292,2,FALSE)</f>
        <v>0016100006800003</v>
      </c>
      <c r="C132" s="199" t="s">
        <v>928</v>
      </c>
      <c r="D132" s="230" t="s">
        <v>1063</v>
      </c>
      <c r="E132" s="263" t="s">
        <v>1424</v>
      </c>
      <c r="F132" s="231"/>
      <c r="G132" s="231"/>
      <c r="H132" s="231"/>
      <c r="I132" s="231"/>
      <c r="J132" s="231"/>
      <c r="K132" s="168" t="s">
        <v>1360</v>
      </c>
      <c r="L132" s="543" t="s">
        <v>742</v>
      </c>
      <c r="M132" s="543" t="s">
        <v>928</v>
      </c>
      <c r="N132" s="390" t="s">
        <v>1438</v>
      </c>
      <c r="O132" s="170" t="s">
        <v>692</v>
      </c>
      <c r="P132" s="170">
        <v>2</v>
      </c>
      <c r="Q132" s="177">
        <v>3</v>
      </c>
      <c r="R132" s="176">
        <f t="shared" si="55"/>
        <v>0.47750000000000004</v>
      </c>
      <c r="S132" s="169"/>
      <c r="T132" s="176">
        <f t="shared" si="56"/>
        <v>0</v>
      </c>
      <c r="U132" s="175">
        <f t="shared" si="74"/>
        <v>0</v>
      </c>
      <c r="V132" s="170">
        <v>0.25</v>
      </c>
      <c r="W132" s="179">
        <v>7.0000000000000007E-2</v>
      </c>
      <c r="X132" s="216">
        <f t="shared" si="58"/>
        <v>0.22750000000000001</v>
      </c>
      <c r="Y132" s="216">
        <f t="shared" si="59"/>
        <v>3.4775</v>
      </c>
      <c r="Z132" s="180">
        <f t="shared" si="60"/>
        <v>5181475</v>
      </c>
      <c r="AA132" s="180"/>
      <c r="AB132" s="180">
        <f t="shared" si="72"/>
        <v>0</v>
      </c>
      <c r="AC132" s="180">
        <f t="shared" si="61"/>
        <v>0</v>
      </c>
      <c r="AD132" s="180">
        <f t="shared" si="62"/>
        <v>5181475</v>
      </c>
      <c r="AE132" s="178">
        <f t="shared" si="63"/>
        <v>414518</v>
      </c>
      <c r="AF132" s="178">
        <f t="shared" si="64"/>
        <v>77722.125</v>
      </c>
      <c r="AG132" s="178">
        <f t="shared" si="65"/>
        <v>51814.75</v>
      </c>
      <c r="AH132" s="178"/>
      <c r="AI132" s="178">
        <f t="shared" si="66"/>
        <v>544054.875</v>
      </c>
      <c r="AJ132" s="192"/>
      <c r="AK132" s="182">
        <f t="shared" si="67"/>
        <v>0</v>
      </c>
      <c r="AL132" s="182"/>
      <c r="AM132" s="182"/>
      <c r="AN132" s="183">
        <f t="shared" si="68"/>
        <v>3.25</v>
      </c>
      <c r="AO132" s="246">
        <v>0.25</v>
      </c>
      <c r="AP132" s="194">
        <f t="shared" si="73"/>
        <v>0.8125</v>
      </c>
      <c r="AQ132" s="178">
        <f t="shared" si="69"/>
        <v>1210625</v>
      </c>
      <c r="AR132" s="178"/>
      <c r="AS132" s="178">
        <f t="shared" si="75"/>
        <v>5848045</v>
      </c>
      <c r="AT132" s="469" t="str">
        <f t="shared" si="71"/>
        <v>114</v>
      </c>
      <c r="AU132" s="186"/>
      <c r="AV132" s="198" t="s">
        <v>709</v>
      </c>
    </row>
    <row r="133" spans="1:58" s="189" customFormat="1" ht="39.75" customHeight="1" x14ac:dyDescent="0.25">
      <c r="A133" s="168" t="s">
        <v>410</v>
      </c>
      <c r="B133" s="168" t="str">
        <f>VLOOKUP(D133,[1]LuongBC_T01!$B$9:$C$292,2,FALSE)</f>
        <v>0016100006696001</v>
      </c>
      <c r="C133" s="199" t="s">
        <v>1015</v>
      </c>
      <c r="D133" s="230" t="s">
        <v>749</v>
      </c>
      <c r="E133" s="263" t="s">
        <v>1465</v>
      </c>
      <c r="F133" s="231"/>
      <c r="G133" s="251"/>
      <c r="H133" s="231"/>
      <c r="I133" s="231"/>
      <c r="J133" s="231"/>
      <c r="K133" s="170" t="str">
        <f>VLOOKUP(D133,[2]T3!$B$2:$D$328,3,FALSE)</f>
        <v>024578348</v>
      </c>
      <c r="L133" s="253" t="s">
        <v>761</v>
      </c>
      <c r="M133" s="253" t="s">
        <v>1015</v>
      </c>
      <c r="N133" s="390" t="s">
        <v>1438</v>
      </c>
      <c r="O133" s="170" t="s">
        <v>692</v>
      </c>
      <c r="P133" s="170">
        <v>2</v>
      </c>
      <c r="Q133" s="177">
        <v>3</v>
      </c>
      <c r="R133" s="176">
        <f>T133+V133+X133</f>
        <v>0.44500000000000001</v>
      </c>
      <c r="S133" s="169"/>
      <c r="T133" s="176">
        <f>ROUND(Q133*S133/100,4)</f>
        <v>0</v>
      </c>
      <c r="U133" s="175"/>
      <c r="V133" s="170">
        <v>0.25</v>
      </c>
      <c r="W133" s="179">
        <v>0.06</v>
      </c>
      <c r="X133" s="216">
        <f>ROUND((Q133+T133+V133)*W133,4)</f>
        <v>0.19500000000000001</v>
      </c>
      <c r="Y133" s="216">
        <f>Q133+T133+V133+X133</f>
        <v>3.4449999999999998</v>
      </c>
      <c r="Z133" s="180">
        <f t="shared" si="60"/>
        <v>5133050</v>
      </c>
      <c r="AA133" s="180"/>
      <c r="AB133" s="180">
        <v>0</v>
      </c>
      <c r="AC133" s="180">
        <f>Z133/24*AA133*75%</f>
        <v>0</v>
      </c>
      <c r="AD133" s="180">
        <f>ROUND(Z133-AB133+AC133,0)</f>
        <v>5133050</v>
      </c>
      <c r="AE133" s="178">
        <f t="shared" si="63"/>
        <v>410644</v>
      </c>
      <c r="AF133" s="178">
        <f t="shared" si="64"/>
        <v>76995.75</v>
      </c>
      <c r="AG133" s="178">
        <f t="shared" si="65"/>
        <v>51330.5</v>
      </c>
      <c r="AH133" s="178"/>
      <c r="AI133" s="178">
        <f>SUM(AE133:AH133)</f>
        <v>538970.25</v>
      </c>
      <c r="AJ133" s="192"/>
      <c r="AK133" s="182">
        <f>AJ133*$D$8</f>
        <v>0</v>
      </c>
      <c r="AL133" s="182"/>
      <c r="AM133" s="182"/>
      <c r="AN133" s="183">
        <f t="shared" si="68"/>
        <v>3.25</v>
      </c>
      <c r="AO133" s="246">
        <v>0.25</v>
      </c>
      <c r="AP133" s="194">
        <f>ROUND(AN133*AO133,4)</f>
        <v>0.8125</v>
      </c>
      <c r="AQ133" s="178">
        <f>ROUND(AP133*$D$8,0)</f>
        <v>1210625</v>
      </c>
      <c r="AR133" s="178"/>
      <c r="AS133" s="178">
        <f t="shared" si="75"/>
        <v>5804705</v>
      </c>
      <c r="AT133" s="469" t="str">
        <f t="shared" si="71"/>
        <v>115</v>
      </c>
      <c r="AU133" s="244"/>
      <c r="AV133" s="196"/>
    </row>
    <row r="134" spans="1:58" s="189" customFormat="1" ht="32.25" customHeight="1" x14ac:dyDescent="0.25">
      <c r="A134" s="168" t="s">
        <v>411</v>
      </c>
      <c r="B134" s="168" t="str">
        <f>VLOOKUP(D134,[1]LuongBC_T01!$B$9:$C$292,2,FALSE)</f>
        <v>0016100006643005</v>
      </c>
      <c r="C134" s="387" t="s">
        <v>901</v>
      </c>
      <c r="D134" s="169" t="s">
        <v>809</v>
      </c>
      <c r="E134" s="263" t="s">
        <v>1391</v>
      </c>
      <c r="F134" s="220"/>
      <c r="G134" s="220"/>
      <c r="H134" s="220"/>
      <c r="I134" s="220"/>
      <c r="J134" s="220"/>
      <c r="K134" s="168" t="s">
        <v>1346</v>
      </c>
      <c r="L134" s="220"/>
      <c r="M134" s="170" t="s">
        <v>901</v>
      </c>
      <c r="N134" s="390" t="s">
        <v>1438</v>
      </c>
      <c r="O134" s="170" t="s">
        <v>692</v>
      </c>
      <c r="P134" s="170">
        <v>2</v>
      </c>
      <c r="Q134" s="177">
        <v>3</v>
      </c>
      <c r="R134" s="176">
        <f>T134+V134+X134</f>
        <v>0.64</v>
      </c>
      <c r="S134" s="220"/>
      <c r="T134" s="176">
        <f>ROUND(Q134*S134/100,4)</f>
        <v>0</v>
      </c>
      <c r="U134" s="175">
        <f>Q134*S134*$D$8/100</f>
        <v>0</v>
      </c>
      <c r="V134" s="170">
        <v>0.25</v>
      </c>
      <c r="W134" s="179">
        <v>0.12</v>
      </c>
      <c r="X134" s="216">
        <f>ROUND((Q134+T134+V134)*W134,4)</f>
        <v>0.39</v>
      </c>
      <c r="Y134" s="216">
        <f>Q134+T134+V134+X134</f>
        <v>3.64</v>
      </c>
      <c r="Z134" s="180">
        <f>ROUND(Y134*$D$8,0)</f>
        <v>5423600</v>
      </c>
      <c r="AA134" s="180"/>
      <c r="AB134" s="180">
        <f>Z134/24*AA134</f>
        <v>0</v>
      </c>
      <c r="AC134" s="180">
        <f>Z134/24*AA134*75%</f>
        <v>0</v>
      </c>
      <c r="AD134" s="180">
        <f>ROUND(Z134-AB134+AC134,0)</f>
        <v>5423600</v>
      </c>
      <c r="AE134" s="178">
        <f t="shared" si="63"/>
        <v>433888</v>
      </c>
      <c r="AF134" s="178">
        <f t="shared" si="64"/>
        <v>81354</v>
      </c>
      <c r="AG134" s="178">
        <f t="shared" si="65"/>
        <v>54236</v>
      </c>
      <c r="AH134" s="178"/>
      <c r="AI134" s="178">
        <f>SUM(AE134:AH134)</f>
        <v>569478</v>
      </c>
      <c r="AJ134" s="192"/>
      <c r="AK134" s="182">
        <f>AJ134*$D$8</f>
        <v>0</v>
      </c>
      <c r="AL134" s="182"/>
      <c r="AM134" s="182"/>
      <c r="AN134" s="183">
        <f t="shared" si="68"/>
        <v>3.25</v>
      </c>
      <c r="AO134" s="246">
        <v>0.25</v>
      </c>
      <c r="AP134" s="185">
        <f>ROUND(AN134*AO134,4)</f>
        <v>0.8125</v>
      </c>
      <c r="AQ134" s="178">
        <f>ROUND(AP134*$D$8,0)</f>
        <v>1210625</v>
      </c>
      <c r="AR134" s="178"/>
      <c r="AS134" s="178">
        <f t="shared" si="75"/>
        <v>6064747</v>
      </c>
      <c r="AT134" s="469" t="str">
        <f t="shared" si="71"/>
        <v>116</v>
      </c>
      <c r="AU134" s="195"/>
      <c r="AV134" s="198"/>
    </row>
    <row r="135" spans="1:58" s="189" customFormat="1" ht="36.75" customHeight="1" x14ac:dyDescent="0.25">
      <c r="A135" s="168" t="s">
        <v>412</v>
      </c>
      <c r="B135" s="168" t="str">
        <f>VLOOKUP(D135,[1]LuongBC_T01!$B$9:$C$292,2,FALSE)</f>
        <v>0016100006505001</v>
      </c>
      <c r="C135" s="371" t="s">
        <v>930</v>
      </c>
      <c r="D135" s="169" t="s">
        <v>1210</v>
      </c>
      <c r="E135" s="263" t="s">
        <v>1256</v>
      </c>
      <c r="F135" s="169" t="s">
        <v>551</v>
      </c>
      <c r="G135" s="170"/>
      <c r="H135" s="170"/>
      <c r="I135" s="170" t="s">
        <v>284</v>
      </c>
      <c r="J135" s="169" t="s">
        <v>271</v>
      </c>
      <c r="K135" s="170" t="str">
        <f>VLOOKUP(D135,[2]T3!$B$2:$D$328,3,FALSE)</f>
        <v>024783702</v>
      </c>
      <c r="L135" s="171" t="s">
        <v>154</v>
      </c>
      <c r="M135" s="171" t="s">
        <v>930</v>
      </c>
      <c r="N135" s="393" t="s">
        <v>43</v>
      </c>
      <c r="O135" s="222" t="s">
        <v>697</v>
      </c>
      <c r="P135" s="172">
        <v>3</v>
      </c>
      <c r="Q135" s="174">
        <v>3.34</v>
      </c>
      <c r="R135" s="176">
        <f t="shared" si="55"/>
        <v>0.25</v>
      </c>
      <c r="S135" s="370"/>
      <c r="T135" s="176">
        <f t="shared" si="56"/>
        <v>0</v>
      </c>
      <c r="U135" s="175">
        <f t="shared" si="74"/>
        <v>0</v>
      </c>
      <c r="V135" s="170">
        <v>0.25</v>
      </c>
      <c r="W135" s="179">
        <f>VLOOKUP(D135,[3]BC!$D$14:$W$287,20,FALSE)</f>
        <v>0</v>
      </c>
      <c r="X135" s="216">
        <f t="shared" si="58"/>
        <v>0</v>
      </c>
      <c r="Y135" s="216">
        <f t="shared" si="59"/>
        <v>3.59</v>
      </c>
      <c r="Z135" s="180">
        <f t="shared" si="60"/>
        <v>5349100</v>
      </c>
      <c r="AA135" s="180"/>
      <c r="AB135" s="180">
        <f t="shared" si="72"/>
        <v>0</v>
      </c>
      <c r="AC135" s="180">
        <f t="shared" si="61"/>
        <v>0</v>
      </c>
      <c r="AD135" s="180">
        <f t="shared" si="62"/>
        <v>5349100</v>
      </c>
      <c r="AE135" s="178">
        <f t="shared" si="63"/>
        <v>427928</v>
      </c>
      <c r="AF135" s="178">
        <f t="shared" si="64"/>
        <v>80236.5</v>
      </c>
      <c r="AG135" s="178">
        <f t="shared" si="65"/>
        <v>53491</v>
      </c>
      <c r="AH135" s="178"/>
      <c r="AI135" s="178">
        <f t="shared" si="66"/>
        <v>561655.5</v>
      </c>
      <c r="AJ135" s="192"/>
      <c r="AK135" s="182">
        <f t="shared" si="67"/>
        <v>0</v>
      </c>
      <c r="AL135" s="182"/>
      <c r="AM135" s="182"/>
      <c r="AN135" s="193">
        <f t="shared" si="68"/>
        <v>3.59</v>
      </c>
      <c r="AO135" s="179"/>
      <c r="AP135" s="194">
        <f t="shared" si="73"/>
        <v>0</v>
      </c>
      <c r="AQ135" s="178">
        <f t="shared" si="69"/>
        <v>0</v>
      </c>
      <c r="AR135" s="178"/>
      <c r="AS135" s="178">
        <f t="shared" si="75"/>
        <v>4787445</v>
      </c>
      <c r="AT135" s="469" t="str">
        <f t="shared" si="71"/>
        <v>117</v>
      </c>
      <c r="AU135" s="195"/>
      <c r="AV135" s="224"/>
      <c r="AW135" s="29"/>
      <c r="AX135" s="29"/>
      <c r="AY135" s="29"/>
      <c r="AZ135" s="29"/>
      <c r="BA135" s="29"/>
      <c r="BB135" s="29"/>
      <c r="BC135" s="29"/>
      <c r="BD135" s="29"/>
      <c r="BE135" s="29"/>
      <c r="BF135" s="29"/>
    </row>
    <row r="136" spans="1:58" s="189" customFormat="1" ht="45" customHeight="1" x14ac:dyDescent="0.25">
      <c r="A136" s="168" t="s">
        <v>413</v>
      </c>
      <c r="B136" s="168" t="str">
        <f>VLOOKUP(D136,[1]LuongBC_T01!$B$9:$C$292,2,FALSE)</f>
        <v>0016100006679007</v>
      </c>
      <c r="C136" s="371" t="s">
        <v>1035</v>
      </c>
      <c r="D136" s="230" t="s">
        <v>785</v>
      </c>
      <c r="E136" s="263" t="s">
        <v>1462</v>
      </c>
      <c r="F136" s="231"/>
      <c r="G136" s="251"/>
      <c r="H136" s="251"/>
      <c r="I136" s="170" t="s">
        <v>284</v>
      </c>
      <c r="J136" s="231"/>
      <c r="K136" s="170" t="str">
        <f>VLOOKUP(D136,[2]T3!$B$2:$D$328,3,FALSE)</f>
        <v>079086004027</v>
      </c>
      <c r="L136" s="226">
        <v>1603205302590</v>
      </c>
      <c r="M136" s="226" t="s">
        <v>1035</v>
      </c>
      <c r="N136" s="393" t="s">
        <v>43</v>
      </c>
      <c r="O136" s="222" t="s">
        <v>697</v>
      </c>
      <c r="P136" s="172">
        <v>2</v>
      </c>
      <c r="Q136" s="174">
        <v>3.03</v>
      </c>
      <c r="R136" s="176">
        <f t="shared" si="55"/>
        <v>0</v>
      </c>
      <c r="S136" s="370"/>
      <c r="T136" s="176">
        <f t="shared" si="56"/>
        <v>0</v>
      </c>
      <c r="U136" s="175">
        <f t="shared" si="74"/>
        <v>0</v>
      </c>
      <c r="V136" s="170">
        <v>0</v>
      </c>
      <c r="W136" s="179">
        <f>VLOOKUP(D136,[3]BC!$D$14:$W$287,20,FALSE)</f>
        <v>0</v>
      </c>
      <c r="X136" s="216">
        <f t="shared" si="58"/>
        <v>0</v>
      </c>
      <c r="Y136" s="216">
        <f t="shared" si="59"/>
        <v>3.03</v>
      </c>
      <c r="Z136" s="180">
        <f t="shared" si="60"/>
        <v>4514700</v>
      </c>
      <c r="AA136" s="180"/>
      <c r="AB136" s="180">
        <f t="shared" si="72"/>
        <v>0</v>
      </c>
      <c r="AC136" s="180">
        <f t="shared" si="61"/>
        <v>0</v>
      </c>
      <c r="AD136" s="180">
        <f t="shared" si="62"/>
        <v>4514700</v>
      </c>
      <c r="AE136" s="178">
        <f t="shared" si="63"/>
        <v>361176</v>
      </c>
      <c r="AF136" s="178">
        <f t="shared" si="64"/>
        <v>67720.5</v>
      </c>
      <c r="AG136" s="178">
        <f t="shared" si="65"/>
        <v>45147</v>
      </c>
      <c r="AH136" s="178"/>
      <c r="AI136" s="178">
        <f t="shared" si="66"/>
        <v>474043.5</v>
      </c>
      <c r="AJ136" s="192"/>
      <c r="AK136" s="182">
        <f t="shared" si="67"/>
        <v>0</v>
      </c>
      <c r="AL136" s="182"/>
      <c r="AM136" s="182"/>
      <c r="AN136" s="193"/>
      <c r="AO136" s="179"/>
      <c r="AP136" s="194">
        <f t="shared" si="73"/>
        <v>0</v>
      </c>
      <c r="AQ136" s="178">
        <f t="shared" si="69"/>
        <v>0</v>
      </c>
      <c r="AR136" s="178"/>
      <c r="AS136" s="178">
        <f t="shared" si="75"/>
        <v>4040657</v>
      </c>
      <c r="AT136" s="469" t="str">
        <f t="shared" si="71"/>
        <v>118</v>
      </c>
      <c r="AU136" s="195"/>
      <c r="AV136" s="224"/>
    </row>
    <row r="137" spans="1:58" s="189" customFormat="1" ht="48" customHeight="1" x14ac:dyDescent="0.25">
      <c r="A137" s="168" t="s">
        <v>414</v>
      </c>
      <c r="B137" s="168" t="str">
        <f>VLOOKUP(D137,[1]LuongBC_T01!$B$9:$C$292,2,FALSE)</f>
        <v>0016100006654007</v>
      </c>
      <c r="C137" s="199" t="s">
        <v>1021</v>
      </c>
      <c r="D137" s="230" t="s">
        <v>804</v>
      </c>
      <c r="E137" s="263" t="s">
        <v>1431</v>
      </c>
      <c r="F137" s="169"/>
      <c r="G137" s="170" t="s">
        <v>25</v>
      </c>
      <c r="H137" s="170"/>
      <c r="I137" s="170"/>
      <c r="J137" s="169"/>
      <c r="K137" s="170" t="str">
        <f>VLOOKUP(D137,[2]T3!$B$2:$D$328,3,FALSE)</f>
        <v>020155632</v>
      </c>
      <c r="L137" s="253"/>
      <c r="M137" s="253" t="s">
        <v>1021</v>
      </c>
      <c r="N137" s="391" t="s">
        <v>39</v>
      </c>
      <c r="O137" s="222" t="s">
        <v>692</v>
      </c>
      <c r="P137" s="172">
        <v>5</v>
      </c>
      <c r="Q137" s="174">
        <v>3.99</v>
      </c>
      <c r="R137" s="176">
        <f>T137+V137+X137</f>
        <v>0</v>
      </c>
      <c r="S137" s="370"/>
      <c r="T137" s="176">
        <f>ROUND(Q137*S137/100,4)</f>
        <v>0</v>
      </c>
      <c r="U137" s="175">
        <f>Q137*S137*$D$8/100</f>
        <v>0</v>
      </c>
      <c r="V137" s="170"/>
      <c r="W137" s="179">
        <f>VLOOKUP(D137,[3]BC!$D$14:$W$287,20,FALSE)</f>
        <v>0</v>
      </c>
      <c r="X137" s="216">
        <f>ROUND((Q137+T137+V137)*W137,4)</f>
        <v>0</v>
      </c>
      <c r="Y137" s="216">
        <f>Q137+T137+V137+X137</f>
        <v>3.99</v>
      </c>
      <c r="Z137" s="180">
        <f t="shared" si="60"/>
        <v>5945100</v>
      </c>
      <c r="AA137" s="180"/>
      <c r="AB137" s="180">
        <f t="shared" si="72"/>
        <v>0</v>
      </c>
      <c r="AC137" s="180">
        <v>0</v>
      </c>
      <c r="AD137" s="180">
        <f t="shared" si="62"/>
        <v>5945100</v>
      </c>
      <c r="AE137" s="178">
        <f t="shared" si="63"/>
        <v>475608</v>
      </c>
      <c r="AF137" s="178">
        <f t="shared" si="64"/>
        <v>89176.5</v>
      </c>
      <c r="AG137" s="178">
        <f t="shared" si="65"/>
        <v>59451</v>
      </c>
      <c r="AH137" s="178"/>
      <c r="AI137" s="178">
        <f>SUM(AE137:AH137)</f>
        <v>624235.5</v>
      </c>
      <c r="AJ137" s="192"/>
      <c r="AK137" s="182">
        <f t="shared" si="67"/>
        <v>0</v>
      </c>
      <c r="AL137" s="182"/>
      <c r="AM137" s="182"/>
      <c r="AN137" s="193">
        <f>Q137+T137+V137</f>
        <v>3.99</v>
      </c>
      <c r="AO137" s="246"/>
      <c r="AP137" s="194">
        <f>ROUND(AN137*AO137,4)</f>
        <v>0</v>
      </c>
      <c r="AQ137" s="178">
        <f t="shared" si="69"/>
        <v>0</v>
      </c>
      <c r="AR137" s="178"/>
      <c r="AS137" s="178">
        <f t="shared" si="75"/>
        <v>5320865</v>
      </c>
      <c r="AT137" s="469" t="str">
        <f t="shared" si="71"/>
        <v>119</v>
      </c>
      <c r="AU137" s="195"/>
      <c r="AV137" s="195" t="s">
        <v>1130</v>
      </c>
      <c r="AW137" s="29"/>
      <c r="AX137" s="29"/>
      <c r="AY137" s="29"/>
      <c r="AZ137" s="29"/>
      <c r="BA137" s="29"/>
      <c r="BB137" s="29"/>
      <c r="BC137" s="29"/>
      <c r="BD137" s="29"/>
      <c r="BE137" s="29"/>
      <c r="BF137" s="29"/>
    </row>
    <row r="138" spans="1:58" s="189" customFormat="1" ht="42" customHeight="1" x14ac:dyDescent="0.25">
      <c r="A138" s="168" t="s">
        <v>415</v>
      </c>
      <c r="B138" s="168" t="str">
        <f>VLOOKUP(D138,[1]LuongBC_T01!$B$9:$C$292,2,FALSE)</f>
        <v>0016100006719001</v>
      </c>
      <c r="C138" s="371" t="s">
        <v>1036</v>
      </c>
      <c r="D138" s="169" t="s">
        <v>649</v>
      </c>
      <c r="E138" s="263" t="s">
        <v>1431</v>
      </c>
      <c r="F138" s="169" t="s">
        <v>549</v>
      </c>
      <c r="G138" s="170" t="s">
        <v>25</v>
      </c>
      <c r="H138" s="169"/>
      <c r="I138" s="169" t="s">
        <v>284</v>
      </c>
      <c r="J138" s="169"/>
      <c r="K138" s="170" t="str">
        <f>VLOOKUP(D138,[2]T3!$B$2:$D$328,3,FALSE)</f>
        <v>025240565</v>
      </c>
      <c r="L138" s="197">
        <v>1603205189653</v>
      </c>
      <c r="M138" s="197" t="s">
        <v>1036</v>
      </c>
      <c r="N138" s="393" t="s">
        <v>39</v>
      </c>
      <c r="O138" s="170" t="s">
        <v>692</v>
      </c>
      <c r="P138" s="170">
        <v>4</v>
      </c>
      <c r="Q138" s="192">
        <v>3.66</v>
      </c>
      <c r="R138" s="176">
        <f t="shared" si="55"/>
        <v>0</v>
      </c>
      <c r="S138" s="178"/>
      <c r="T138" s="176">
        <f t="shared" si="56"/>
        <v>0</v>
      </c>
      <c r="U138" s="175">
        <f t="shared" si="74"/>
        <v>0</v>
      </c>
      <c r="V138" s="178"/>
      <c r="W138" s="179">
        <f>VLOOKUP(D138,[3]BC!$D$14:$W$287,20,FALSE)</f>
        <v>0</v>
      </c>
      <c r="X138" s="216">
        <f t="shared" si="58"/>
        <v>0</v>
      </c>
      <c r="Y138" s="216">
        <f t="shared" si="59"/>
        <v>3.66</v>
      </c>
      <c r="Z138" s="180">
        <f t="shared" si="60"/>
        <v>5453400</v>
      </c>
      <c r="AA138" s="180"/>
      <c r="AB138" s="180">
        <f t="shared" si="72"/>
        <v>0</v>
      </c>
      <c r="AC138" s="180">
        <f t="shared" si="61"/>
        <v>0</v>
      </c>
      <c r="AD138" s="180">
        <f t="shared" si="62"/>
        <v>5453400</v>
      </c>
      <c r="AE138" s="178">
        <f t="shared" si="63"/>
        <v>436272</v>
      </c>
      <c r="AF138" s="178">
        <f t="shared" si="64"/>
        <v>81801</v>
      </c>
      <c r="AG138" s="178">
        <f t="shared" si="65"/>
        <v>54534</v>
      </c>
      <c r="AH138" s="178"/>
      <c r="AI138" s="178">
        <f t="shared" si="66"/>
        <v>572607</v>
      </c>
      <c r="AJ138" s="215"/>
      <c r="AK138" s="182">
        <f t="shared" si="67"/>
        <v>0</v>
      </c>
      <c r="AL138" s="182"/>
      <c r="AM138" s="182"/>
      <c r="AN138" s="193"/>
      <c r="AO138" s="179"/>
      <c r="AP138" s="194">
        <f t="shared" si="73"/>
        <v>0</v>
      </c>
      <c r="AQ138" s="178">
        <f t="shared" si="69"/>
        <v>0</v>
      </c>
      <c r="AR138" s="178"/>
      <c r="AS138" s="178">
        <f t="shared" si="75"/>
        <v>4880793</v>
      </c>
      <c r="AT138" s="469" t="str">
        <f t="shared" si="71"/>
        <v>120</v>
      </c>
      <c r="AU138" s="221"/>
      <c r="AV138" s="245" t="s">
        <v>706</v>
      </c>
      <c r="AW138" s="29"/>
      <c r="AX138" s="29"/>
      <c r="AY138" s="29"/>
      <c r="AZ138" s="29"/>
      <c r="BA138" s="29"/>
      <c r="BB138" s="29"/>
      <c r="BC138" s="29"/>
      <c r="BD138" s="29"/>
      <c r="BE138" s="29"/>
      <c r="BF138" s="29"/>
    </row>
    <row r="139" spans="1:58" s="189" customFormat="1" ht="33.75" customHeight="1" x14ac:dyDescent="0.25">
      <c r="A139" s="168" t="s">
        <v>416</v>
      </c>
      <c r="B139" s="168" t="str">
        <f>VLOOKUP(D139,[1]LuongBC_T01!$B$9:$C$292,2,FALSE)</f>
        <v>0016100006512008</v>
      </c>
      <c r="C139" s="371" t="s">
        <v>1037</v>
      </c>
      <c r="D139" s="169" t="s">
        <v>648</v>
      </c>
      <c r="E139" s="263" t="s">
        <v>1257</v>
      </c>
      <c r="F139" s="169" t="s">
        <v>549</v>
      </c>
      <c r="G139" s="170" t="s">
        <v>25</v>
      </c>
      <c r="H139" s="169"/>
      <c r="I139" s="169" t="s">
        <v>284</v>
      </c>
      <c r="J139" s="169"/>
      <c r="K139" s="170" t="str">
        <f>VLOOKUP(D139,[2]T3!$B$2:$D$328,3,FALSE)</f>
        <v>022527163</v>
      </c>
      <c r="L139" s="213" t="s">
        <v>660</v>
      </c>
      <c r="M139" s="213" t="s">
        <v>1037</v>
      </c>
      <c r="N139" s="393" t="s">
        <v>39</v>
      </c>
      <c r="O139" s="170" t="s">
        <v>692</v>
      </c>
      <c r="P139" s="170">
        <v>4</v>
      </c>
      <c r="Q139" s="192">
        <v>3.66</v>
      </c>
      <c r="R139" s="176">
        <f t="shared" si="55"/>
        <v>0</v>
      </c>
      <c r="S139" s="178"/>
      <c r="T139" s="176">
        <f t="shared" si="56"/>
        <v>0</v>
      </c>
      <c r="U139" s="175">
        <f t="shared" si="74"/>
        <v>0</v>
      </c>
      <c r="V139" s="178"/>
      <c r="W139" s="179">
        <f>VLOOKUP(D139,[3]BC!$D$14:$W$287,20,FALSE)</f>
        <v>0</v>
      </c>
      <c r="X139" s="216">
        <f t="shared" si="58"/>
        <v>0</v>
      </c>
      <c r="Y139" s="216">
        <f t="shared" si="59"/>
        <v>3.66</v>
      </c>
      <c r="Z139" s="180">
        <f t="shared" si="60"/>
        <v>5453400</v>
      </c>
      <c r="AA139" s="180"/>
      <c r="AB139" s="180">
        <f t="shared" si="72"/>
        <v>0</v>
      </c>
      <c r="AC139" s="180">
        <f t="shared" si="61"/>
        <v>0</v>
      </c>
      <c r="AD139" s="180">
        <f t="shared" si="62"/>
        <v>5453400</v>
      </c>
      <c r="AE139" s="178">
        <f t="shared" si="63"/>
        <v>436272</v>
      </c>
      <c r="AF139" s="178">
        <f t="shared" si="64"/>
        <v>81801</v>
      </c>
      <c r="AG139" s="178">
        <f t="shared" si="65"/>
        <v>54534</v>
      </c>
      <c r="AH139" s="178"/>
      <c r="AI139" s="178">
        <f t="shared" si="66"/>
        <v>572607</v>
      </c>
      <c r="AJ139" s="215"/>
      <c r="AK139" s="182">
        <f t="shared" si="67"/>
        <v>0</v>
      </c>
      <c r="AL139" s="182"/>
      <c r="AM139" s="182"/>
      <c r="AN139" s="193"/>
      <c r="AO139" s="179"/>
      <c r="AP139" s="194">
        <f t="shared" si="73"/>
        <v>0</v>
      </c>
      <c r="AQ139" s="178">
        <f t="shared" si="69"/>
        <v>0</v>
      </c>
      <c r="AR139" s="178"/>
      <c r="AS139" s="178">
        <f t="shared" si="75"/>
        <v>4880793</v>
      </c>
      <c r="AT139" s="469" t="str">
        <f t="shared" si="71"/>
        <v>121</v>
      </c>
      <c r="AU139" s="243"/>
      <c r="AV139" s="223"/>
      <c r="AW139" s="29"/>
      <c r="AX139" s="29"/>
      <c r="AY139" s="29"/>
      <c r="AZ139" s="29"/>
      <c r="BA139" s="29"/>
      <c r="BB139" s="29"/>
      <c r="BC139" s="29"/>
      <c r="BD139" s="29"/>
      <c r="BE139" s="29"/>
      <c r="BF139" s="29"/>
    </row>
    <row r="140" spans="1:58" s="189" customFormat="1" ht="42.75" customHeight="1" x14ac:dyDescent="0.25">
      <c r="A140" s="168" t="s">
        <v>417</v>
      </c>
      <c r="B140" s="168" t="str">
        <f>VLOOKUP(D140,[1]LuongBC_T01!$B$9:$C$292,2,FALSE)</f>
        <v>0016100006562005</v>
      </c>
      <c r="C140" s="371" t="s">
        <v>1038</v>
      </c>
      <c r="D140" s="169" t="s">
        <v>783</v>
      </c>
      <c r="E140" s="263" t="s">
        <v>1403</v>
      </c>
      <c r="F140" s="169"/>
      <c r="G140" s="169"/>
      <c r="H140" s="169"/>
      <c r="I140" s="169" t="s">
        <v>284</v>
      </c>
      <c r="J140" s="169"/>
      <c r="K140" s="170" t="str">
        <f>VLOOKUP(D140,[2]T3!$B$2:$D$328,3,FALSE)</f>
        <v>025326360</v>
      </c>
      <c r="L140" s="213"/>
      <c r="M140" s="213" t="s">
        <v>1038</v>
      </c>
      <c r="N140" s="393" t="s">
        <v>39</v>
      </c>
      <c r="O140" s="170" t="s">
        <v>692</v>
      </c>
      <c r="P140" s="170">
        <v>3</v>
      </c>
      <c r="Q140" s="192">
        <v>3.33</v>
      </c>
      <c r="R140" s="176">
        <f t="shared" si="55"/>
        <v>0</v>
      </c>
      <c r="S140" s="178"/>
      <c r="T140" s="176">
        <f t="shared" si="56"/>
        <v>0</v>
      </c>
      <c r="U140" s="175">
        <f t="shared" si="74"/>
        <v>0</v>
      </c>
      <c r="V140" s="178"/>
      <c r="W140" s="179">
        <f>VLOOKUP(D140,[3]BC!$D$14:$W$287,20,FALSE)</f>
        <v>0</v>
      </c>
      <c r="X140" s="216">
        <f t="shared" si="58"/>
        <v>0</v>
      </c>
      <c r="Y140" s="216">
        <f t="shared" si="59"/>
        <v>3.33</v>
      </c>
      <c r="Z140" s="180">
        <f t="shared" si="60"/>
        <v>4961700</v>
      </c>
      <c r="AA140" s="180"/>
      <c r="AB140" s="180">
        <f t="shared" si="72"/>
        <v>0</v>
      </c>
      <c r="AC140" s="180">
        <f t="shared" si="61"/>
        <v>0</v>
      </c>
      <c r="AD140" s="180">
        <f t="shared" si="62"/>
        <v>4961700</v>
      </c>
      <c r="AE140" s="178">
        <f t="shared" si="63"/>
        <v>396936</v>
      </c>
      <c r="AF140" s="178">
        <f t="shared" si="64"/>
        <v>74425.5</v>
      </c>
      <c r="AG140" s="178">
        <f t="shared" si="65"/>
        <v>49617</v>
      </c>
      <c r="AH140" s="178"/>
      <c r="AI140" s="178">
        <f t="shared" si="66"/>
        <v>520978.5</v>
      </c>
      <c r="AJ140" s="215"/>
      <c r="AK140" s="182">
        <f t="shared" si="67"/>
        <v>0</v>
      </c>
      <c r="AL140" s="182"/>
      <c r="AM140" s="182"/>
      <c r="AN140" s="193"/>
      <c r="AO140" s="179"/>
      <c r="AP140" s="194">
        <f t="shared" si="73"/>
        <v>0</v>
      </c>
      <c r="AQ140" s="178">
        <f t="shared" si="69"/>
        <v>0</v>
      </c>
      <c r="AR140" s="178"/>
      <c r="AS140" s="178">
        <f t="shared" si="75"/>
        <v>4440722</v>
      </c>
      <c r="AT140" s="469" t="str">
        <f t="shared" si="71"/>
        <v>122</v>
      </c>
      <c r="AU140" s="195"/>
      <c r="AV140" s="223"/>
      <c r="AW140" s="29"/>
      <c r="AX140" s="29"/>
      <c r="AY140" s="29"/>
      <c r="AZ140" s="29"/>
      <c r="BA140" s="29"/>
      <c r="BB140" s="29"/>
      <c r="BC140" s="29"/>
      <c r="BD140" s="29"/>
      <c r="BE140" s="29"/>
      <c r="BF140" s="29"/>
    </row>
    <row r="141" spans="1:58" s="189" customFormat="1" ht="36" customHeight="1" x14ac:dyDescent="0.25">
      <c r="A141" s="168" t="s">
        <v>418</v>
      </c>
      <c r="B141" s="168" t="str">
        <f>VLOOKUP(D141,[1]LuongBC_T01!$B$9:$C$292,2,FALSE)</f>
        <v>0016100006690003</v>
      </c>
      <c r="C141" s="371" t="s">
        <v>1039</v>
      </c>
      <c r="D141" s="169" t="s">
        <v>651</v>
      </c>
      <c r="E141" s="263" t="s">
        <v>1106</v>
      </c>
      <c r="F141" s="169" t="s">
        <v>553</v>
      </c>
      <c r="G141" s="169"/>
      <c r="H141" s="169"/>
      <c r="I141" s="169" t="s">
        <v>284</v>
      </c>
      <c r="J141" s="169"/>
      <c r="K141" s="170" t="str">
        <f>VLOOKUP(D141,[2]T3!$B$2:$D$328,3,FALSE)</f>
        <v>025211587</v>
      </c>
      <c r="L141" s="213" t="s">
        <v>661</v>
      </c>
      <c r="M141" s="213" t="s">
        <v>1039</v>
      </c>
      <c r="N141" s="393" t="s">
        <v>39</v>
      </c>
      <c r="O141" s="170" t="s">
        <v>692</v>
      </c>
      <c r="P141" s="170">
        <v>2</v>
      </c>
      <c r="Q141" s="192">
        <v>3</v>
      </c>
      <c r="R141" s="176">
        <f t="shared" si="55"/>
        <v>0</v>
      </c>
      <c r="S141" s="178"/>
      <c r="T141" s="176">
        <f t="shared" si="56"/>
        <v>0</v>
      </c>
      <c r="U141" s="175">
        <f t="shared" si="74"/>
        <v>0</v>
      </c>
      <c r="V141" s="178"/>
      <c r="W141" s="179">
        <f>VLOOKUP(D141,[3]BC!$D$14:$W$287,20,FALSE)</f>
        <v>0</v>
      </c>
      <c r="X141" s="216">
        <f t="shared" si="58"/>
        <v>0</v>
      </c>
      <c r="Y141" s="216">
        <f t="shared" si="59"/>
        <v>3</v>
      </c>
      <c r="Z141" s="180">
        <f t="shared" si="60"/>
        <v>4470000</v>
      </c>
      <c r="AA141" s="180"/>
      <c r="AB141" s="180">
        <f t="shared" si="72"/>
        <v>0</v>
      </c>
      <c r="AC141" s="180">
        <v>0</v>
      </c>
      <c r="AD141" s="180">
        <f t="shared" si="62"/>
        <v>4470000</v>
      </c>
      <c r="AE141" s="178">
        <f t="shared" si="63"/>
        <v>357600</v>
      </c>
      <c r="AF141" s="178">
        <f t="shared" si="64"/>
        <v>67050</v>
      </c>
      <c r="AG141" s="178">
        <f t="shared" si="65"/>
        <v>44700</v>
      </c>
      <c r="AH141" s="178"/>
      <c r="AI141" s="178">
        <f t="shared" si="66"/>
        <v>469350</v>
      </c>
      <c r="AJ141" s="215"/>
      <c r="AK141" s="182">
        <f t="shared" si="67"/>
        <v>0</v>
      </c>
      <c r="AL141" s="182"/>
      <c r="AM141" s="182"/>
      <c r="AN141" s="216"/>
      <c r="AO141" s="179"/>
      <c r="AP141" s="194">
        <f t="shared" si="73"/>
        <v>0</v>
      </c>
      <c r="AQ141" s="178">
        <f t="shared" si="69"/>
        <v>0</v>
      </c>
      <c r="AR141" s="178"/>
      <c r="AS141" s="178">
        <f t="shared" si="75"/>
        <v>4000650</v>
      </c>
      <c r="AT141" s="469" t="str">
        <f t="shared" si="71"/>
        <v>123</v>
      </c>
      <c r="AU141" s="221"/>
      <c r="AV141" s="242" t="s">
        <v>715</v>
      </c>
      <c r="AW141" s="29"/>
      <c r="AX141" s="29"/>
      <c r="AY141" s="29"/>
      <c r="AZ141" s="29"/>
      <c r="BA141" s="29"/>
      <c r="BB141" s="29"/>
      <c r="BC141" s="29"/>
      <c r="BD141" s="29"/>
      <c r="BE141" s="29"/>
      <c r="BF141" s="29"/>
    </row>
    <row r="142" spans="1:58" s="189" customFormat="1" ht="31.5" customHeight="1" x14ac:dyDescent="0.25">
      <c r="A142" s="168" t="s">
        <v>419</v>
      </c>
      <c r="B142" s="168" t="str">
        <f>VLOOKUP(D142,[1]LuongBC_T01!$B$9:$C$292,2,FALSE)</f>
        <v>0016100006792008</v>
      </c>
      <c r="C142" s="371" t="s">
        <v>1040</v>
      </c>
      <c r="D142" s="230" t="s">
        <v>780</v>
      </c>
      <c r="E142" s="263" t="s">
        <v>1133</v>
      </c>
      <c r="F142" s="231"/>
      <c r="G142" s="231"/>
      <c r="H142" s="231"/>
      <c r="I142" s="169" t="s">
        <v>284</v>
      </c>
      <c r="J142" s="231"/>
      <c r="K142" s="170" t="str">
        <f>VLOOKUP(D142,[2]T3!$B$2:$D$328,3,FALSE)</f>
        <v>079089006525</v>
      </c>
      <c r="L142" s="226">
        <v>1603205286752</v>
      </c>
      <c r="M142" s="226" t="s">
        <v>1040</v>
      </c>
      <c r="N142" s="393" t="s">
        <v>1116</v>
      </c>
      <c r="O142" s="170" t="s">
        <v>692</v>
      </c>
      <c r="P142" s="170">
        <v>3</v>
      </c>
      <c r="Q142" s="192">
        <v>3</v>
      </c>
      <c r="R142" s="333">
        <f t="shared" si="55"/>
        <v>0</v>
      </c>
      <c r="S142" s="298"/>
      <c r="T142" s="176">
        <f t="shared" si="56"/>
        <v>0</v>
      </c>
      <c r="U142" s="175">
        <f t="shared" si="74"/>
        <v>0</v>
      </c>
      <c r="V142" s="178"/>
      <c r="W142" s="179">
        <f>VLOOKUP(D142,[3]BC!$D$14:$W$287,20,FALSE)</f>
        <v>0</v>
      </c>
      <c r="X142" s="216">
        <f t="shared" si="58"/>
        <v>0</v>
      </c>
      <c r="Y142" s="216">
        <f t="shared" si="59"/>
        <v>3</v>
      </c>
      <c r="Z142" s="180">
        <f t="shared" si="60"/>
        <v>4470000</v>
      </c>
      <c r="AA142" s="180"/>
      <c r="AB142" s="180">
        <f t="shared" si="72"/>
        <v>0</v>
      </c>
      <c r="AC142" s="180">
        <f t="shared" si="61"/>
        <v>0</v>
      </c>
      <c r="AD142" s="180">
        <f t="shared" si="62"/>
        <v>4470000</v>
      </c>
      <c r="AE142" s="178">
        <f t="shared" si="63"/>
        <v>357600</v>
      </c>
      <c r="AF142" s="178">
        <f t="shared" si="64"/>
        <v>67050</v>
      </c>
      <c r="AG142" s="178">
        <f t="shared" si="65"/>
        <v>44700</v>
      </c>
      <c r="AH142" s="178"/>
      <c r="AI142" s="178">
        <f t="shared" si="66"/>
        <v>469350</v>
      </c>
      <c r="AJ142" s="215"/>
      <c r="AK142" s="182">
        <f t="shared" si="67"/>
        <v>0</v>
      </c>
      <c r="AL142" s="182"/>
      <c r="AM142" s="182"/>
      <c r="AN142" s="216"/>
      <c r="AO142" s="179"/>
      <c r="AP142" s="194">
        <f t="shared" si="73"/>
        <v>0</v>
      </c>
      <c r="AQ142" s="178">
        <f t="shared" si="69"/>
        <v>0</v>
      </c>
      <c r="AR142" s="178"/>
      <c r="AS142" s="178">
        <f t="shared" si="75"/>
        <v>4000650</v>
      </c>
      <c r="AT142" s="469" t="str">
        <f t="shared" si="71"/>
        <v>124</v>
      </c>
      <c r="AU142" s="195"/>
      <c r="AV142" s="242"/>
      <c r="AW142" s="29"/>
      <c r="AX142" s="29"/>
      <c r="AY142" s="29"/>
      <c r="AZ142" s="29"/>
      <c r="BA142" s="29"/>
      <c r="BB142" s="29"/>
      <c r="BC142" s="29"/>
      <c r="BD142" s="29"/>
      <c r="BE142" s="29"/>
      <c r="BF142" s="29"/>
    </row>
    <row r="143" spans="1:58" s="189" customFormat="1" ht="45" customHeight="1" x14ac:dyDescent="0.25">
      <c r="A143" s="168" t="s">
        <v>420</v>
      </c>
      <c r="B143" s="168" t="str">
        <f>VLOOKUP(D143,[1]LuongBC_T01!$B$9:$C$292,2,FALSE)</f>
        <v>0016100006765003</v>
      </c>
      <c r="C143" s="371" t="s">
        <v>1041</v>
      </c>
      <c r="D143" s="230" t="s">
        <v>781</v>
      </c>
      <c r="E143" s="263" t="s">
        <v>1107</v>
      </c>
      <c r="F143" s="231"/>
      <c r="G143" s="231"/>
      <c r="H143" s="231"/>
      <c r="I143" s="169" t="s">
        <v>284</v>
      </c>
      <c r="J143" s="231"/>
      <c r="K143" s="170" t="str">
        <f>VLOOKUP(D143,[2]T3!$B$2:$D$328,3,FALSE)</f>
        <v>025310266</v>
      </c>
      <c r="L143" s="249">
        <v>1603205280047</v>
      </c>
      <c r="M143" s="249" t="s">
        <v>1041</v>
      </c>
      <c r="N143" s="393" t="s">
        <v>1117</v>
      </c>
      <c r="O143" s="170" t="s">
        <v>692</v>
      </c>
      <c r="P143" s="170">
        <v>3</v>
      </c>
      <c r="Q143" s="192">
        <v>3.33</v>
      </c>
      <c r="R143" s="176">
        <f t="shared" si="55"/>
        <v>0</v>
      </c>
      <c r="S143" s="178"/>
      <c r="T143" s="176">
        <f t="shared" si="56"/>
        <v>0</v>
      </c>
      <c r="U143" s="175">
        <f t="shared" si="74"/>
        <v>0</v>
      </c>
      <c r="V143" s="178"/>
      <c r="W143" s="179">
        <f>VLOOKUP(D143,[3]BC!$D$14:$W$287,20,FALSE)</f>
        <v>0</v>
      </c>
      <c r="X143" s="216">
        <f t="shared" si="58"/>
        <v>0</v>
      </c>
      <c r="Y143" s="216">
        <f t="shared" si="59"/>
        <v>3.33</v>
      </c>
      <c r="Z143" s="180">
        <f t="shared" si="60"/>
        <v>4961700</v>
      </c>
      <c r="AA143" s="180"/>
      <c r="AB143" s="180">
        <f t="shared" si="72"/>
        <v>0</v>
      </c>
      <c r="AC143" s="180">
        <f t="shared" si="61"/>
        <v>0</v>
      </c>
      <c r="AD143" s="180">
        <f t="shared" si="62"/>
        <v>4961700</v>
      </c>
      <c r="AE143" s="178">
        <f t="shared" si="63"/>
        <v>396936</v>
      </c>
      <c r="AF143" s="178">
        <f t="shared" si="64"/>
        <v>74425.5</v>
      </c>
      <c r="AG143" s="178">
        <f t="shared" si="65"/>
        <v>49617</v>
      </c>
      <c r="AH143" s="178"/>
      <c r="AI143" s="178">
        <f t="shared" si="66"/>
        <v>520978.5</v>
      </c>
      <c r="AJ143" s="215"/>
      <c r="AK143" s="182">
        <f t="shared" si="67"/>
        <v>0</v>
      </c>
      <c r="AL143" s="182"/>
      <c r="AM143" s="182"/>
      <c r="AN143" s="216"/>
      <c r="AO143" s="179"/>
      <c r="AP143" s="194">
        <f t="shared" si="73"/>
        <v>0</v>
      </c>
      <c r="AQ143" s="178">
        <f t="shared" si="69"/>
        <v>0</v>
      </c>
      <c r="AR143" s="178"/>
      <c r="AS143" s="178">
        <f t="shared" si="75"/>
        <v>4440722</v>
      </c>
      <c r="AT143" s="469" t="str">
        <f t="shared" si="71"/>
        <v>125</v>
      </c>
      <c r="AU143" s="195"/>
      <c r="AV143" s="242"/>
      <c r="AW143" s="29"/>
      <c r="AX143" s="29"/>
      <c r="AY143" s="29"/>
      <c r="AZ143" s="29"/>
      <c r="BA143" s="29"/>
      <c r="BB143" s="29"/>
      <c r="BC143" s="29"/>
      <c r="BD143" s="29"/>
      <c r="BE143" s="29"/>
      <c r="BF143" s="29"/>
    </row>
    <row r="144" spans="1:58" s="189" customFormat="1" ht="36.75" customHeight="1" x14ac:dyDescent="0.25">
      <c r="A144" s="168" t="s">
        <v>1090</v>
      </c>
      <c r="B144" s="168" t="str">
        <f>VLOOKUP(D144,[1]LuongBC_T01!$B$9:$C$292,2,FALSE)</f>
        <v>0016100006864001</v>
      </c>
      <c r="C144" s="170" t="s">
        <v>1333</v>
      </c>
      <c r="D144" s="169" t="s">
        <v>1274</v>
      </c>
      <c r="E144" s="263" t="s">
        <v>1275</v>
      </c>
      <c r="F144" s="220"/>
      <c r="G144" s="220"/>
      <c r="H144" s="220"/>
      <c r="I144" s="220"/>
      <c r="J144" s="220"/>
      <c r="K144" s="170" t="str">
        <f>VLOOKUP(D144,[2]T3!$B$2:$D$328,3,FALSE)</f>
        <v>025575045</v>
      </c>
      <c r="L144" s="220"/>
      <c r="M144" s="170"/>
      <c r="N144" s="263" t="s">
        <v>1117</v>
      </c>
      <c r="O144" s="251" t="s">
        <v>1267</v>
      </c>
      <c r="P144" s="251">
        <v>1</v>
      </c>
      <c r="Q144" s="177">
        <v>2.1</v>
      </c>
      <c r="R144" s="176"/>
      <c r="S144" s="220"/>
      <c r="T144" s="176">
        <f>ROUND(Q144*S144/100,4)</f>
        <v>0</v>
      </c>
      <c r="U144" s="175"/>
      <c r="V144" s="170"/>
      <c r="W144" s="179">
        <f>VLOOKUP(D144,[3]BC!$D$14:$W$287,20,FALSE)</f>
        <v>0</v>
      </c>
      <c r="X144" s="216">
        <f>ROUND((Q144+T144+V144)*W144,4)</f>
        <v>0</v>
      </c>
      <c r="Y144" s="216">
        <f>Q144+T144+V144+X144</f>
        <v>2.1</v>
      </c>
      <c r="Z144" s="180">
        <f t="shared" si="60"/>
        <v>3129000</v>
      </c>
      <c r="AA144" s="180"/>
      <c r="AB144" s="180">
        <f>Z144/24*AA144</f>
        <v>0</v>
      </c>
      <c r="AC144" s="180">
        <v>0</v>
      </c>
      <c r="AD144" s="180">
        <f>ROUND(Z144-AB144+AC144,0)</f>
        <v>3129000</v>
      </c>
      <c r="AE144" s="178">
        <f t="shared" si="63"/>
        <v>250320</v>
      </c>
      <c r="AF144" s="178">
        <f t="shared" si="64"/>
        <v>46935</v>
      </c>
      <c r="AG144" s="178">
        <f t="shared" si="65"/>
        <v>31290</v>
      </c>
      <c r="AH144" s="178"/>
      <c r="AI144" s="178">
        <f>SUM(AE144:AH144)</f>
        <v>328545</v>
      </c>
      <c r="AJ144" s="192"/>
      <c r="AK144" s="182"/>
      <c r="AL144" s="182"/>
      <c r="AM144" s="182"/>
      <c r="AN144" s="183">
        <f>Q144+T144+V144</f>
        <v>2.1</v>
      </c>
      <c r="AO144" s="179"/>
      <c r="AP144" s="185">
        <f>ROUND(AN144*AO144,4)</f>
        <v>0</v>
      </c>
      <c r="AQ144" s="178">
        <f>ROUND(AP144*$D$8,0)</f>
        <v>0</v>
      </c>
      <c r="AR144" s="178"/>
      <c r="AS144" s="178">
        <f t="shared" si="75"/>
        <v>2800455</v>
      </c>
      <c r="AT144" s="469" t="str">
        <f t="shared" si="71"/>
        <v>126</v>
      </c>
      <c r="AU144" s="195"/>
      <c r="AV144" s="485"/>
      <c r="AW144" s="29"/>
      <c r="AX144" s="29"/>
      <c r="AY144" s="29"/>
      <c r="AZ144" s="29"/>
      <c r="BA144" s="29"/>
      <c r="BB144" s="29"/>
      <c r="BC144" s="29"/>
      <c r="BD144" s="29"/>
      <c r="BE144" s="29"/>
      <c r="BF144" s="29"/>
    </row>
    <row r="145" spans="1:58" s="189" customFormat="1" ht="45" customHeight="1" x14ac:dyDescent="0.25">
      <c r="A145" s="168" t="s">
        <v>421</v>
      </c>
      <c r="B145" s="168" t="str">
        <f>VLOOKUP(D145,[1]LuongBC_T01!$B$9:$C$292,2,FALSE)</f>
        <v>0016100006652004</v>
      </c>
      <c r="C145" s="371" t="s">
        <v>1042</v>
      </c>
      <c r="D145" s="230" t="s">
        <v>784</v>
      </c>
      <c r="E145" s="263" t="s">
        <v>1103</v>
      </c>
      <c r="F145" s="231"/>
      <c r="G145" s="251" t="s">
        <v>25</v>
      </c>
      <c r="H145" s="231"/>
      <c r="I145" s="169" t="s">
        <v>284</v>
      </c>
      <c r="J145" s="231"/>
      <c r="K145" s="170" t="str">
        <f>VLOOKUP(D145,[2]T3!$B$2:$D$328,3,FALSE)</f>
        <v>023124949</v>
      </c>
      <c r="L145" s="226" t="s">
        <v>792</v>
      </c>
      <c r="M145" s="226" t="s">
        <v>1042</v>
      </c>
      <c r="N145" s="393" t="s">
        <v>39</v>
      </c>
      <c r="O145" s="170" t="s">
        <v>692</v>
      </c>
      <c r="P145" s="170">
        <v>2</v>
      </c>
      <c r="Q145" s="192">
        <v>3</v>
      </c>
      <c r="R145" s="176">
        <f t="shared" si="55"/>
        <v>0</v>
      </c>
      <c r="S145" s="178"/>
      <c r="T145" s="176">
        <f t="shared" si="56"/>
        <v>0</v>
      </c>
      <c r="U145" s="175">
        <f t="shared" si="74"/>
        <v>0</v>
      </c>
      <c r="V145" s="178"/>
      <c r="W145" s="179">
        <f>VLOOKUP(D145,[3]BC!$D$14:$W$287,20,FALSE)</f>
        <v>0</v>
      </c>
      <c r="X145" s="216">
        <f t="shared" si="58"/>
        <v>0</v>
      </c>
      <c r="Y145" s="216">
        <f t="shared" si="59"/>
        <v>3</v>
      </c>
      <c r="Z145" s="180">
        <f t="shared" si="60"/>
        <v>4470000</v>
      </c>
      <c r="AA145" s="180"/>
      <c r="AB145" s="180">
        <f t="shared" si="72"/>
        <v>0</v>
      </c>
      <c r="AC145" s="180">
        <f t="shared" si="61"/>
        <v>0</v>
      </c>
      <c r="AD145" s="180">
        <f t="shared" si="62"/>
        <v>4470000</v>
      </c>
      <c r="AE145" s="178">
        <f t="shared" si="63"/>
        <v>357600</v>
      </c>
      <c r="AF145" s="178">
        <f t="shared" si="64"/>
        <v>67050</v>
      </c>
      <c r="AG145" s="178">
        <f t="shared" si="65"/>
        <v>44700</v>
      </c>
      <c r="AH145" s="178"/>
      <c r="AI145" s="178">
        <f t="shared" si="66"/>
        <v>469350</v>
      </c>
      <c r="AJ145" s="215"/>
      <c r="AK145" s="182">
        <f t="shared" si="67"/>
        <v>0</v>
      </c>
      <c r="AL145" s="182"/>
      <c r="AM145" s="182"/>
      <c r="AN145" s="216"/>
      <c r="AO145" s="179"/>
      <c r="AP145" s="194">
        <f t="shared" si="73"/>
        <v>0</v>
      </c>
      <c r="AQ145" s="178">
        <f t="shared" si="69"/>
        <v>0</v>
      </c>
      <c r="AR145" s="178"/>
      <c r="AS145" s="178">
        <f t="shared" si="75"/>
        <v>4000650</v>
      </c>
      <c r="AT145" s="469" t="str">
        <f t="shared" si="71"/>
        <v>127</v>
      </c>
      <c r="AU145" s="195"/>
      <c r="AV145" s="242"/>
      <c r="AW145" s="29"/>
      <c r="AX145" s="29"/>
      <c r="AY145" s="29"/>
      <c r="AZ145" s="29"/>
      <c r="BA145" s="29"/>
      <c r="BB145" s="29"/>
      <c r="BC145" s="29"/>
      <c r="BD145" s="29"/>
      <c r="BE145" s="29"/>
      <c r="BF145" s="29"/>
    </row>
    <row r="146" spans="1:58" s="189" customFormat="1" ht="40.5" customHeight="1" x14ac:dyDescent="0.25">
      <c r="A146" s="168" t="s">
        <v>422</v>
      </c>
      <c r="B146" s="168" t="str">
        <f>VLOOKUP(D146,[1]LuongBC_T01!$B$9:$C$292,2,FALSE)</f>
        <v>0016100006561009</v>
      </c>
      <c r="C146" s="519" t="s">
        <v>1043</v>
      </c>
      <c r="D146" s="520" t="s">
        <v>770</v>
      </c>
      <c r="E146" s="521" t="s">
        <v>1416</v>
      </c>
      <c r="F146" s="522"/>
      <c r="G146" s="523" t="s">
        <v>25</v>
      </c>
      <c r="H146" s="522"/>
      <c r="I146" s="524" t="s">
        <v>284</v>
      </c>
      <c r="J146" s="522"/>
      <c r="K146" s="525" t="str">
        <f>VLOOKUP(D146,[2]T3!$B$2:$D$328,3,FALSE)</f>
        <v>310895348</v>
      </c>
      <c r="L146" s="526">
        <v>1603205185623</v>
      </c>
      <c r="M146" s="526" t="s">
        <v>1043</v>
      </c>
      <c r="N146" s="527" t="s">
        <v>39</v>
      </c>
      <c r="O146" s="525" t="s">
        <v>692</v>
      </c>
      <c r="P146" s="525">
        <v>2</v>
      </c>
      <c r="Q146" s="528">
        <v>3</v>
      </c>
      <c r="R146" s="463">
        <f t="shared" si="55"/>
        <v>0</v>
      </c>
      <c r="S146" s="524"/>
      <c r="T146" s="463">
        <f t="shared" si="56"/>
        <v>0</v>
      </c>
      <c r="U146" s="529">
        <f t="shared" si="74"/>
        <v>0</v>
      </c>
      <c r="V146" s="525"/>
      <c r="W146" s="179">
        <f>VLOOKUP(D146,[3]BC!$D$14:$W$287,20,FALSE)</f>
        <v>0</v>
      </c>
      <c r="X146" s="531">
        <f t="shared" si="58"/>
        <v>0</v>
      </c>
      <c r="Y146" s="531">
        <f t="shared" si="59"/>
        <v>3</v>
      </c>
      <c r="Z146" s="180">
        <f t="shared" si="60"/>
        <v>4470000</v>
      </c>
      <c r="AA146" s="532"/>
      <c r="AB146" s="532">
        <f t="shared" si="72"/>
        <v>0</v>
      </c>
      <c r="AC146" s="532">
        <f t="shared" si="61"/>
        <v>0</v>
      </c>
      <c r="AD146" s="532">
        <f t="shared" si="62"/>
        <v>4470000</v>
      </c>
      <c r="AE146" s="533">
        <f t="shared" si="63"/>
        <v>357600</v>
      </c>
      <c r="AF146" s="533">
        <f t="shared" si="64"/>
        <v>67050</v>
      </c>
      <c r="AG146" s="533">
        <f t="shared" si="65"/>
        <v>44700</v>
      </c>
      <c r="AH146" s="533"/>
      <c r="AI146" s="533">
        <f t="shared" si="66"/>
        <v>469350</v>
      </c>
      <c r="AJ146" s="534"/>
      <c r="AK146" s="535">
        <f t="shared" si="67"/>
        <v>0</v>
      </c>
      <c r="AL146" s="535"/>
      <c r="AM146" s="535"/>
      <c r="AN146" s="536">
        <f>Q146+T146+V146</f>
        <v>3</v>
      </c>
      <c r="AO146" s="530"/>
      <c r="AP146" s="537">
        <f t="shared" si="73"/>
        <v>0</v>
      </c>
      <c r="AQ146" s="533">
        <f t="shared" si="69"/>
        <v>0</v>
      </c>
      <c r="AR146" s="533"/>
      <c r="AS146" s="533">
        <f t="shared" si="75"/>
        <v>4000650</v>
      </c>
      <c r="AT146" s="538" t="str">
        <f t="shared" si="71"/>
        <v>128</v>
      </c>
      <c r="AU146" s="539"/>
      <c r="AV146" s="239" t="s">
        <v>769</v>
      </c>
      <c r="AW146" s="29"/>
      <c r="AX146" s="29"/>
      <c r="AY146" s="29"/>
      <c r="AZ146" s="29"/>
      <c r="BA146" s="29"/>
      <c r="BB146" s="29"/>
      <c r="BC146" s="29"/>
      <c r="BD146" s="29"/>
      <c r="BE146" s="29"/>
      <c r="BF146" s="29"/>
    </row>
    <row r="147" spans="1:58" s="189" customFormat="1" ht="38.25" x14ac:dyDescent="0.25">
      <c r="A147" s="168" t="s">
        <v>423</v>
      </c>
      <c r="B147" s="168" t="str">
        <f>VLOOKUP(D147,[1]LuongBC_T01!$B$9:$C$292,2,FALSE)</f>
        <v>0016100006541008</v>
      </c>
      <c r="C147" s="371" t="s">
        <v>1044</v>
      </c>
      <c r="D147" s="169" t="s">
        <v>650</v>
      </c>
      <c r="E147" s="263" t="s">
        <v>1103</v>
      </c>
      <c r="F147" s="169" t="s">
        <v>549</v>
      </c>
      <c r="G147" s="170" t="s">
        <v>25</v>
      </c>
      <c r="H147" s="169"/>
      <c r="I147" s="169" t="s">
        <v>284</v>
      </c>
      <c r="J147" s="169"/>
      <c r="K147" s="170" t="str">
        <f>VLOOKUP(D147,[2]T3!$B$2:$D$328,3,FALSE)</f>
        <v>023660331</v>
      </c>
      <c r="L147" s="197">
        <v>1603205182178</v>
      </c>
      <c r="M147" s="197" t="s">
        <v>1044</v>
      </c>
      <c r="N147" s="393" t="s">
        <v>43</v>
      </c>
      <c r="O147" s="170" t="s">
        <v>697</v>
      </c>
      <c r="P147" s="170">
        <v>3</v>
      </c>
      <c r="Q147" s="192">
        <v>3.03</v>
      </c>
      <c r="R147" s="176">
        <f t="shared" si="55"/>
        <v>0</v>
      </c>
      <c r="S147" s="178"/>
      <c r="T147" s="176">
        <f t="shared" si="56"/>
        <v>0</v>
      </c>
      <c r="U147" s="175">
        <f t="shared" si="74"/>
        <v>0</v>
      </c>
      <c r="V147" s="178"/>
      <c r="W147" s="179">
        <f>VLOOKUP(D147,[3]BC!$D$14:$W$287,20,FALSE)</f>
        <v>0</v>
      </c>
      <c r="X147" s="216">
        <f t="shared" si="58"/>
        <v>0</v>
      </c>
      <c r="Y147" s="216">
        <f t="shared" si="59"/>
        <v>3.03</v>
      </c>
      <c r="Z147" s="180">
        <f t="shared" si="60"/>
        <v>4514700</v>
      </c>
      <c r="AA147" s="180"/>
      <c r="AB147" s="180">
        <f t="shared" si="72"/>
        <v>0</v>
      </c>
      <c r="AC147" s="532">
        <f t="shared" si="61"/>
        <v>0</v>
      </c>
      <c r="AD147" s="180">
        <f t="shared" si="62"/>
        <v>4514700</v>
      </c>
      <c r="AE147" s="533">
        <f t="shared" si="63"/>
        <v>361176</v>
      </c>
      <c r="AF147" s="533">
        <f t="shared" si="64"/>
        <v>67720.5</v>
      </c>
      <c r="AG147" s="533">
        <f t="shared" si="65"/>
        <v>45147</v>
      </c>
      <c r="AH147" s="178"/>
      <c r="AI147" s="178">
        <f t="shared" si="66"/>
        <v>474043.5</v>
      </c>
      <c r="AJ147" s="215"/>
      <c r="AK147" s="182">
        <f t="shared" si="67"/>
        <v>0</v>
      </c>
      <c r="AL147" s="182"/>
      <c r="AM147" s="182"/>
      <c r="AN147" s="193"/>
      <c r="AO147" s="179"/>
      <c r="AP147" s="194">
        <f t="shared" si="73"/>
        <v>0</v>
      </c>
      <c r="AQ147" s="178">
        <f t="shared" si="69"/>
        <v>0</v>
      </c>
      <c r="AR147" s="178"/>
      <c r="AS147" s="178">
        <f t="shared" si="75"/>
        <v>4040657</v>
      </c>
      <c r="AT147" s="469" t="str">
        <f t="shared" si="71"/>
        <v>129</v>
      </c>
      <c r="AU147" s="221"/>
      <c r="AV147" s="186" t="s">
        <v>709</v>
      </c>
      <c r="AW147" s="29"/>
      <c r="AX147" s="29"/>
      <c r="AY147" s="29"/>
      <c r="AZ147" s="29"/>
      <c r="BA147" s="29"/>
      <c r="BB147" s="29"/>
      <c r="BC147" s="29"/>
      <c r="BD147" s="29"/>
      <c r="BE147" s="29"/>
      <c r="BF147" s="29"/>
    </row>
    <row r="148" spans="1:58" s="189" customFormat="1" ht="33.75" customHeight="1" x14ac:dyDescent="0.25">
      <c r="A148" s="168" t="s">
        <v>773</v>
      </c>
      <c r="B148" s="168" t="str">
        <f>VLOOKUP(D148,[1]LuongBC_T01!$B$9:$C$292,2,FALSE)</f>
        <v>0016100006733004</v>
      </c>
      <c r="C148" s="199" t="s">
        <v>1022</v>
      </c>
      <c r="D148" s="230" t="s">
        <v>802</v>
      </c>
      <c r="E148" s="263" t="s">
        <v>1133</v>
      </c>
      <c r="F148" s="169"/>
      <c r="G148" s="170" t="s">
        <v>25</v>
      </c>
      <c r="H148" s="170"/>
      <c r="I148" s="170"/>
      <c r="J148" s="169"/>
      <c r="K148" s="170" t="str">
        <f>VLOOKUP(D148,[2]T3!$B$2:$D$328,3,FALSE)</f>
        <v>025442983</v>
      </c>
      <c r="L148" s="253"/>
      <c r="M148" s="253" t="s">
        <v>1022</v>
      </c>
      <c r="N148" s="391" t="s">
        <v>43</v>
      </c>
      <c r="O148" s="222" t="s">
        <v>697</v>
      </c>
      <c r="P148" s="172">
        <v>1</v>
      </c>
      <c r="Q148" s="174">
        <v>2.72</v>
      </c>
      <c r="R148" s="176">
        <f t="shared" si="55"/>
        <v>0</v>
      </c>
      <c r="S148" s="370"/>
      <c r="T148" s="176">
        <f t="shared" si="56"/>
        <v>0</v>
      </c>
      <c r="U148" s="175"/>
      <c r="V148" s="170"/>
      <c r="W148" s="179">
        <f>VLOOKUP(D148,[3]BC!$D$14:$W$287,20,FALSE)</f>
        <v>0</v>
      </c>
      <c r="X148" s="216">
        <f t="shared" si="58"/>
        <v>0</v>
      </c>
      <c r="Y148" s="216">
        <f t="shared" si="59"/>
        <v>2.72</v>
      </c>
      <c r="Z148" s="180">
        <f t="shared" si="60"/>
        <v>4052800</v>
      </c>
      <c r="AA148" s="180"/>
      <c r="AB148" s="180">
        <f t="shared" si="72"/>
        <v>0</v>
      </c>
      <c r="AC148" s="532">
        <f t="shared" si="61"/>
        <v>0</v>
      </c>
      <c r="AD148" s="180">
        <f t="shared" si="62"/>
        <v>4052800</v>
      </c>
      <c r="AE148" s="178">
        <f t="shared" si="63"/>
        <v>324224</v>
      </c>
      <c r="AF148" s="178">
        <f t="shared" si="64"/>
        <v>60792</v>
      </c>
      <c r="AG148" s="178">
        <f t="shared" si="65"/>
        <v>40528</v>
      </c>
      <c r="AH148" s="178"/>
      <c r="AI148" s="178">
        <f>SUM(AE148:AH148)</f>
        <v>425544</v>
      </c>
      <c r="AJ148" s="192"/>
      <c r="AK148" s="182">
        <f t="shared" si="67"/>
        <v>0</v>
      </c>
      <c r="AL148" s="182"/>
      <c r="AM148" s="182"/>
      <c r="AN148" s="193">
        <f>Q148+T148+V148</f>
        <v>2.72</v>
      </c>
      <c r="AO148" s="246"/>
      <c r="AP148" s="194">
        <f t="shared" si="73"/>
        <v>0</v>
      </c>
      <c r="AQ148" s="178">
        <f t="shared" si="69"/>
        <v>0</v>
      </c>
      <c r="AR148" s="178"/>
      <c r="AS148" s="178">
        <f t="shared" si="75"/>
        <v>3627256</v>
      </c>
      <c r="AT148" s="469" t="str">
        <f t="shared" si="71"/>
        <v>130</v>
      </c>
      <c r="AU148" s="195"/>
      <c r="AV148" s="198"/>
      <c r="AW148" s="29"/>
      <c r="AX148" s="29"/>
      <c r="AY148" s="29"/>
      <c r="AZ148" s="29"/>
      <c r="BA148" s="29"/>
      <c r="BB148" s="29"/>
      <c r="BC148" s="29"/>
      <c r="BD148" s="29"/>
      <c r="BE148" s="29"/>
      <c r="BF148" s="29"/>
    </row>
    <row r="149" spans="1:58" s="189" customFormat="1" ht="32.25" customHeight="1" x14ac:dyDescent="0.25">
      <c r="A149" s="168" t="s">
        <v>424</v>
      </c>
      <c r="B149" s="168" t="str">
        <f>VLOOKUP(D149,[1]LuongBC_T01!$B$9:$C$292,2,FALSE)</f>
        <v>0016100006493003</v>
      </c>
      <c r="C149" s="371" t="s">
        <v>1045</v>
      </c>
      <c r="D149" s="230" t="s">
        <v>778</v>
      </c>
      <c r="E149" s="263" t="s">
        <v>1106</v>
      </c>
      <c r="F149" s="231"/>
      <c r="G149" s="231"/>
      <c r="H149" s="231"/>
      <c r="I149" s="231" t="s">
        <v>284</v>
      </c>
      <c r="J149" s="231"/>
      <c r="K149" s="170" t="str">
        <f>VLOOKUP(D149,[2]T3!$B$2:$D$328,3,FALSE)</f>
        <v>024698782</v>
      </c>
      <c r="L149" s="226">
        <v>1603205348129</v>
      </c>
      <c r="M149" s="226" t="s">
        <v>1045</v>
      </c>
      <c r="N149" s="393" t="s">
        <v>43</v>
      </c>
      <c r="O149" s="170" t="s">
        <v>697</v>
      </c>
      <c r="P149" s="170">
        <v>1</v>
      </c>
      <c r="Q149" s="177">
        <v>2.72</v>
      </c>
      <c r="R149" s="176">
        <f t="shared" si="55"/>
        <v>0</v>
      </c>
      <c r="S149" s="169"/>
      <c r="T149" s="176">
        <f t="shared" si="56"/>
        <v>0</v>
      </c>
      <c r="U149" s="175">
        <f>Q149*S149*$D$8/100</f>
        <v>0</v>
      </c>
      <c r="V149" s="170"/>
      <c r="W149" s="179">
        <f>VLOOKUP(D149,[3]BC!$D$14:$W$287,20,FALSE)</f>
        <v>0</v>
      </c>
      <c r="X149" s="216">
        <f t="shared" si="58"/>
        <v>0</v>
      </c>
      <c r="Y149" s="216">
        <f t="shared" si="59"/>
        <v>2.72</v>
      </c>
      <c r="Z149" s="180">
        <f t="shared" si="60"/>
        <v>4052800</v>
      </c>
      <c r="AA149" s="180"/>
      <c r="AB149" s="180">
        <f t="shared" si="72"/>
        <v>0</v>
      </c>
      <c r="AC149" s="180">
        <v>0</v>
      </c>
      <c r="AD149" s="180">
        <f t="shared" si="62"/>
        <v>4052800</v>
      </c>
      <c r="AE149" s="178">
        <f t="shared" si="63"/>
        <v>324224</v>
      </c>
      <c r="AF149" s="178">
        <f t="shared" si="64"/>
        <v>60792</v>
      </c>
      <c r="AG149" s="178">
        <f t="shared" si="65"/>
        <v>40528</v>
      </c>
      <c r="AH149" s="178"/>
      <c r="AI149" s="178">
        <f t="shared" si="66"/>
        <v>425544</v>
      </c>
      <c r="AJ149" s="192"/>
      <c r="AK149" s="182">
        <f t="shared" si="67"/>
        <v>0</v>
      </c>
      <c r="AL149" s="182"/>
      <c r="AM149" s="182"/>
      <c r="AN149" s="183"/>
      <c r="AO149" s="179"/>
      <c r="AP149" s="194">
        <f t="shared" si="73"/>
        <v>0</v>
      </c>
      <c r="AQ149" s="178">
        <f t="shared" si="69"/>
        <v>0</v>
      </c>
      <c r="AR149" s="178"/>
      <c r="AS149" s="178">
        <f t="shared" si="75"/>
        <v>3627256</v>
      </c>
      <c r="AT149" s="469" t="str">
        <f t="shared" si="71"/>
        <v>131</v>
      </c>
      <c r="AU149" s="195"/>
      <c r="AV149" s="248"/>
      <c r="AW149" s="29"/>
      <c r="AX149" s="29"/>
      <c r="AY149" s="29"/>
      <c r="AZ149" s="29"/>
      <c r="BA149" s="29"/>
      <c r="BB149" s="29"/>
      <c r="BC149" s="29"/>
      <c r="BD149" s="29"/>
      <c r="BE149" s="29"/>
      <c r="BF149" s="29"/>
    </row>
    <row r="150" spans="1:58" s="189" customFormat="1" ht="31.5" customHeight="1" x14ac:dyDescent="0.25">
      <c r="A150" s="168" t="s">
        <v>425</v>
      </c>
      <c r="B150" s="168" t="str">
        <f>VLOOKUP(D150,[1]LuongBC_T01!$B$9:$C$292,2,FALSE)</f>
        <v>0016100006678003</v>
      </c>
      <c r="C150" s="371" t="s">
        <v>1046</v>
      </c>
      <c r="D150" s="230" t="s">
        <v>779</v>
      </c>
      <c r="E150" s="263" t="s">
        <v>1106</v>
      </c>
      <c r="F150" s="231"/>
      <c r="G150" s="231"/>
      <c r="H150" s="231"/>
      <c r="I150" s="231" t="s">
        <v>284</v>
      </c>
      <c r="J150" s="231"/>
      <c r="K150" s="170" t="str">
        <f>VLOOKUP(D150,[2]T3!$B$2:$D$328,3,FALSE)</f>
        <v>024647632</v>
      </c>
      <c r="L150" s="226">
        <v>1603205357238</v>
      </c>
      <c r="M150" s="226" t="s">
        <v>1046</v>
      </c>
      <c r="N150" s="393" t="s">
        <v>43</v>
      </c>
      <c r="O150" s="170" t="s">
        <v>697</v>
      </c>
      <c r="P150" s="170">
        <v>1</v>
      </c>
      <c r="Q150" s="177">
        <v>2.72</v>
      </c>
      <c r="R150" s="176">
        <f t="shared" si="55"/>
        <v>0</v>
      </c>
      <c r="S150" s="169"/>
      <c r="T150" s="176">
        <f t="shared" si="56"/>
        <v>0</v>
      </c>
      <c r="U150" s="175">
        <f>Q150*S150*$D$8/100</f>
        <v>0</v>
      </c>
      <c r="V150" s="170"/>
      <c r="W150" s="179">
        <f>VLOOKUP(D150,[3]BC!$D$14:$W$287,20,FALSE)</f>
        <v>0</v>
      </c>
      <c r="X150" s="216">
        <f t="shared" si="58"/>
        <v>0</v>
      </c>
      <c r="Y150" s="216">
        <f t="shared" si="59"/>
        <v>2.72</v>
      </c>
      <c r="Z150" s="180">
        <f t="shared" si="60"/>
        <v>4052800</v>
      </c>
      <c r="AA150" s="180"/>
      <c r="AB150" s="180">
        <f t="shared" si="72"/>
        <v>0</v>
      </c>
      <c r="AC150" s="180">
        <v>0</v>
      </c>
      <c r="AD150" s="180">
        <f t="shared" si="62"/>
        <v>4052800</v>
      </c>
      <c r="AE150" s="178">
        <f t="shared" si="63"/>
        <v>324224</v>
      </c>
      <c r="AF150" s="178">
        <f t="shared" si="64"/>
        <v>60792</v>
      </c>
      <c r="AG150" s="178">
        <f t="shared" si="65"/>
        <v>40528</v>
      </c>
      <c r="AH150" s="178"/>
      <c r="AI150" s="178">
        <f t="shared" si="66"/>
        <v>425544</v>
      </c>
      <c r="AJ150" s="192"/>
      <c r="AK150" s="182">
        <f t="shared" si="67"/>
        <v>0</v>
      </c>
      <c r="AL150" s="182"/>
      <c r="AM150" s="182"/>
      <c r="AN150" s="183"/>
      <c r="AO150" s="179"/>
      <c r="AP150" s="194">
        <f t="shared" si="73"/>
        <v>0</v>
      </c>
      <c r="AQ150" s="178">
        <f t="shared" si="69"/>
        <v>0</v>
      </c>
      <c r="AR150" s="178"/>
      <c r="AS150" s="178">
        <f t="shared" si="75"/>
        <v>3627256</v>
      </c>
      <c r="AT150" s="469" t="str">
        <f t="shared" si="71"/>
        <v>132</v>
      </c>
      <c r="AU150" s="195"/>
      <c r="AV150" s="248"/>
      <c r="AW150" s="29"/>
      <c r="AX150" s="29"/>
      <c r="AY150" s="29"/>
      <c r="AZ150" s="29"/>
      <c r="BA150" s="29"/>
      <c r="BB150" s="29"/>
      <c r="BC150" s="29"/>
      <c r="BD150" s="29"/>
      <c r="BE150" s="29"/>
      <c r="BF150" s="29"/>
    </row>
    <row r="151" spans="1:58" s="189" customFormat="1" ht="42" customHeight="1" x14ac:dyDescent="0.25">
      <c r="A151" s="168" t="s">
        <v>426</v>
      </c>
      <c r="B151" s="168" t="str">
        <f>VLOOKUP(D151,[1]LuongBC_T01!$B$9:$C$292,2,FALSE)</f>
        <v>0016100006549009</v>
      </c>
      <c r="C151" s="371" t="s">
        <v>1047</v>
      </c>
      <c r="D151" s="230" t="s">
        <v>1211</v>
      </c>
      <c r="E151" s="263" t="s">
        <v>1107</v>
      </c>
      <c r="F151" s="231"/>
      <c r="G151" s="251" t="s">
        <v>25</v>
      </c>
      <c r="H151" s="231"/>
      <c r="I151" s="170" t="s">
        <v>284</v>
      </c>
      <c r="J151" s="231"/>
      <c r="K151" s="170" t="str">
        <f>VLOOKUP(D151,[2]T3!$B$2:$D$328,3,FALSE)</f>
        <v>025877702</v>
      </c>
      <c r="L151" s="226">
        <v>1603205360856</v>
      </c>
      <c r="M151" s="226" t="s">
        <v>1047</v>
      </c>
      <c r="N151" s="393" t="s">
        <v>43</v>
      </c>
      <c r="O151" s="170" t="s">
        <v>697</v>
      </c>
      <c r="P151" s="170">
        <v>1</v>
      </c>
      <c r="Q151" s="177">
        <v>2.72</v>
      </c>
      <c r="R151" s="176">
        <f t="shared" si="55"/>
        <v>0</v>
      </c>
      <c r="S151" s="169"/>
      <c r="T151" s="176">
        <f t="shared" si="56"/>
        <v>0</v>
      </c>
      <c r="U151" s="175">
        <f>Q151*S151*$D$8/100</f>
        <v>0</v>
      </c>
      <c r="V151" s="170"/>
      <c r="W151" s="179">
        <f>VLOOKUP(D151,[3]BC!$D$14:$W$287,20,FALSE)</f>
        <v>0</v>
      </c>
      <c r="X151" s="216">
        <f t="shared" si="58"/>
        <v>0</v>
      </c>
      <c r="Y151" s="216">
        <f t="shared" si="59"/>
        <v>2.72</v>
      </c>
      <c r="Z151" s="180">
        <f t="shared" si="60"/>
        <v>4052800</v>
      </c>
      <c r="AA151" s="180"/>
      <c r="AB151" s="180">
        <f t="shared" si="72"/>
        <v>0</v>
      </c>
      <c r="AC151" s="180">
        <f>Z151/24*AA151*75%</f>
        <v>0</v>
      </c>
      <c r="AD151" s="180">
        <f t="shared" si="62"/>
        <v>4052800</v>
      </c>
      <c r="AE151" s="178">
        <f t="shared" si="63"/>
        <v>324224</v>
      </c>
      <c r="AF151" s="178">
        <f t="shared" si="64"/>
        <v>60792</v>
      </c>
      <c r="AG151" s="178">
        <f t="shared" si="65"/>
        <v>40528</v>
      </c>
      <c r="AH151" s="178"/>
      <c r="AI151" s="178">
        <f t="shared" si="66"/>
        <v>425544</v>
      </c>
      <c r="AJ151" s="192"/>
      <c r="AK151" s="182">
        <f t="shared" si="67"/>
        <v>0</v>
      </c>
      <c r="AL151" s="182"/>
      <c r="AM151" s="182"/>
      <c r="AN151" s="183">
        <f>Q151+T151+V151</f>
        <v>2.72</v>
      </c>
      <c r="AO151" s="179"/>
      <c r="AP151" s="194">
        <f t="shared" si="73"/>
        <v>0</v>
      </c>
      <c r="AQ151" s="178">
        <f t="shared" si="69"/>
        <v>0</v>
      </c>
      <c r="AR151" s="178"/>
      <c r="AS151" s="178">
        <f t="shared" si="75"/>
        <v>3627256</v>
      </c>
      <c r="AT151" s="469" t="str">
        <f t="shared" si="71"/>
        <v>133</v>
      </c>
      <c r="AU151" s="195"/>
      <c r="AV151" s="239" t="s">
        <v>769</v>
      </c>
      <c r="AW151" s="29"/>
      <c r="AX151" s="29"/>
      <c r="AY151" s="29"/>
      <c r="AZ151" s="29"/>
      <c r="BA151" s="29"/>
      <c r="BB151" s="29"/>
      <c r="BC151" s="29"/>
      <c r="BD151" s="29"/>
      <c r="BE151" s="29"/>
      <c r="BF151" s="29"/>
    </row>
    <row r="152" spans="1:58" s="189" customFormat="1" ht="38.25" x14ac:dyDescent="0.25">
      <c r="A152" s="168" t="s">
        <v>427</v>
      </c>
      <c r="B152" s="168" t="str">
        <f>VLOOKUP(D152,[1]LuongBC_T01!$B$9:$C$292,2,FALSE)</f>
        <v>0016100006521007</v>
      </c>
      <c r="C152" s="199" t="s">
        <v>931</v>
      </c>
      <c r="D152" s="169" t="s">
        <v>657</v>
      </c>
      <c r="E152" s="263" t="s">
        <v>1103</v>
      </c>
      <c r="F152" s="169" t="s">
        <v>549</v>
      </c>
      <c r="G152" s="170" t="s">
        <v>25</v>
      </c>
      <c r="H152" s="169"/>
      <c r="I152" s="169" t="s">
        <v>284</v>
      </c>
      <c r="J152" s="169"/>
      <c r="K152" s="170" t="str">
        <f>VLOOKUP(D152,[2]T3!$B$2:$D$328,3,FALSE)</f>
        <v>026005827</v>
      </c>
      <c r="L152" s="197">
        <v>1603205182394</v>
      </c>
      <c r="M152" s="197" t="s">
        <v>931</v>
      </c>
      <c r="N152" s="390" t="s">
        <v>39</v>
      </c>
      <c r="O152" s="170" t="s">
        <v>692</v>
      </c>
      <c r="P152" s="170">
        <v>4</v>
      </c>
      <c r="Q152" s="192">
        <v>3.66</v>
      </c>
      <c r="R152" s="176">
        <f t="shared" si="55"/>
        <v>0</v>
      </c>
      <c r="S152" s="178"/>
      <c r="T152" s="176">
        <f t="shared" si="56"/>
        <v>0</v>
      </c>
      <c r="U152" s="175">
        <f t="shared" ref="U152:U161" si="76">Q152*S152*$D$8/100</f>
        <v>0</v>
      </c>
      <c r="V152" s="178"/>
      <c r="W152" s="179">
        <f>VLOOKUP(D152,[3]BC!$D$14:$W$287,20,FALSE)</f>
        <v>0</v>
      </c>
      <c r="X152" s="216">
        <f t="shared" si="58"/>
        <v>0</v>
      </c>
      <c r="Y152" s="216">
        <f t="shared" si="59"/>
        <v>3.66</v>
      </c>
      <c r="Z152" s="180">
        <f t="shared" si="60"/>
        <v>5453400</v>
      </c>
      <c r="AA152" s="180"/>
      <c r="AB152" s="180">
        <f t="shared" si="72"/>
        <v>0</v>
      </c>
      <c r="AC152" s="180">
        <f>Z152/24*AA152*75%</f>
        <v>0</v>
      </c>
      <c r="AD152" s="180">
        <f t="shared" si="62"/>
        <v>5453400</v>
      </c>
      <c r="AE152" s="178">
        <f t="shared" si="63"/>
        <v>436272</v>
      </c>
      <c r="AF152" s="178">
        <f t="shared" si="64"/>
        <v>81801</v>
      </c>
      <c r="AG152" s="178">
        <f t="shared" si="65"/>
        <v>54534</v>
      </c>
      <c r="AH152" s="178"/>
      <c r="AI152" s="178">
        <f t="shared" si="66"/>
        <v>572607</v>
      </c>
      <c r="AJ152" s="215"/>
      <c r="AK152" s="182">
        <f t="shared" si="67"/>
        <v>0</v>
      </c>
      <c r="AL152" s="182"/>
      <c r="AM152" s="182"/>
      <c r="AN152" s="216"/>
      <c r="AO152" s="179"/>
      <c r="AP152" s="194">
        <f t="shared" si="73"/>
        <v>0</v>
      </c>
      <c r="AQ152" s="178">
        <f t="shared" si="69"/>
        <v>0</v>
      </c>
      <c r="AR152" s="178"/>
      <c r="AS152" s="178">
        <f t="shared" si="75"/>
        <v>4880793</v>
      </c>
      <c r="AT152" s="469" t="str">
        <f t="shared" si="71"/>
        <v>134</v>
      </c>
      <c r="AU152" s="221"/>
      <c r="AV152" s="223" t="s">
        <v>705</v>
      </c>
      <c r="AW152" s="29"/>
      <c r="AX152" s="29"/>
      <c r="AY152" s="29"/>
      <c r="AZ152" s="29"/>
      <c r="BA152" s="29"/>
      <c r="BB152" s="29"/>
      <c r="BC152" s="29"/>
      <c r="BD152" s="29"/>
      <c r="BE152" s="29"/>
      <c r="BF152" s="29"/>
    </row>
    <row r="153" spans="1:58" s="189" customFormat="1" ht="38.25" x14ac:dyDescent="0.25">
      <c r="A153" s="168" t="s">
        <v>428</v>
      </c>
      <c r="B153" s="168" t="str">
        <f>VLOOKUP(D153,[1]LuongBC_T01!$B$9:$C$292,2,FALSE)</f>
        <v>0016100006768002</v>
      </c>
      <c r="C153" s="170" t="s">
        <v>1320</v>
      </c>
      <c r="D153" s="169" t="s">
        <v>1280</v>
      </c>
      <c r="E153" s="263" t="s">
        <v>1103</v>
      </c>
      <c r="F153" s="169"/>
      <c r="G153" s="170"/>
      <c r="H153" s="169"/>
      <c r="I153" s="169"/>
      <c r="J153" s="169"/>
      <c r="K153" s="170" t="str">
        <f>VLOOKUP(D153,[2]T3!$B$2:$D$328,3,FALSE)</f>
        <v>197178714</v>
      </c>
      <c r="L153" s="197"/>
      <c r="M153" s="197"/>
      <c r="N153" s="390" t="s">
        <v>39</v>
      </c>
      <c r="O153" s="170"/>
      <c r="P153" s="170"/>
      <c r="Q153" s="192">
        <v>3</v>
      </c>
      <c r="R153" s="176">
        <f t="shared" si="55"/>
        <v>0</v>
      </c>
      <c r="S153" s="178"/>
      <c r="T153" s="176">
        <f t="shared" si="56"/>
        <v>0</v>
      </c>
      <c r="U153" s="175">
        <f t="shared" si="76"/>
        <v>0</v>
      </c>
      <c r="V153" s="178"/>
      <c r="W153" s="179">
        <f>VLOOKUP(D153,[3]BC!$D$14:$W$287,20,FALSE)</f>
        <v>0</v>
      </c>
      <c r="X153" s="216">
        <f t="shared" si="58"/>
        <v>0</v>
      </c>
      <c r="Y153" s="216">
        <f t="shared" si="59"/>
        <v>3</v>
      </c>
      <c r="Z153" s="180">
        <f t="shared" si="60"/>
        <v>4470000</v>
      </c>
      <c r="AA153" s="180"/>
      <c r="AB153" s="180">
        <f t="shared" si="72"/>
        <v>0</v>
      </c>
      <c r="AC153" s="180">
        <v>0</v>
      </c>
      <c r="AD153" s="180">
        <f t="shared" si="62"/>
        <v>4470000</v>
      </c>
      <c r="AE153" s="178">
        <f t="shared" si="63"/>
        <v>357600</v>
      </c>
      <c r="AF153" s="178">
        <f t="shared" si="64"/>
        <v>67050</v>
      </c>
      <c r="AG153" s="178">
        <f t="shared" si="65"/>
        <v>44700</v>
      </c>
      <c r="AH153" s="178"/>
      <c r="AI153" s="178">
        <f t="shared" si="66"/>
        <v>469350</v>
      </c>
      <c r="AJ153" s="215"/>
      <c r="AK153" s="182">
        <f t="shared" si="67"/>
        <v>0</v>
      </c>
      <c r="AL153" s="182"/>
      <c r="AM153" s="182"/>
      <c r="AN153" s="216"/>
      <c r="AO153" s="179"/>
      <c r="AP153" s="194">
        <f t="shared" si="73"/>
        <v>0</v>
      </c>
      <c r="AQ153" s="178">
        <f t="shared" si="69"/>
        <v>0</v>
      </c>
      <c r="AR153" s="178"/>
      <c r="AS153" s="178">
        <f t="shared" si="75"/>
        <v>4000650</v>
      </c>
      <c r="AT153" s="469"/>
      <c r="AU153" s="221"/>
      <c r="AV153" s="223"/>
      <c r="AW153" s="29"/>
      <c r="AX153" s="29"/>
      <c r="AY153" s="29"/>
      <c r="AZ153" s="29"/>
      <c r="BA153" s="29"/>
      <c r="BB153" s="29"/>
      <c r="BC153" s="29"/>
      <c r="BD153" s="29"/>
      <c r="BE153" s="29"/>
      <c r="BF153" s="29"/>
    </row>
    <row r="154" spans="1:58" s="189" customFormat="1" ht="38.25" customHeight="1" x14ac:dyDescent="0.25">
      <c r="A154" s="168" t="s">
        <v>368</v>
      </c>
      <c r="B154" s="168" t="str">
        <f>VLOOKUP(D154,[1]LuongBC_T01!$B$9:$C$292,2,FALSE)</f>
        <v>0016100006535008</v>
      </c>
      <c r="C154" s="199" t="s">
        <v>1023</v>
      </c>
      <c r="D154" s="230" t="s">
        <v>801</v>
      </c>
      <c r="E154" s="263" t="s">
        <v>1103</v>
      </c>
      <c r="F154" s="169"/>
      <c r="G154" s="170" t="s">
        <v>25</v>
      </c>
      <c r="H154" s="170"/>
      <c r="I154" s="170"/>
      <c r="J154" s="169"/>
      <c r="K154" s="170" t="str">
        <f>VLOOKUP(D154,[2]T3!$B$2:$D$328,3,FALSE)</f>
        <v>024985581</v>
      </c>
      <c r="L154" s="253"/>
      <c r="M154" s="253" t="s">
        <v>1023</v>
      </c>
      <c r="N154" s="391" t="s">
        <v>43</v>
      </c>
      <c r="O154" s="222" t="s">
        <v>698</v>
      </c>
      <c r="P154" s="172">
        <v>8</v>
      </c>
      <c r="Q154" s="174">
        <v>3.46</v>
      </c>
      <c r="R154" s="176">
        <f>T154+V154+X154</f>
        <v>0</v>
      </c>
      <c r="S154" s="370"/>
      <c r="T154" s="176">
        <f>ROUND(Q154*S154/100,4)</f>
        <v>0</v>
      </c>
      <c r="U154" s="175"/>
      <c r="V154" s="170"/>
      <c r="W154" s="179">
        <f>VLOOKUP(D154,[3]BC!$D$14:$W$287,20,FALSE)</f>
        <v>0</v>
      </c>
      <c r="X154" s="216">
        <f>ROUND((Q154+T154+V154)*W154,4)</f>
        <v>0</v>
      </c>
      <c r="Y154" s="216">
        <f>Q154+T154+V154+X154</f>
        <v>3.46</v>
      </c>
      <c r="Z154" s="180">
        <f t="shared" si="60"/>
        <v>5155400</v>
      </c>
      <c r="AA154" s="180"/>
      <c r="AB154" s="180">
        <f t="shared" si="72"/>
        <v>0</v>
      </c>
      <c r="AC154" s="180">
        <f>Z154/24*AA154*75%</f>
        <v>0</v>
      </c>
      <c r="AD154" s="180">
        <f t="shared" si="62"/>
        <v>5155400</v>
      </c>
      <c r="AE154" s="178">
        <f t="shared" si="63"/>
        <v>412432</v>
      </c>
      <c r="AF154" s="178">
        <f t="shared" si="64"/>
        <v>77331</v>
      </c>
      <c r="AG154" s="178">
        <f t="shared" si="65"/>
        <v>51554</v>
      </c>
      <c r="AH154" s="178"/>
      <c r="AI154" s="178">
        <f>SUM(AE154:AH154)</f>
        <v>541317</v>
      </c>
      <c r="AJ154" s="192"/>
      <c r="AK154" s="182">
        <f t="shared" si="67"/>
        <v>0</v>
      </c>
      <c r="AL154" s="182"/>
      <c r="AM154" s="182"/>
      <c r="AN154" s="193">
        <f>Q154+T154+V154</f>
        <v>3.46</v>
      </c>
      <c r="AO154" s="246"/>
      <c r="AP154" s="194">
        <f>ROUND(AN154*AO154,4)</f>
        <v>0</v>
      </c>
      <c r="AQ154" s="178">
        <f t="shared" si="69"/>
        <v>0</v>
      </c>
      <c r="AR154" s="178"/>
      <c r="AS154" s="178">
        <f t="shared" si="75"/>
        <v>4614083</v>
      </c>
      <c r="AT154" s="469" t="str">
        <f t="shared" ref="AT154:AT217" si="77">A154</f>
        <v>136</v>
      </c>
      <c r="AU154" s="244"/>
      <c r="AV154" s="657" t="s">
        <v>1129</v>
      </c>
      <c r="AW154" s="29"/>
      <c r="AX154" s="29"/>
      <c r="AY154" s="29"/>
      <c r="AZ154" s="29"/>
      <c r="BA154" s="29"/>
      <c r="BB154" s="29"/>
      <c r="BC154" s="29"/>
      <c r="BD154" s="29"/>
      <c r="BE154" s="29"/>
      <c r="BF154" s="29"/>
    </row>
    <row r="155" spans="1:58" s="189" customFormat="1" ht="39.75" customHeight="1" x14ac:dyDescent="0.25">
      <c r="A155" s="168" t="s">
        <v>430</v>
      </c>
      <c r="B155" s="168" t="str">
        <f>VLOOKUP(D155,[1]LuongBC_T01!$B$9:$C$292,2,FALSE)</f>
        <v>0016100006716002</v>
      </c>
      <c r="C155" s="199" t="s">
        <v>933</v>
      </c>
      <c r="D155" s="169" t="s">
        <v>654</v>
      </c>
      <c r="E155" s="263" t="s">
        <v>1106</v>
      </c>
      <c r="F155" s="169" t="s">
        <v>553</v>
      </c>
      <c r="G155" s="170" t="s">
        <v>25</v>
      </c>
      <c r="H155" s="169"/>
      <c r="I155" s="169" t="s">
        <v>284</v>
      </c>
      <c r="J155" s="169"/>
      <c r="K155" s="168" t="s">
        <v>1357</v>
      </c>
      <c r="L155" s="197">
        <v>1603205182619</v>
      </c>
      <c r="M155" s="197" t="s">
        <v>933</v>
      </c>
      <c r="N155" s="393" t="s">
        <v>43</v>
      </c>
      <c r="O155" s="170" t="s">
        <v>698</v>
      </c>
      <c r="P155" s="170">
        <v>7</v>
      </c>
      <c r="Q155" s="192">
        <v>3.26</v>
      </c>
      <c r="R155" s="176">
        <f t="shared" si="55"/>
        <v>0</v>
      </c>
      <c r="S155" s="178"/>
      <c r="T155" s="176">
        <f t="shared" si="56"/>
        <v>0</v>
      </c>
      <c r="U155" s="175">
        <f t="shared" si="76"/>
        <v>0</v>
      </c>
      <c r="V155" s="178"/>
      <c r="W155" s="179">
        <f>VLOOKUP(D155,[3]BC!$D$14:$W$287,20,FALSE)</f>
        <v>0</v>
      </c>
      <c r="X155" s="216">
        <f t="shared" si="58"/>
        <v>0</v>
      </c>
      <c r="Y155" s="216">
        <f t="shared" si="59"/>
        <v>3.26</v>
      </c>
      <c r="Z155" s="180">
        <f t="shared" si="60"/>
        <v>4857400</v>
      </c>
      <c r="AA155" s="180"/>
      <c r="AB155" s="180">
        <f t="shared" si="72"/>
        <v>0</v>
      </c>
      <c r="AC155" s="180">
        <f>Z155/24*AA155*75%</f>
        <v>0</v>
      </c>
      <c r="AD155" s="180">
        <f t="shared" si="62"/>
        <v>4857400</v>
      </c>
      <c r="AE155" s="178">
        <f t="shared" si="63"/>
        <v>388592</v>
      </c>
      <c r="AF155" s="178">
        <f t="shared" si="64"/>
        <v>72861</v>
      </c>
      <c r="AG155" s="178">
        <f t="shared" si="65"/>
        <v>48574</v>
      </c>
      <c r="AH155" s="178"/>
      <c r="AI155" s="178">
        <f t="shared" si="66"/>
        <v>510027</v>
      </c>
      <c r="AJ155" s="215"/>
      <c r="AK155" s="182">
        <f t="shared" si="67"/>
        <v>0</v>
      </c>
      <c r="AL155" s="182"/>
      <c r="AM155" s="182"/>
      <c r="AN155" s="216"/>
      <c r="AO155" s="179"/>
      <c r="AP155" s="194">
        <f t="shared" si="73"/>
        <v>0</v>
      </c>
      <c r="AQ155" s="178">
        <f t="shared" si="69"/>
        <v>0</v>
      </c>
      <c r="AR155" s="178"/>
      <c r="AS155" s="178">
        <f t="shared" si="75"/>
        <v>4347373</v>
      </c>
      <c r="AT155" s="469" t="str">
        <f t="shared" si="77"/>
        <v>137</v>
      </c>
      <c r="AU155" s="195"/>
      <c r="AV155" s="198" t="s">
        <v>703</v>
      </c>
      <c r="AW155" s="29"/>
      <c r="AX155" s="29"/>
      <c r="AY155" s="29"/>
      <c r="AZ155" s="29"/>
      <c r="BA155" s="29"/>
      <c r="BB155" s="29"/>
      <c r="BC155" s="29"/>
      <c r="BD155" s="29"/>
      <c r="BE155" s="29"/>
      <c r="BF155" s="29"/>
    </row>
    <row r="156" spans="1:58" s="189" customFormat="1" ht="42.75" customHeight="1" x14ac:dyDescent="0.25">
      <c r="A156" s="168" t="s">
        <v>431</v>
      </c>
      <c r="B156" s="168" t="str">
        <f>VLOOKUP(D156,[1]LuongBC_T01!$B$9:$C$292,2,FALSE)</f>
        <v>0016100006576006</v>
      </c>
      <c r="C156" s="199" t="s">
        <v>932</v>
      </c>
      <c r="D156" s="169" t="s">
        <v>1212</v>
      </c>
      <c r="E156" s="263" t="s">
        <v>1107</v>
      </c>
      <c r="F156" s="169" t="s">
        <v>549</v>
      </c>
      <c r="G156" s="170" t="s">
        <v>25</v>
      </c>
      <c r="H156" s="170"/>
      <c r="I156" s="170" t="s">
        <v>284</v>
      </c>
      <c r="J156" s="169" t="s">
        <v>275</v>
      </c>
      <c r="K156" s="170" t="str">
        <f>VLOOKUP(D156,[2]T3!$B$2:$D$328,3,FALSE)</f>
        <v>023681257</v>
      </c>
      <c r="L156" s="171" t="s">
        <v>128</v>
      </c>
      <c r="M156" s="171" t="s">
        <v>932</v>
      </c>
      <c r="N156" s="391" t="s">
        <v>43</v>
      </c>
      <c r="O156" s="222" t="s">
        <v>698</v>
      </c>
      <c r="P156" s="172">
        <v>6</v>
      </c>
      <c r="Q156" s="174">
        <v>3.06</v>
      </c>
      <c r="R156" s="176">
        <f t="shared" si="55"/>
        <v>0</v>
      </c>
      <c r="S156" s="370"/>
      <c r="T156" s="176">
        <f t="shared" si="56"/>
        <v>0</v>
      </c>
      <c r="U156" s="175">
        <f t="shared" si="76"/>
        <v>0</v>
      </c>
      <c r="V156" s="170"/>
      <c r="W156" s="179">
        <f>VLOOKUP(D156,[3]BC!$D$14:$W$287,20,FALSE)</f>
        <v>0</v>
      </c>
      <c r="X156" s="216">
        <f t="shared" si="58"/>
        <v>0</v>
      </c>
      <c r="Y156" s="216">
        <f t="shared" si="59"/>
        <v>3.06</v>
      </c>
      <c r="Z156" s="180">
        <f t="shared" si="60"/>
        <v>4559400</v>
      </c>
      <c r="AA156" s="180"/>
      <c r="AB156" s="180">
        <f t="shared" si="72"/>
        <v>0</v>
      </c>
      <c r="AC156" s="180">
        <f>Z156/24*AA156*75%</f>
        <v>0</v>
      </c>
      <c r="AD156" s="180">
        <f t="shared" si="62"/>
        <v>4559400</v>
      </c>
      <c r="AE156" s="178">
        <f t="shared" si="63"/>
        <v>364752</v>
      </c>
      <c r="AF156" s="178">
        <f t="shared" si="64"/>
        <v>68391</v>
      </c>
      <c r="AG156" s="178">
        <f t="shared" si="65"/>
        <v>45594</v>
      </c>
      <c r="AH156" s="178"/>
      <c r="AI156" s="178">
        <f t="shared" si="66"/>
        <v>478737</v>
      </c>
      <c r="AJ156" s="192"/>
      <c r="AK156" s="182">
        <f t="shared" si="67"/>
        <v>0</v>
      </c>
      <c r="AL156" s="182"/>
      <c r="AM156" s="182"/>
      <c r="AN156" s="193"/>
      <c r="AO156" s="179"/>
      <c r="AP156" s="194">
        <f t="shared" si="73"/>
        <v>0</v>
      </c>
      <c r="AQ156" s="178">
        <f t="shared" si="69"/>
        <v>0</v>
      </c>
      <c r="AR156" s="178"/>
      <c r="AS156" s="178">
        <f t="shared" si="75"/>
        <v>4080663</v>
      </c>
      <c r="AT156" s="469" t="str">
        <f t="shared" si="77"/>
        <v>138</v>
      </c>
      <c r="AU156" s="195"/>
      <c r="AV156" s="658" t="s">
        <v>1128</v>
      </c>
      <c r="AW156" s="29"/>
      <c r="AX156" s="29"/>
      <c r="AY156" s="29"/>
      <c r="AZ156" s="29"/>
      <c r="BA156" s="29"/>
      <c r="BB156" s="29"/>
      <c r="BC156" s="29"/>
      <c r="BD156" s="29"/>
      <c r="BE156" s="29"/>
      <c r="BF156" s="29"/>
    </row>
    <row r="157" spans="1:58" s="189" customFormat="1" ht="44.25" customHeight="1" x14ac:dyDescent="0.25">
      <c r="A157" s="168" t="s">
        <v>432</v>
      </c>
      <c r="B157" s="168" t="str">
        <f>VLOOKUP(D157,[1]LuongBC_T01!$B$9:$C$292,2,FALSE)</f>
        <v>0016100006635002</v>
      </c>
      <c r="C157" s="199" t="s">
        <v>934</v>
      </c>
      <c r="D157" s="169" t="s">
        <v>1140</v>
      </c>
      <c r="E157" s="263" t="s">
        <v>1107</v>
      </c>
      <c r="F157" s="169" t="s">
        <v>553</v>
      </c>
      <c r="G157" s="170" t="s">
        <v>25</v>
      </c>
      <c r="H157" s="170"/>
      <c r="I157" s="170" t="s">
        <v>284</v>
      </c>
      <c r="J157" s="169" t="s">
        <v>265</v>
      </c>
      <c r="K157" s="170" t="str">
        <f>VLOOKUP(D157,[2]T3!$B$2:$D$328,3,FALSE)</f>
        <v>023547031</v>
      </c>
      <c r="L157" s="171" t="s">
        <v>162</v>
      </c>
      <c r="M157" s="171" t="s">
        <v>934</v>
      </c>
      <c r="N157" s="391" t="s">
        <v>43</v>
      </c>
      <c r="O157" s="222" t="s">
        <v>698</v>
      </c>
      <c r="P157" s="172">
        <v>6</v>
      </c>
      <c r="Q157" s="174">
        <v>3.26</v>
      </c>
      <c r="R157" s="176">
        <f t="shared" si="55"/>
        <v>0</v>
      </c>
      <c r="S157" s="370"/>
      <c r="T157" s="176">
        <f t="shared" si="56"/>
        <v>0</v>
      </c>
      <c r="U157" s="175">
        <f t="shared" si="76"/>
        <v>0</v>
      </c>
      <c r="V157" s="170"/>
      <c r="W157" s="179">
        <f>VLOOKUP(D157,[3]BC!$D$14:$W$287,20,FALSE)</f>
        <v>0</v>
      </c>
      <c r="X157" s="216">
        <f t="shared" si="58"/>
        <v>0</v>
      </c>
      <c r="Y157" s="216">
        <f t="shared" si="59"/>
        <v>3.26</v>
      </c>
      <c r="Z157" s="180">
        <f t="shared" si="60"/>
        <v>4857400</v>
      </c>
      <c r="AA157" s="180"/>
      <c r="AB157" s="180">
        <f t="shared" si="72"/>
        <v>0</v>
      </c>
      <c r="AC157" s="180">
        <f>Z157/24*AA157*75%</f>
        <v>0</v>
      </c>
      <c r="AD157" s="180">
        <f t="shared" si="62"/>
        <v>4857400</v>
      </c>
      <c r="AE157" s="178">
        <f t="shared" si="63"/>
        <v>388592</v>
      </c>
      <c r="AF157" s="178">
        <f t="shared" si="64"/>
        <v>72861</v>
      </c>
      <c r="AG157" s="178">
        <f t="shared" si="65"/>
        <v>48574</v>
      </c>
      <c r="AH157" s="178"/>
      <c r="AI157" s="178">
        <f t="shared" si="66"/>
        <v>510027</v>
      </c>
      <c r="AJ157" s="192"/>
      <c r="AK157" s="182">
        <f t="shared" si="67"/>
        <v>0</v>
      </c>
      <c r="AL157" s="182"/>
      <c r="AM157" s="182"/>
      <c r="AN157" s="193">
        <f>Q157+T157+V157</f>
        <v>3.26</v>
      </c>
      <c r="AO157" s="179"/>
      <c r="AP157" s="194">
        <f t="shared" si="73"/>
        <v>0</v>
      </c>
      <c r="AQ157" s="178">
        <f t="shared" si="69"/>
        <v>0</v>
      </c>
      <c r="AR157" s="178"/>
      <c r="AS157" s="178">
        <f t="shared" si="75"/>
        <v>4347373</v>
      </c>
      <c r="AT157" s="469" t="str">
        <f t="shared" si="77"/>
        <v>139</v>
      </c>
      <c r="AU157" s="186"/>
      <c r="AV157" s="187"/>
      <c r="AW157" s="29"/>
      <c r="AX157" s="29"/>
      <c r="AY157" s="29"/>
      <c r="AZ157" s="29"/>
      <c r="BA157" s="29"/>
      <c r="BB157" s="29"/>
      <c r="BC157" s="29"/>
      <c r="BD157" s="29"/>
      <c r="BE157" s="29"/>
      <c r="BF157" s="29"/>
    </row>
    <row r="158" spans="1:58" s="189" customFormat="1" ht="36.75" customHeight="1" x14ac:dyDescent="0.25">
      <c r="A158" s="168" t="s">
        <v>433</v>
      </c>
      <c r="B158" s="168" t="str">
        <f>VLOOKUP(D158,[1]LuongBC_T01!$B$9:$C$292,2,FALSE)</f>
        <v>0016100006685007</v>
      </c>
      <c r="C158" s="199" t="s">
        <v>935</v>
      </c>
      <c r="D158" s="169" t="s">
        <v>653</v>
      </c>
      <c r="E158" s="263" t="s">
        <v>1133</v>
      </c>
      <c r="F158" s="169" t="s">
        <v>553</v>
      </c>
      <c r="G158" s="170" t="s">
        <v>25</v>
      </c>
      <c r="H158" s="169"/>
      <c r="I158" s="169" t="s">
        <v>284</v>
      </c>
      <c r="J158" s="169"/>
      <c r="K158" s="170" t="str">
        <f>VLOOKUP(D158,[2]T3!$B$2:$D$328,3,FALSE)</f>
        <v>030186001391</v>
      </c>
      <c r="L158" s="197">
        <v>1603205182575</v>
      </c>
      <c r="M158" s="197" t="s">
        <v>935</v>
      </c>
      <c r="N158" s="393" t="s">
        <v>43</v>
      </c>
      <c r="O158" s="170" t="s">
        <v>698</v>
      </c>
      <c r="P158" s="170">
        <v>6</v>
      </c>
      <c r="Q158" s="192">
        <v>3.26</v>
      </c>
      <c r="R158" s="176">
        <f t="shared" si="55"/>
        <v>0</v>
      </c>
      <c r="S158" s="178"/>
      <c r="T158" s="176">
        <f t="shared" si="56"/>
        <v>0</v>
      </c>
      <c r="U158" s="175">
        <f t="shared" si="76"/>
        <v>0</v>
      </c>
      <c r="V158" s="178"/>
      <c r="W158" s="179">
        <f>VLOOKUP(D158,[3]BC!$D$14:$W$287,20,FALSE)</f>
        <v>0</v>
      </c>
      <c r="X158" s="216">
        <f t="shared" si="58"/>
        <v>0</v>
      </c>
      <c r="Y158" s="216">
        <f t="shared" si="59"/>
        <v>3.26</v>
      </c>
      <c r="Z158" s="180">
        <f t="shared" si="60"/>
        <v>4857400</v>
      </c>
      <c r="AA158" s="180"/>
      <c r="AB158" s="180">
        <f t="shared" si="72"/>
        <v>0</v>
      </c>
      <c r="AC158" s="180">
        <f>Z158/24*AA158*75%</f>
        <v>0</v>
      </c>
      <c r="AD158" s="180">
        <f t="shared" si="62"/>
        <v>4857400</v>
      </c>
      <c r="AE158" s="178">
        <f t="shared" si="63"/>
        <v>388592</v>
      </c>
      <c r="AF158" s="178">
        <f t="shared" si="64"/>
        <v>72861</v>
      </c>
      <c r="AG158" s="178">
        <f t="shared" si="65"/>
        <v>48574</v>
      </c>
      <c r="AH158" s="178"/>
      <c r="AI158" s="178">
        <f t="shared" si="66"/>
        <v>510027</v>
      </c>
      <c r="AJ158" s="215"/>
      <c r="AK158" s="182">
        <f t="shared" si="67"/>
        <v>0</v>
      </c>
      <c r="AL158" s="182"/>
      <c r="AM158" s="182"/>
      <c r="AN158" s="216"/>
      <c r="AO158" s="179"/>
      <c r="AP158" s="194">
        <f t="shared" si="73"/>
        <v>0</v>
      </c>
      <c r="AQ158" s="178">
        <f t="shared" si="69"/>
        <v>0</v>
      </c>
      <c r="AR158" s="178"/>
      <c r="AS158" s="178">
        <f t="shared" si="75"/>
        <v>4347373</v>
      </c>
      <c r="AT158" s="469" t="str">
        <f t="shared" si="77"/>
        <v>140</v>
      </c>
      <c r="AU158" s="195"/>
      <c r="AV158" s="217"/>
    </row>
    <row r="159" spans="1:58" s="228" customFormat="1" ht="39.75" customHeight="1" x14ac:dyDescent="0.25">
      <c r="A159" s="168" t="s">
        <v>434</v>
      </c>
      <c r="B159" s="168" t="str">
        <f>VLOOKUP(D159,[1]LuongBC_T01!$B$9:$C$292,2,FALSE)</f>
        <v>0016100006552007</v>
      </c>
      <c r="C159" s="199" t="s">
        <v>936</v>
      </c>
      <c r="D159" s="169" t="s">
        <v>1213</v>
      </c>
      <c r="E159" s="263" t="s">
        <v>1258</v>
      </c>
      <c r="F159" s="169" t="s">
        <v>553</v>
      </c>
      <c r="G159" s="170" t="s">
        <v>25</v>
      </c>
      <c r="H159" s="170"/>
      <c r="I159" s="170" t="s">
        <v>284</v>
      </c>
      <c r="J159" s="169" t="s">
        <v>277</v>
      </c>
      <c r="K159" s="170" t="str">
        <f>VLOOKUP(D159,[2]T3!$B$2:$D$328,3,FALSE)</f>
        <v>025530360</v>
      </c>
      <c r="L159" s="171" t="s">
        <v>130</v>
      </c>
      <c r="M159" s="171" t="s">
        <v>936</v>
      </c>
      <c r="N159" s="391" t="s">
        <v>43</v>
      </c>
      <c r="O159" s="222" t="s">
        <v>698</v>
      </c>
      <c r="P159" s="172">
        <v>6</v>
      </c>
      <c r="Q159" s="174">
        <v>3.06</v>
      </c>
      <c r="R159" s="176">
        <f t="shared" si="55"/>
        <v>0</v>
      </c>
      <c r="S159" s="370"/>
      <c r="T159" s="176">
        <f t="shared" si="56"/>
        <v>0</v>
      </c>
      <c r="U159" s="175">
        <f t="shared" si="76"/>
        <v>0</v>
      </c>
      <c r="V159" s="170"/>
      <c r="W159" s="179">
        <f>VLOOKUP(D159,[3]BC!$D$14:$W$287,20,FALSE)</f>
        <v>0</v>
      </c>
      <c r="X159" s="216">
        <f t="shared" si="58"/>
        <v>0</v>
      </c>
      <c r="Y159" s="216">
        <f t="shared" si="59"/>
        <v>3.06</v>
      </c>
      <c r="Z159" s="180">
        <f t="shared" si="60"/>
        <v>4559400</v>
      </c>
      <c r="AA159" s="180"/>
      <c r="AB159" s="180">
        <f t="shared" si="72"/>
        <v>0</v>
      </c>
      <c r="AC159" s="180">
        <f t="shared" ref="AC159:AC165" si="78">Z159/24*AA159*75%</f>
        <v>0</v>
      </c>
      <c r="AD159" s="180">
        <f t="shared" si="62"/>
        <v>4559400</v>
      </c>
      <c r="AE159" s="178">
        <f t="shared" si="63"/>
        <v>364752</v>
      </c>
      <c r="AF159" s="178">
        <f t="shared" si="64"/>
        <v>68391</v>
      </c>
      <c r="AG159" s="178">
        <f t="shared" si="65"/>
        <v>45594</v>
      </c>
      <c r="AH159" s="178"/>
      <c r="AI159" s="178">
        <f t="shared" si="66"/>
        <v>478737</v>
      </c>
      <c r="AJ159" s="192"/>
      <c r="AK159" s="182">
        <f t="shared" si="67"/>
        <v>0</v>
      </c>
      <c r="AL159" s="182"/>
      <c r="AM159" s="182"/>
      <c r="AN159" s="193">
        <f>Q159+T159+V159</f>
        <v>3.06</v>
      </c>
      <c r="AO159" s="179"/>
      <c r="AP159" s="194">
        <f t="shared" si="73"/>
        <v>0</v>
      </c>
      <c r="AQ159" s="178">
        <f t="shared" si="69"/>
        <v>0</v>
      </c>
      <c r="AR159" s="178"/>
      <c r="AS159" s="178">
        <f t="shared" si="75"/>
        <v>4080663</v>
      </c>
      <c r="AT159" s="469" t="str">
        <f t="shared" si="77"/>
        <v>141</v>
      </c>
      <c r="AU159" s="195"/>
      <c r="AV159" s="198" t="s">
        <v>701</v>
      </c>
      <c r="AW159" s="553"/>
      <c r="AX159" s="553"/>
      <c r="AY159" s="553"/>
      <c r="AZ159" s="553"/>
      <c r="BA159" s="553"/>
      <c r="BB159" s="553"/>
      <c r="BC159" s="553"/>
      <c r="BD159" s="553"/>
      <c r="BE159" s="553"/>
      <c r="BF159" s="553"/>
    </row>
    <row r="160" spans="1:58" s="189" customFormat="1" ht="33.75" customHeight="1" x14ac:dyDescent="0.25">
      <c r="A160" s="168" t="s">
        <v>435</v>
      </c>
      <c r="B160" s="168" t="str">
        <f>VLOOKUP(D160,[1]LuongBC_T01!$B$9:$C$292,2,FALSE)</f>
        <v>0016100006526009</v>
      </c>
      <c r="C160" s="199" t="s">
        <v>938</v>
      </c>
      <c r="D160" s="169" t="s">
        <v>656</v>
      </c>
      <c r="E160" s="263" t="s">
        <v>1103</v>
      </c>
      <c r="F160" s="169" t="s">
        <v>549</v>
      </c>
      <c r="G160" s="170" t="s">
        <v>25</v>
      </c>
      <c r="H160" s="169"/>
      <c r="I160" s="169" t="s">
        <v>284</v>
      </c>
      <c r="J160" s="169"/>
      <c r="K160" s="170" t="str">
        <f>VLOOKUP(D160,[2]T3!$B$2:$D$328,3,FALSE)</f>
        <v>024683155</v>
      </c>
      <c r="L160" s="213" t="s">
        <v>663</v>
      </c>
      <c r="M160" s="213" t="s">
        <v>938</v>
      </c>
      <c r="N160" s="393" t="s">
        <v>43</v>
      </c>
      <c r="O160" s="170" t="s">
        <v>698</v>
      </c>
      <c r="P160" s="170">
        <v>4</v>
      </c>
      <c r="Q160" s="214">
        <v>2.86</v>
      </c>
      <c r="R160" s="176">
        <f t="shared" si="55"/>
        <v>0</v>
      </c>
      <c r="S160" s="178"/>
      <c r="T160" s="176">
        <f t="shared" si="56"/>
        <v>0</v>
      </c>
      <c r="U160" s="175">
        <f t="shared" si="76"/>
        <v>0</v>
      </c>
      <c r="V160" s="178"/>
      <c r="W160" s="179">
        <f>VLOOKUP(D160,[3]BC!$D$14:$W$287,20,FALSE)</f>
        <v>0</v>
      </c>
      <c r="X160" s="216">
        <f t="shared" si="58"/>
        <v>0</v>
      </c>
      <c r="Y160" s="216">
        <f t="shared" si="59"/>
        <v>2.86</v>
      </c>
      <c r="Z160" s="180">
        <f t="shared" si="60"/>
        <v>4261400</v>
      </c>
      <c r="AA160" s="180"/>
      <c r="AB160" s="180">
        <f t="shared" si="72"/>
        <v>0</v>
      </c>
      <c r="AC160" s="180">
        <v>0</v>
      </c>
      <c r="AD160" s="180">
        <f t="shared" si="62"/>
        <v>4261400</v>
      </c>
      <c r="AE160" s="178">
        <f t="shared" si="63"/>
        <v>340912</v>
      </c>
      <c r="AF160" s="178">
        <f t="shared" si="64"/>
        <v>63921</v>
      </c>
      <c r="AG160" s="178">
        <f t="shared" si="65"/>
        <v>42614</v>
      </c>
      <c r="AH160" s="178"/>
      <c r="AI160" s="178">
        <f t="shared" si="66"/>
        <v>447447</v>
      </c>
      <c r="AJ160" s="215"/>
      <c r="AK160" s="182">
        <f t="shared" si="67"/>
        <v>0</v>
      </c>
      <c r="AL160" s="182"/>
      <c r="AM160" s="182"/>
      <c r="AN160" s="216"/>
      <c r="AO160" s="179"/>
      <c r="AP160" s="194">
        <f t="shared" si="73"/>
        <v>0</v>
      </c>
      <c r="AQ160" s="178">
        <f t="shared" si="69"/>
        <v>0</v>
      </c>
      <c r="AR160" s="178"/>
      <c r="AS160" s="178">
        <f t="shared" si="75"/>
        <v>3813953</v>
      </c>
      <c r="AT160" s="469" t="str">
        <f t="shared" si="77"/>
        <v>142</v>
      </c>
      <c r="AU160" s="221"/>
      <c r="AV160" s="187" t="s">
        <v>705</v>
      </c>
      <c r="AW160" s="29"/>
      <c r="AX160" s="29"/>
      <c r="AY160" s="29"/>
      <c r="AZ160" s="29"/>
      <c r="BA160" s="29"/>
      <c r="BB160" s="29"/>
      <c r="BC160" s="29"/>
      <c r="BD160" s="29"/>
      <c r="BE160" s="29"/>
      <c r="BF160" s="29"/>
    </row>
    <row r="161" spans="1:58" s="189" customFormat="1" ht="47.25" customHeight="1" x14ac:dyDescent="0.25">
      <c r="A161" s="168" t="s">
        <v>436</v>
      </c>
      <c r="B161" s="168" t="str">
        <f>VLOOKUP(D161,[1]LuongBC_T01!$B$9:$C$292,2,FALSE)</f>
        <v>0016100006767006</v>
      </c>
      <c r="C161" s="199" t="s">
        <v>937</v>
      </c>
      <c r="D161" s="169" t="s">
        <v>652</v>
      </c>
      <c r="E161" s="263" t="s">
        <v>1107</v>
      </c>
      <c r="F161" s="169" t="s">
        <v>553</v>
      </c>
      <c r="G161" s="170" t="s">
        <v>25</v>
      </c>
      <c r="H161" s="169"/>
      <c r="I161" s="169" t="s">
        <v>284</v>
      </c>
      <c r="J161" s="169"/>
      <c r="K161" s="170" t="str">
        <f>VLOOKUP(D161,[2]T3!$B$2:$D$328,3,FALSE)</f>
        <v>024306087</v>
      </c>
      <c r="L161" s="213" t="s">
        <v>662</v>
      </c>
      <c r="M161" s="213" t="s">
        <v>937</v>
      </c>
      <c r="N161" s="393" t="s">
        <v>43</v>
      </c>
      <c r="O161" s="170" t="s">
        <v>698</v>
      </c>
      <c r="P161" s="170">
        <v>6</v>
      </c>
      <c r="Q161" s="214">
        <v>3.06</v>
      </c>
      <c r="R161" s="176">
        <f t="shared" si="55"/>
        <v>0</v>
      </c>
      <c r="S161" s="178"/>
      <c r="T161" s="176">
        <f t="shared" si="56"/>
        <v>0</v>
      </c>
      <c r="U161" s="175">
        <f t="shared" si="76"/>
        <v>0</v>
      </c>
      <c r="V161" s="178"/>
      <c r="W161" s="179">
        <f>VLOOKUP(D161,[3]BC!$D$14:$W$287,20,FALSE)</f>
        <v>0</v>
      </c>
      <c r="X161" s="216">
        <f t="shared" si="58"/>
        <v>0</v>
      </c>
      <c r="Y161" s="216">
        <f t="shared" si="59"/>
        <v>3.06</v>
      </c>
      <c r="Z161" s="180">
        <f t="shared" si="60"/>
        <v>4559400</v>
      </c>
      <c r="AA161" s="180"/>
      <c r="AB161" s="180">
        <f t="shared" si="72"/>
        <v>0</v>
      </c>
      <c r="AC161" s="180">
        <f t="shared" si="78"/>
        <v>0</v>
      </c>
      <c r="AD161" s="180">
        <f t="shared" si="62"/>
        <v>4559400</v>
      </c>
      <c r="AE161" s="178">
        <f t="shared" si="63"/>
        <v>364752</v>
      </c>
      <c r="AF161" s="178">
        <f t="shared" si="64"/>
        <v>68391</v>
      </c>
      <c r="AG161" s="178">
        <f t="shared" si="65"/>
        <v>45594</v>
      </c>
      <c r="AH161" s="178"/>
      <c r="AI161" s="178">
        <f t="shared" si="66"/>
        <v>478737</v>
      </c>
      <c r="AJ161" s="215"/>
      <c r="AK161" s="182">
        <f t="shared" si="67"/>
        <v>0</v>
      </c>
      <c r="AL161" s="182"/>
      <c r="AM161" s="182"/>
      <c r="AN161" s="216"/>
      <c r="AO161" s="179"/>
      <c r="AP161" s="194">
        <f t="shared" si="73"/>
        <v>0</v>
      </c>
      <c r="AQ161" s="178">
        <f t="shared" si="69"/>
        <v>0</v>
      </c>
      <c r="AR161" s="178"/>
      <c r="AS161" s="178">
        <f t="shared" si="75"/>
        <v>4080663</v>
      </c>
      <c r="AT161" s="469" t="str">
        <f t="shared" si="77"/>
        <v>143</v>
      </c>
      <c r="AU161" s="195"/>
      <c r="AV161" s="187" t="s">
        <v>715</v>
      </c>
      <c r="AW161" s="29"/>
      <c r="AX161" s="29"/>
      <c r="AY161" s="29"/>
      <c r="AZ161" s="29"/>
      <c r="BA161" s="29"/>
      <c r="BB161" s="29"/>
      <c r="BC161" s="29"/>
      <c r="BD161" s="29"/>
      <c r="BE161" s="29"/>
      <c r="BF161" s="29"/>
    </row>
    <row r="162" spans="1:58" s="189" customFormat="1" ht="38.25" x14ac:dyDescent="0.25">
      <c r="A162" s="769" t="s">
        <v>437</v>
      </c>
      <c r="B162" s="769" t="str">
        <f>VLOOKUP(D162,[1]LuongBC_T01!$B$9:$C$292,2,FALSE)</f>
        <v>0016100006681004</v>
      </c>
      <c r="C162" s="770" t="s">
        <v>939</v>
      </c>
      <c r="D162" s="771" t="s">
        <v>771</v>
      </c>
      <c r="E162" s="772" t="s">
        <v>1257</v>
      </c>
      <c r="F162" s="773"/>
      <c r="G162" s="774" t="s">
        <v>25</v>
      </c>
      <c r="H162" s="773"/>
      <c r="I162" s="773"/>
      <c r="J162" s="773"/>
      <c r="K162" s="775" t="str">
        <f>VLOOKUP(D162,[2]T3!$B$2:$D$328,3,FALSE)</f>
        <v>025796369</v>
      </c>
      <c r="L162" s="776">
        <v>1603205372861</v>
      </c>
      <c r="M162" s="776" t="s">
        <v>939</v>
      </c>
      <c r="N162" s="777" t="s">
        <v>43</v>
      </c>
      <c r="O162" s="775" t="s">
        <v>698</v>
      </c>
      <c r="P162" s="775">
        <v>1</v>
      </c>
      <c r="Q162" s="775">
        <v>2.46</v>
      </c>
      <c r="R162" s="778">
        <f t="shared" si="55"/>
        <v>0</v>
      </c>
      <c r="S162" s="779"/>
      <c r="T162" s="778">
        <f t="shared" si="56"/>
        <v>0</v>
      </c>
      <c r="U162" s="780"/>
      <c r="V162" s="781"/>
      <c r="W162" s="782">
        <f>VLOOKUP(D162,[3]BC!$D$14:$W$287,20,FALSE)</f>
        <v>0</v>
      </c>
      <c r="X162" s="783">
        <f t="shared" si="58"/>
        <v>0</v>
      </c>
      <c r="Y162" s="783">
        <f t="shared" si="59"/>
        <v>2.46</v>
      </c>
      <c r="Z162" s="784">
        <f t="shared" si="60"/>
        <v>3665400</v>
      </c>
      <c r="AA162" s="784">
        <v>24</v>
      </c>
      <c r="AB162" s="784">
        <f t="shared" si="72"/>
        <v>3665400</v>
      </c>
      <c r="AC162" s="784">
        <v>0</v>
      </c>
      <c r="AD162" s="784">
        <f t="shared" si="62"/>
        <v>0</v>
      </c>
      <c r="AE162" s="781">
        <v>0</v>
      </c>
      <c r="AF162" s="781">
        <v>0</v>
      </c>
      <c r="AG162" s="781">
        <v>0</v>
      </c>
      <c r="AH162" s="781"/>
      <c r="AI162" s="781">
        <f t="shared" si="66"/>
        <v>0</v>
      </c>
      <c r="AJ162" s="785"/>
      <c r="AK162" s="786">
        <f t="shared" si="67"/>
        <v>0</v>
      </c>
      <c r="AL162" s="786"/>
      <c r="AM162" s="786"/>
      <c r="AN162" s="787">
        <f>Q162+T162+V162</f>
        <v>2.46</v>
      </c>
      <c r="AO162" s="782"/>
      <c r="AP162" s="788">
        <f t="shared" si="73"/>
        <v>0</v>
      </c>
      <c r="AQ162" s="781">
        <f t="shared" si="69"/>
        <v>0</v>
      </c>
      <c r="AR162" s="781"/>
      <c r="AS162" s="781">
        <f t="shared" si="75"/>
        <v>0</v>
      </c>
      <c r="AT162" s="789" t="str">
        <f t="shared" si="77"/>
        <v>144</v>
      </c>
      <c r="AU162" s="790" t="s">
        <v>1476</v>
      </c>
      <c r="AV162" s="240" t="s">
        <v>769</v>
      </c>
    </row>
    <row r="163" spans="1:58" s="189" customFormat="1" ht="56.25" x14ac:dyDescent="0.25">
      <c r="A163" s="168" t="s">
        <v>438</v>
      </c>
      <c r="B163" s="168" t="str">
        <f>VLOOKUP(D163,[1]LuongBC_T01!$B$9:$C$292,2,FALSE)</f>
        <v>0016100006771003</v>
      </c>
      <c r="C163" s="371" t="s">
        <v>1048</v>
      </c>
      <c r="D163" s="169" t="s">
        <v>1105</v>
      </c>
      <c r="E163" s="263" t="s">
        <v>1107</v>
      </c>
      <c r="F163" s="169" t="s">
        <v>549</v>
      </c>
      <c r="G163" s="170" t="s">
        <v>25</v>
      </c>
      <c r="H163" s="170"/>
      <c r="I163" s="170" t="s">
        <v>284</v>
      </c>
      <c r="J163" s="169" t="s">
        <v>266</v>
      </c>
      <c r="K163" s="170" t="str">
        <f>VLOOKUP(D163,[2]T3!$B$2:$D$328,3,FALSE)</f>
        <v>025302249</v>
      </c>
      <c r="L163" s="171" t="s">
        <v>161</v>
      </c>
      <c r="M163" s="171" t="s">
        <v>1048</v>
      </c>
      <c r="N163" s="391" t="s">
        <v>38</v>
      </c>
      <c r="O163" s="170" t="s">
        <v>692</v>
      </c>
      <c r="P163" s="172">
        <v>3</v>
      </c>
      <c r="Q163" s="174">
        <v>3.33</v>
      </c>
      <c r="R163" s="176">
        <f>T163+V163+X163</f>
        <v>0</v>
      </c>
      <c r="S163" s="370"/>
      <c r="T163" s="176">
        <f>ROUND(Q163*S163/100,4)</f>
        <v>0</v>
      </c>
      <c r="U163" s="175">
        <f>Q163*S163*$D$8/100</f>
        <v>0</v>
      </c>
      <c r="V163" s="170"/>
      <c r="W163" s="179">
        <f>VLOOKUP(D163,[3]BC!$D$14:$W$287,20,FALSE)</f>
        <v>0</v>
      </c>
      <c r="X163" s="216">
        <f>ROUND((Q163+T163+V163)*W163,4)</f>
        <v>0</v>
      </c>
      <c r="Y163" s="216">
        <f>Q163+T163+V163+X163</f>
        <v>3.33</v>
      </c>
      <c r="Z163" s="180">
        <f t="shared" si="60"/>
        <v>4961700</v>
      </c>
      <c r="AA163" s="180"/>
      <c r="AB163" s="180">
        <f t="shared" si="72"/>
        <v>0</v>
      </c>
      <c r="AC163" s="180">
        <f t="shared" si="78"/>
        <v>0</v>
      </c>
      <c r="AD163" s="180">
        <f t="shared" si="62"/>
        <v>4961700</v>
      </c>
      <c r="AE163" s="178">
        <f t="shared" si="63"/>
        <v>396936</v>
      </c>
      <c r="AF163" s="178">
        <f t="shared" si="64"/>
        <v>74425.5</v>
      </c>
      <c r="AG163" s="178">
        <f t="shared" si="65"/>
        <v>49617</v>
      </c>
      <c r="AH163" s="178"/>
      <c r="AI163" s="178">
        <f>SUM(AE163:AH163)</f>
        <v>520978.5</v>
      </c>
      <c r="AJ163" s="192"/>
      <c r="AK163" s="182">
        <f t="shared" si="67"/>
        <v>0</v>
      </c>
      <c r="AL163" s="182"/>
      <c r="AM163" s="182"/>
      <c r="AN163" s="193">
        <f>Q163+T163+V163</f>
        <v>3.33</v>
      </c>
      <c r="AO163" s="179"/>
      <c r="AP163" s="194">
        <f>ROUND(AN163*AO163,4)</f>
        <v>0</v>
      </c>
      <c r="AQ163" s="178">
        <f t="shared" si="69"/>
        <v>0</v>
      </c>
      <c r="AR163" s="178"/>
      <c r="AS163" s="178">
        <f t="shared" si="75"/>
        <v>4440722</v>
      </c>
      <c r="AT163" s="469" t="str">
        <f t="shared" si="77"/>
        <v>145</v>
      </c>
      <c r="AU163" s="244"/>
      <c r="AV163" s="244" t="s">
        <v>1276</v>
      </c>
      <c r="AW163" s="29"/>
      <c r="AX163" s="29"/>
      <c r="AY163" s="29"/>
      <c r="AZ163" s="29"/>
      <c r="BA163" s="29"/>
      <c r="BB163" s="29"/>
      <c r="BC163" s="29"/>
      <c r="BD163" s="29"/>
      <c r="BE163" s="29"/>
      <c r="BF163" s="29"/>
    </row>
    <row r="164" spans="1:58" s="189" customFormat="1" ht="41.25" customHeight="1" x14ac:dyDescent="0.25">
      <c r="A164" s="168" t="s">
        <v>439</v>
      </c>
      <c r="B164" s="168" t="str">
        <f>VLOOKUP(D164,[1]LuongBC_T01!$B$9:$C$292,2,FALSE)</f>
        <v>0016100006498005</v>
      </c>
      <c r="C164" s="371" t="s">
        <v>1049</v>
      </c>
      <c r="D164" s="230" t="s">
        <v>1214</v>
      </c>
      <c r="E164" s="263" t="s">
        <v>1431</v>
      </c>
      <c r="F164" s="231"/>
      <c r="G164" s="251" t="s">
        <v>25</v>
      </c>
      <c r="H164" s="231"/>
      <c r="I164" s="231"/>
      <c r="J164" s="231"/>
      <c r="K164" s="170" t="str">
        <f>VLOOKUP(D164,[2]T3!$B$2:$D$328,3,FALSE)</f>
        <v>036186004635</v>
      </c>
      <c r="L164" s="226"/>
      <c r="M164" s="226" t="s">
        <v>1049</v>
      </c>
      <c r="N164" s="393" t="s">
        <v>38</v>
      </c>
      <c r="O164" s="170" t="s">
        <v>692</v>
      </c>
      <c r="P164" s="170">
        <v>3</v>
      </c>
      <c r="Q164" s="177">
        <v>3.33</v>
      </c>
      <c r="R164" s="176">
        <f>T164+V164+X164</f>
        <v>0</v>
      </c>
      <c r="S164" s="169"/>
      <c r="T164" s="176">
        <f>ROUND(Q164*S164/100,4)</f>
        <v>0</v>
      </c>
      <c r="U164" s="175">
        <f>Q164*S164*$D$8/100</f>
        <v>0</v>
      </c>
      <c r="V164" s="170"/>
      <c r="W164" s="179">
        <f>VLOOKUP(D164,[3]BC!$D$14:$W$287,20,FALSE)</f>
        <v>0</v>
      </c>
      <c r="X164" s="216">
        <f>ROUND((Q164+T164+V164)*W164,4)</f>
        <v>0</v>
      </c>
      <c r="Y164" s="216">
        <f>Q164+T164+V164+X164</f>
        <v>3.33</v>
      </c>
      <c r="Z164" s="180">
        <f t="shared" si="60"/>
        <v>4961700</v>
      </c>
      <c r="AA164" s="180"/>
      <c r="AB164" s="180">
        <f t="shared" si="72"/>
        <v>0</v>
      </c>
      <c r="AC164" s="180">
        <f t="shared" si="78"/>
        <v>0</v>
      </c>
      <c r="AD164" s="180">
        <f t="shared" si="62"/>
        <v>4961700</v>
      </c>
      <c r="AE164" s="178">
        <f t="shared" si="63"/>
        <v>396936</v>
      </c>
      <c r="AF164" s="178">
        <f t="shared" si="64"/>
        <v>74425.5</v>
      </c>
      <c r="AG164" s="178">
        <f t="shared" si="65"/>
        <v>49617</v>
      </c>
      <c r="AH164" s="178"/>
      <c r="AI164" s="178">
        <f>SUM(AE164:AH164)</f>
        <v>520978.5</v>
      </c>
      <c r="AJ164" s="192"/>
      <c r="AK164" s="182">
        <f t="shared" si="67"/>
        <v>0</v>
      </c>
      <c r="AL164" s="182"/>
      <c r="AM164" s="182"/>
      <c r="AN164" s="183"/>
      <c r="AO164" s="179"/>
      <c r="AP164" s="194">
        <f>ROUND(AN164*AO164,4)</f>
        <v>0</v>
      </c>
      <c r="AQ164" s="178">
        <f t="shared" si="69"/>
        <v>0</v>
      </c>
      <c r="AR164" s="178"/>
      <c r="AS164" s="178">
        <f t="shared" si="75"/>
        <v>4440722</v>
      </c>
      <c r="AT164" s="469" t="str">
        <f t="shared" si="77"/>
        <v>146</v>
      </c>
      <c r="AU164" s="244"/>
      <c r="AV164" s="255" t="e">
        <f>AV163*3</f>
        <v>#VALUE!</v>
      </c>
    </row>
    <row r="165" spans="1:58" s="189" customFormat="1" ht="33.75" customHeight="1" x14ac:dyDescent="0.25">
      <c r="A165" s="168" t="s">
        <v>440</v>
      </c>
      <c r="B165" s="168" t="str">
        <f>VLOOKUP(D165,[1]LuongBC_T01!$B$9:$C$292,2,FALSE)</f>
        <v>0016100006524006</v>
      </c>
      <c r="C165" s="371" t="s">
        <v>1050</v>
      </c>
      <c r="D165" s="230" t="s">
        <v>1215</v>
      </c>
      <c r="E165" s="263" t="s">
        <v>1257</v>
      </c>
      <c r="F165" s="231"/>
      <c r="G165" s="251" t="s">
        <v>25</v>
      </c>
      <c r="H165" s="231"/>
      <c r="I165" s="231"/>
      <c r="J165" s="231"/>
      <c r="K165" s="170" t="str">
        <f>VLOOKUP(D165,[2]T3!$B$2:$D$328,3,FALSE)</f>
        <v>025408857</v>
      </c>
      <c r="L165" s="226"/>
      <c r="M165" s="226" t="s">
        <v>1050</v>
      </c>
      <c r="N165" s="393" t="s">
        <v>38</v>
      </c>
      <c r="O165" s="170" t="s">
        <v>692</v>
      </c>
      <c r="P165" s="170">
        <v>2</v>
      </c>
      <c r="Q165" s="177">
        <v>3.33</v>
      </c>
      <c r="R165" s="176">
        <f>T165+V165+X165</f>
        <v>0</v>
      </c>
      <c r="S165" s="169"/>
      <c r="T165" s="176">
        <f>ROUND(Q165*S165/100,4)</f>
        <v>0</v>
      </c>
      <c r="U165" s="175">
        <f>Q165*S165*$D$8/100</f>
        <v>0</v>
      </c>
      <c r="V165" s="170"/>
      <c r="W165" s="179">
        <f>VLOOKUP(D165,[3]BC!$D$14:$W$287,20,FALSE)</f>
        <v>0</v>
      </c>
      <c r="X165" s="216">
        <f>ROUND((Q165+T165+V165)*W165,4)</f>
        <v>0</v>
      </c>
      <c r="Y165" s="216">
        <f>Q165+T165+V165+X165</f>
        <v>3.33</v>
      </c>
      <c r="Z165" s="180">
        <f t="shared" si="60"/>
        <v>4961700</v>
      </c>
      <c r="AA165" s="180"/>
      <c r="AB165" s="180">
        <f t="shared" si="72"/>
        <v>0</v>
      </c>
      <c r="AC165" s="180">
        <f t="shared" si="78"/>
        <v>0</v>
      </c>
      <c r="AD165" s="180">
        <f t="shared" si="62"/>
        <v>4961700</v>
      </c>
      <c r="AE165" s="178">
        <f t="shared" si="63"/>
        <v>396936</v>
      </c>
      <c r="AF165" s="178">
        <f t="shared" si="64"/>
        <v>74425.5</v>
      </c>
      <c r="AG165" s="178">
        <f t="shared" si="65"/>
        <v>49617</v>
      </c>
      <c r="AH165" s="178"/>
      <c r="AI165" s="178">
        <f>SUM(AE165:AH165)</f>
        <v>520978.5</v>
      </c>
      <c r="AJ165" s="192"/>
      <c r="AK165" s="182">
        <f t="shared" si="67"/>
        <v>0</v>
      </c>
      <c r="AL165" s="182"/>
      <c r="AM165" s="182"/>
      <c r="AN165" s="183"/>
      <c r="AO165" s="179"/>
      <c r="AP165" s="194">
        <f>ROUND(AN165*AO165,4)</f>
        <v>0</v>
      </c>
      <c r="AQ165" s="178">
        <f t="shared" si="69"/>
        <v>0</v>
      </c>
      <c r="AR165" s="178"/>
      <c r="AS165" s="178">
        <f t="shared" si="75"/>
        <v>4440722</v>
      </c>
      <c r="AT165" s="469" t="str">
        <f t="shared" si="77"/>
        <v>147</v>
      </c>
      <c r="AU165" s="244"/>
      <c r="AV165" s="255"/>
      <c r="AW165" s="29"/>
      <c r="AX165" s="29"/>
      <c r="AY165" s="29"/>
      <c r="AZ165" s="29"/>
      <c r="BA165" s="29"/>
      <c r="BB165" s="29"/>
      <c r="BC165" s="29"/>
      <c r="BD165" s="29"/>
      <c r="BE165" s="29"/>
      <c r="BF165" s="29"/>
    </row>
    <row r="166" spans="1:58" s="189" customFormat="1" ht="38.25" x14ac:dyDescent="0.25">
      <c r="A166" s="168" t="s">
        <v>668</v>
      </c>
      <c r="B166" s="168" t="str">
        <f>VLOOKUP(D166,[1]LuongBC_T01!$B$9:$C$292,2,FALSE)</f>
        <v>0016100006515007</v>
      </c>
      <c r="C166" s="199" t="s">
        <v>940</v>
      </c>
      <c r="D166" s="169" t="s">
        <v>683</v>
      </c>
      <c r="E166" s="263" t="s">
        <v>1257</v>
      </c>
      <c r="F166" s="169" t="s">
        <v>553</v>
      </c>
      <c r="G166" s="170" t="s">
        <v>25</v>
      </c>
      <c r="H166" s="170"/>
      <c r="I166" s="170"/>
      <c r="J166" s="169"/>
      <c r="K166" s="170" t="str">
        <f>VLOOKUP(D166,[2]T3!$B$2:$D$328,3,FALSE)</f>
        <v>025197968</v>
      </c>
      <c r="L166" s="249">
        <v>1603205178873</v>
      </c>
      <c r="M166" s="249" t="s">
        <v>940</v>
      </c>
      <c r="N166" s="390" t="s">
        <v>687</v>
      </c>
      <c r="O166" s="222" t="s">
        <v>698</v>
      </c>
      <c r="P166" s="172">
        <v>7</v>
      </c>
      <c r="Q166" s="174">
        <v>3.26</v>
      </c>
      <c r="R166" s="176">
        <f t="shared" si="55"/>
        <v>0</v>
      </c>
      <c r="S166" s="370"/>
      <c r="T166" s="176">
        <f t="shared" si="56"/>
        <v>0</v>
      </c>
      <c r="U166" s="175">
        <f t="shared" ref="U166:U229" si="79">Q166*S166*$D$8/100</f>
        <v>0</v>
      </c>
      <c r="V166" s="170"/>
      <c r="W166" s="179">
        <f>VLOOKUP(D166,[3]BC!$D$14:$W$287,20,FALSE)</f>
        <v>0</v>
      </c>
      <c r="X166" s="216">
        <f t="shared" si="58"/>
        <v>0</v>
      </c>
      <c r="Y166" s="216">
        <f>Q166+T166+V166+X166</f>
        <v>3.26</v>
      </c>
      <c r="Z166" s="180">
        <f t="shared" si="60"/>
        <v>4857400</v>
      </c>
      <c r="AA166" s="180"/>
      <c r="AB166" s="180">
        <f t="shared" si="72"/>
        <v>0</v>
      </c>
      <c r="AC166" s="180">
        <v>0</v>
      </c>
      <c r="AD166" s="180">
        <f t="shared" si="62"/>
        <v>4857400</v>
      </c>
      <c r="AE166" s="178">
        <f t="shared" si="63"/>
        <v>388592</v>
      </c>
      <c r="AF166" s="178">
        <f t="shared" si="64"/>
        <v>72861</v>
      </c>
      <c r="AG166" s="178">
        <f t="shared" si="65"/>
        <v>48574</v>
      </c>
      <c r="AH166" s="178"/>
      <c r="AI166" s="178">
        <f t="shared" si="66"/>
        <v>510027</v>
      </c>
      <c r="AJ166" s="192"/>
      <c r="AK166" s="182">
        <f t="shared" si="67"/>
        <v>0</v>
      </c>
      <c r="AL166" s="182"/>
      <c r="AM166" s="182"/>
      <c r="AN166" s="193">
        <f>Q166+T166+V166</f>
        <v>3.26</v>
      </c>
      <c r="AO166" s="179"/>
      <c r="AP166" s="194">
        <f t="shared" si="73"/>
        <v>0</v>
      </c>
      <c r="AQ166" s="178">
        <f t="shared" si="69"/>
        <v>0</v>
      </c>
      <c r="AR166" s="178"/>
      <c r="AS166" s="178">
        <f t="shared" si="75"/>
        <v>4347373</v>
      </c>
      <c r="AT166" s="469" t="str">
        <f t="shared" si="77"/>
        <v>148</v>
      </c>
      <c r="AU166" s="244"/>
      <c r="AV166" s="242"/>
      <c r="AW166" s="29"/>
      <c r="AX166" s="29"/>
      <c r="AY166" s="29"/>
      <c r="AZ166" s="29"/>
      <c r="BA166" s="29"/>
      <c r="BB166" s="29"/>
      <c r="BC166" s="29"/>
      <c r="BD166" s="29"/>
      <c r="BE166" s="29"/>
      <c r="BF166" s="29"/>
    </row>
    <row r="167" spans="1:58" s="189" customFormat="1" ht="33.75" customHeight="1" x14ac:dyDescent="0.25">
      <c r="A167" s="168" t="s">
        <v>441</v>
      </c>
      <c r="B167" s="168" t="str">
        <f>VLOOKUP(D167,[1]LuongBC_T01!$B$9:$C$292,2,FALSE)</f>
        <v>0016100006599006</v>
      </c>
      <c r="C167" s="199" t="s">
        <v>948</v>
      </c>
      <c r="D167" s="169" t="s">
        <v>658</v>
      </c>
      <c r="E167" s="263" t="s">
        <v>1106</v>
      </c>
      <c r="F167" s="169" t="s">
        <v>553</v>
      </c>
      <c r="G167" s="169"/>
      <c r="H167" s="169"/>
      <c r="I167" s="169" t="s">
        <v>284</v>
      </c>
      <c r="J167" s="169"/>
      <c r="K167" s="170" t="str">
        <f>VLOOKUP(D167,[2]T3!$B$2:$D$328,3,FALSE)</f>
        <v>024683154</v>
      </c>
      <c r="L167" s="213" t="s">
        <v>664</v>
      </c>
      <c r="M167" s="213" t="s">
        <v>948</v>
      </c>
      <c r="N167" s="393" t="s">
        <v>1118</v>
      </c>
      <c r="O167" s="170" t="s">
        <v>698</v>
      </c>
      <c r="P167" s="170">
        <v>6</v>
      </c>
      <c r="Q167" s="214">
        <v>3.26</v>
      </c>
      <c r="R167" s="176">
        <f t="shared" ref="R167:R229" si="80">T167+V167+X167</f>
        <v>0</v>
      </c>
      <c r="S167" s="178"/>
      <c r="T167" s="176">
        <f t="shared" ref="T167:T230" si="81">ROUND(Q167*S167/100,4)</f>
        <v>0</v>
      </c>
      <c r="U167" s="175">
        <f t="shared" si="79"/>
        <v>0</v>
      </c>
      <c r="V167" s="178"/>
      <c r="W167" s="179">
        <f>VLOOKUP(D167,[3]BC!$D$14:$W$287,20,FALSE)</f>
        <v>0</v>
      </c>
      <c r="X167" s="216">
        <f t="shared" ref="X167:X230" si="82">ROUND((Q167+T167+V167)*W167,4)</f>
        <v>0</v>
      </c>
      <c r="Y167" s="216">
        <f t="shared" ref="Y167:Y230" si="83">Q167+T167+V167+X167</f>
        <v>3.26</v>
      </c>
      <c r="Z167" s="180">
        <f t="shared" ref="Z167:Z230" si="84">ROUND(Y167*$D$8,0)</f>
        <v>4857400</v>
      </c>
      <c r="AA167" s="180"/>
      <c r="AB167" s="180">
        <f t="shared" si="72"/>
        <v>0</v>
      </c>
      <c r="AC167" s="180">
        <f>Z167/24*AA167*75%</f>
        <v>0</v>
      </c>
      <c r="AD167" s="180">
        <f t="shared" ref="AD167:AD230" si="85">ROUND(Z167-AB167+AC167,0)</f>
        <v>4857400</v>
      </c>
      <c r="AE167" s="178">
        <f t="shared" ref="AE167:AE230" si="86">Z167*8%</f>
        <v>388592</v>
      </c>
      <c r="AF167" s="178">
        <f t="shared" ref="AF167:AF230" si="87">Z167*1.5%</f>
        <v>72861</v>
      </c>
      <c r="AG167" s="178">
        <f t="shared" ref="AG167:AG230" si="88">Z167*1%</f>
        <v>48574</v>
      </c>
      <c r="AH167" s="178"/>
      <c r="AI167" s="178">
        <f t="shared" ref="AI167:AI230" si="89">SUM(AE167:AH167)</f>
        <v>510027</v>
      </c>
      <c r="AJ167" s="215"/>
      <c r="AK167" s="182">
        <f t="shared" ref="AK167:AK230" si="90">AJ167*$D$8</f>
        <v>0</v>
      </c>
      <c r="AL167" s="182"/>
      <c r="AM167" s="182"/>
      <c r="AN167" s="193">
        <f>Q167+T167+V167</f>
        <v>3.26</v>
      </c>
      <c r="AO167" s="179"/>
      <c r="AP167" s="194">
        <f t="shared" si="73"/>
        <v>0</v>
      </c>
      <c r="AQ167" s="178">
        <f t="shared" ref="AQ167:AQ233" si="91">ROUND(AP167*$D$8,0)</f>
        <v>0</v>
      </c>
      <c r="AR167" s="178"/>
      <c r="AS167" s="178">
        <f t="shared" si="75"/>
        <v>4347373</v>
      </c>
      <c r="AT167" s="469" t="str">
        <f t="shared" si="77"/>
        <v>149</v>
      </c>
      <c r="AU167" s="195"/>
      <c r="AV167" s="242"/>
    </row>
    <row r="168" spans="1:58" s="189" customFormat="1" ht="33.75" customHeight="1" x14ac:dyDescent="0.25">
      <c r="A168" s="168" t="s">
        <v>442</v>
      </c>
      <c r="B168" s="168" t="str">
        <f>VLOOKUP(D168,[1]LuongBC_T01!$B$9:$C$292,2,FALSE)</f>
        <v>0016100006807008</v>
      </c>
      <c r="C168" s="199" t="s">
        <v>950</v>
      </c>
      <c r="D168" s="169" t="s">
        <v>1216</v>
      </c>
      <c r="E168" s="263" t="s">
        <v>1106</v>
      </c>
      <c r="F168" s="169" t="s">
        <v>553</v>
      </c>
      <c r="G168" s="170"/>
      <c r="H168" s="170"/>
      <c r="I168" s="170" t="s">
        <v>284</v>
      </c>
      <c r="J168" s="169" t="s">
        <v>270</v>
      </c>
      <c r="K168" s="170" t="str">
        <f>VLOOKUP(D168,[2]T3!$B$2:$D$328,3,FALSE)</f>
        <v>079084001864</v>
      </c>
      <c r="L168" s="171" t="s">
        <v>153</v>
      </c>
      <c r="M168" s="171" t="s">
        <v>950</v>
      </c>
      <c r="N168" s="390" t="s">
        <v>1118</v>
      </c>
      <c r="O168" s="222" t="s">
        <v>698</v>
      </c>
      <c r="P168" s="172">
        <v>6</v>
      </c>
      <c r="Q168" s="174">
        <v>3.06</v>
      </c>
      <c r="R168" s="176">
        <f t="shared" si="80"/>
        <v>0</v>
      </c>
      <c r="S168" s="370"/>
      <c r="T168" s="176">
        <f t="shared" si="81"/>
        <v>0</v>
      </c>
      <c r="U168" s="175">
        <f t="shared" si="79"/>
        <v>0</v>
      </c>
      <c r="V168" s="170"/>
      <c r="W168" s="179">
        <f>VLOOKUP(D168,[3]BC!$D$14:$W$287,20,FALSE)</f>
        <v>0</v>
      </c>
      <c r="X168" s="216">
        <f t="shared" si="82"/>
        <v>0</v>
      </c>
      <c r="Y168" s="216">
        <f t="shared" si="83"/>
        <v>3.06</v>
      </c>
      <c r="Z168" s="180">
        <f t="shared" si="84"/>
        <v>4559400</v>
      </c>
      <c r="AA168" s="180"/>
      <c r="AB168" s="180">
        <f t="shared" ref="AB168:AB230" si="92">Z168/24*AA168</f>
        <v>0</v>
      </c>
      <c r="AC168" s="180">
        <f t="shared" ref="AC168:AC210" si="93">Z168/24*AA168*75%</f>
        <v>0</v>
      </c>
      <c r="AD168" s="180">
        <f t="shared" si="85"/>
        <v>4559400</v>
      </c>
      <c r="AE168" s="178">
        <f t="shared" si="86"/>
        <v>364752</v>
      </c>
      <c r="AF168" s="178">
        <f t="shared" si="87"/>
        <v>68391</v>
      </c>
      <c r="AG168" s="178">
        <f t="shared" si="88"/>
        <v>45594</v>
      </c>
      <c r="AH168" s="178"/>
      <c r="AI168" s="178">
        <f t="shared" si="89"/>
        <v>478737</v>
      </c>
      <c r="AJ168" s="192"/>
      <c r="AK168" s="182">
        <f t="shared" si="90"/>
        <v>0</v>
      </c>
      <c r="AL168" s="182"/>
      <c r="AM168" s="182"/>
      <c r="AN168" s="193">
        <f>Q168+T168+V168</f>
        <v>3.06</v>
      </c>
      <c r="AO168" s="179"/>
      <c r="AP168" s="194">
        <f t="shared" ref="AP168:AP230" si="94">ROUND(AN168*AO168,4)</f>
        <v>0</v>
      </c>
      <c r="AQ168" s="178">
        <f t="shared" si="91"/>
        <v>0</v>
      </c>
      <c r="AR168" s="178"/>
      <c r="AS168" s="178">
        <f t="shared" si="75"/>
        <v>4080663</v>
      </c>
      <c r="AT168" s="469" t="str">
        <f t="shared" si="77"/>
        <v>150</v>
      </c>
      <c r="AU168" s="667"/>
      <c r="AV168" s="242"/>
      <c r="AW168" s="29"/>
      <c r="AX168" s="29"/>
      <c r="AY168" s="29"/>
      <c r="AZ168" s="29"/>
      <c r="BA168" s="29"/>
      <c r="BB168" s="29"/>
      <c r="BC168" s="29"/>
      <c r="BD168" s="29"/>
      <c r="BE168" s="29"/>
      <c r="BF168" s="29"/>
    </row>
    <row r="169" spans="1:58" s="189" customFormat="1" ht="44.25" customHeight="1" x14ac:dyDescent="0.25">
      <c r="A169" s="168" t="s">
        <v>443</v>
      </c>
      <c r="B169" s="168" t="str">
        <f>VLOOKUP(D169,[1]LuongBC_T01!$B$9:$C$292,2,FALSE)</f>
        <v>0016100006564008</v>
      </c>
      <c r="C169" s="199" t="s">
        <v>951</v>
      </c>
      <c r="D169" s="169" t="s">
        <v>1217</v>
      </c>
      <c r="E169" s="263" t="s">
        <v>1106</v>
      </c>
      <c r="F169" s="169" t="s">
        <v>553</v>
      </c>
      <c r="G169" s="170"/>
      <c r="H169" s="170"/>
      <c r="I169" s="170" t="s">
        <v>284</v>
      </c>
      <c r="J169" s="169" t="s">
        <v>268</v>
      </c>
      <c r="K169" s="540" t="s">
        <v>1310</v>
      </c>
      <c r="L169" s="171" t="s">
        <v>158</v>
      </c>
      <c r="M169" s="171" t="s">
        <v>951</v>
      </c>
      <c r="N169" s="390" t="s">
        <v>1118</v>
      </c>
      <c r="O169" s="222" t="s">
        <v>698</v>
      </c>
      <c r="P169" s="172">
        <v>4</v>
      </c>
      <c r="Q169" s="174">
        <v>2.86</v>
      </c>
      <c r="R169" s="176">
        <f t="shared" si="80"/>
        <v>0</v>
      </c>
      <c r="S169" s="370"/>
      <c r="T169" s="176">
        <f t="shared" si="81"/>
        <v>0</v>
      </c>
      <c r="U169" s="175">
        <f t="shared" si="79"/>
        <v>0</v>
      </c>
      <c r="V169" s="170"/>
      <c r="W169" s="179">
        <f>VLOOKUP(D169,[3]BC!$D$14:$W$287,20,FALSE)</f>
        <v>0</v>
      </c>
      <c r="X169" s="216">
        <f t="shared" si="82"/>
        <v>0</v>
      </c>
      <c r="Y169" s="216">
        <f t="shared" si="83"/>
        <v>2.86</v>
      </c>
      <c r="Z169" s="180">
        <f t="shared" si="84"/>
        <v>4261400</v>
      </c>
      <c r="AA169" s="180"/>
      <c r="AB169" s="180">
        <f t="shared" si="92"/>
        <v>0</v>
      </c>
      <c r="AC169" s="180">
        <f t="shared" si="93"/>
        <v>0</v>
      </c>
      <c r="AD169" s="180">
        <f t="shared" si="85"/>
        <v>4261400</v>
      </c>
      <c r="AE169" s="178">
        <f t="shared" si="86"/>
        <v>340912</v>
      </c>
      <c r="AF169" s="178">
        <f t="shared" si="87"/>
        <v>63921</v>
      </c>
      <c r="AG169" s="178">
        <f t="shared" si="88"/>
        <v>42614</v>
      </c>
      <c r="AH169" s="178"/>
      <c r="AI169" s="178">
        <f t="shared" si="89"/>
        <v>447447</v>
      </c>
      <c r="AJ169" s="181"/>
      <c r="AK169" s="182">
        <f t="shared" si="90"/>
        <v>0</v>
      </c>
      <c r="AL169" s="182"/>
      <c r="AM169" s="182"/>
      <c r="AN169" s="193">
        <f>Q169+T169+V169</f>
        <v>2.86</v>
      </c>
      <c r="AO169" s="179"/>
      <c r="AP169" s="194">
        <f t="shared" si="94"/>
        <v>0</v>
      </c>
      <c r="AQ169" s="178">
        <f t="shared" si="91"/>
        <v>0</v>
      </c>
      <c r="AR169" s="178"/>
      <c r="AS169" s="178">
        <f t="shared" si="75"/>
        <v>3813953</v>
      </c>
      <c r="AT169" s="469" t="str">
        <f t="shared" si="77"/>
        <v>151</v>
      </c>
      <c r="AU169" s="195"/>
      <c r="AV169" s="242"/>
      <c r="AW169" s="29"/>
      <c r="AX169" s="29"/>
      <c r="AY169" s="29"/>
      <c r="AZ169" s="29"/>
      <c r="BA169" s="29"/>
      <c r="BB169" s="29"/>
      <c r="BC169" s="29"/>
      <c r="BD169" s="29"/>
      <c r="BE169" s="29"/>
      <c r="BF169" s="29"/>
    </row>
    <row r="170" spans="1:58" s="189" customFormat="1" ht="38.25" x14ac:dyDescent="0.25">
      <c r="A170" s="168" t="s">
        <v>444</v>
      </c>
      <c r="B170" s="168" t="str">
        <f>VLOOKUP(D170,[1]LuongBC_T01!$B$9:$C$292,2,FALSE)</f>
        <v>0016100006663006</v>
      </c>
      <c r="C170" s="199" t="s">
        <v>952</v>
      </c>
      <c r="D170" s="169" t="s">
        <v>755</v>
      </c>
      <c r="E170" s="263" t="s">
        <v>1107</v>
      </c>
      <c r="F170" s="169"/>
      <c r="G170" s="170" t="s">
        <v>25</v>
      </c>
      <c r="H170" s="170"/>
      <c r="I170" s="170"/>
      <c r="J170" s="169"/>
      <c r="K170" s="170" t="str">
        <f>VLOOKUP(D170,[2]T3!$B$2:$D$328,3,FALSE)</f>
        <v>024419690</v>
      </c>
      <c r="L170" s="226" t="s">
        <v>765</v>
      </c>
      <c r="M170" s="226" t="s">
        <v>952</v>
      </c>
      <c r="N170" s="390" t="s">
        <v>1118</v>
      </c>
      <c r="O170" s="222" t="s">
        <v>698</v>
      </c>
      <c r="P170" s="172">
        <v>3</v>
      </c>
      <c r="Q170" s="174">
        <v>3.06</v>
      </c>
      <c r="R170" s="176">
        <f t="shared" si="80"/>
        <v>0</v>
      </c>
      <c r="S170" s="370"/>
      <c r="T170" s="176">
        <f t="shared" si="81"/>
        <v>0</v>
      </c>
      <c r="U170" s="175">
        <f t="shared" si="79"/>
        <v>0</v>
      </c>
      <c r="V170" s="170"/>
      <c r="W170" s="179">
        <f>VLOOKUP(D170,[3]BC!$D$14:$W$287,20,FALSE)</f>
        <v>0</v>
      </c>
      <c r="X170" s="216">
        <f t="shared" si="82"/>
        <v>0</v>
      </c>
      <c r="Y170" s="216">
        <f t="shared" si="83"/>
        <v>3.06</v>
      </c>
      <c r="Z170" s="180">
        <f t="shared" si="84"/>
        <v>4559400</v>
      </c>
      <c r="AA170" s="180"/>
      <c r="AB170" s="180">
        <f t="shared" si="92"/>
        <v>0</v>
      </c>
      <c r="AC170" s="180">
        <f t="shared" si="93"/>
        <v>0</v>
      </c>
      <c r="AD170" s="180">
        <f t="shared" si="85"/>
        <v>4559400</v>
      </c>
      <c r="AE170" s="178">
        <f t="shared" si="86"/>
        <v>364752</v>
      </c>
      <c r="AF170" s="178">
        <f t="shared" si="87"/>
        <v>68391</v>
      </c>
      <c r="AG170" s="178">
        <f t="shared" si="88"/>
        <v>45594</v>
      </c>
      <c r="AH170" s="178"/>
      <c r="AI170" s="178">
        <f t="shared" si="89"/>
        <v>478737</v>
      </c>
      <c r="AJ170" s="181"/>
      <c r="AK170" s="182">
        <f t="shared" si="90"/>
        <v>0</v>
      </c>
      <c r="AL170" s="182"/>
      <c r="AM170" s="182"/>
      <c r="AN170" s="193"/>
      <c r="AO170" s="179"/>
      <c r="AP170" s="194">
        <f t="shared" si="94"/>
        <v>0</v>
      </c>
      <c r="AQ170" s="178">
        <f t="shared" si="91"/>
        <v>0</v>
      </c>
      <c r="AR170" s="178"/>
      <c r="AS170" s="178">
        <f t="shared" si="75"/>
        <v>4080663</v>
      </c>
      <c r="AT170" s="469" t="str">
        <f t="shared" si="77"/>
        <v>152</v>
      </c>
      <c r="AU170" s="244"/>
      <c r="AV170" s="223" t="e">
        <f>#REF!*2</f>
        <v>#REF!</v>
      </c>
      <c r="AW170" s="29"/>
      <c r="AX170" s="29"/>
      <c r="AY170" s="29"/>
      <c r="AZ170" s="29"/>
      <c r="BA170" s="29"/>
      <c r="BB170" s="29"/>
      <c r="BC170" s="29"/>
      <c r="BD170" s="29"/>
      <c r="BE170" s="29"/>
      <c r="BF170" s="29"/>
    </row>
    <row r="171" spans="1:58" s="189" customFormat="1" ht="39" customHeight="1" x14ac:dyDescent="0.25">
      <c r="A171" s="168" t="s">
        <v>445</v>
      </c>
      <c r="B171" s="168" t="str">
        <f>VLOOKUP(D171,[1]LuongBC_T01!$B$9:$C$292,2,FALSE)</f>
        <v>0016100006542004</v>
      </c>
      <c r="C171" s="199" t="s">
        <v>953</v>
      </c>
      <c r="D171" s="169" t="s">
        <v>756</v>
      </c>
      <c r="E171" s="263" t="s">
        <v>1475</v>
      </c>
      <c r="F171" s="169"/>
      <c r="G171" s="170"/>
      <c r="H171" s="170"/>
      <c r="I171" s="170"/>
      <c r="J171" s="169"/>
      <c r="K171" s="170" t="str">
        <f>VLOOKUP(D171,[2]T3!$B$2:$D$328,3,FALSE)</f>
        <v>079085002906</v>
      </c>
      <c r="L171" s="397" t="s">
        <v>764</v>
      </c>
      <c r="M171" s="397" t="s">
        <v>953</v>
      </c>
      <c r="N171" s="390" t="s">
        <v>1118</v>
      </c>
      <c r="O171" s="222" t="s">
        <v>698</v>
      </c>
      <c r="P171" s="172">
        <v>3</v>
      </c>
      <c r="Q171" s="174">
        <v>2.86</v>
      </c>
      <c r="R171" s="176">
        <f t="shared" si="80"/>
        <v>0</v>
      </c>
      <c r="S171" s="370"/>
      <c r="T171" s="176">
        <f t="shared" si="81"/>
        <v>0</v>
      </c>
      <c r="U171" s="175">
        <f t="shared" si="79"/>
        <v>0</v>
      </c>
      <c r="V171" s="170"/>
      <c r="W171" s="179">
        <f>VLOOKUP(D171,[3]BC!$D$14:$W$287,20,FALSE)</f>
        <v>0</v>
      </c>
      <c r="X171" s="216">
        <f t="shared" si="82"/>
        <v>0</v>
      </c>
      <c r="Y171" s="216">
        <f t="shared" si="83"/>
        <v>2.86</v>
      </c>
      <c r="Z171" s="180">
        <f t="shared" si="84"/>
        <v>4261400</v>
      </c>
      <c r="AA171" s="180">
        <v>0</v>
      </c>
      <c r="AB171" s="180">
        <f t="shared" si="92"/>
        <v>0</v>
      </c>
      <c r="AC171" s="180">
        <v>0</v>
      </c>
      <c r="AD171" s="180">
        <f t="shared" si="85"/>
        <v>4261400</v>
      </c>
      <c r="AE171" s="178">
        <f t="shared" si="86"/>
        <v>340912</v>
      </c>
      <c r="AF171" s="178">
        <f t="shared" si="87"/>
        <v>63921</v>
      </c>
      <c r="AG171" s="178">
        <f t="shared" si="88"/>
        <v>42614</v>
      </c>
      <c r="AH171" s="178"/>
      <c r="AI171" s="178">
        <f t="shared" si="89"/>
        <v>447447</v>
      </c>
      <c r="AJ171" s="181"/>
      <c r="AK171" s="182">
        <f t="shared" si="90"/>
        <v>0</v>
      </c>
      <c r="AL171" s="182"/>
      <c r="AM171" s="182"/>
      <c r="AN171" s="193"/>
      <c r="AO171" s="179"/>
      <c r="AP171" s="194">
        <f t="shared" si="94"/>
        <v>0</v>
      </c>
      <c r="AQ171" s="178">
        <f t="shared" si="91"/>
        <v>0</v>
      </c>
      <c r="AR171" s="178"/>
      <c r="AS171" s="178">
        <f t="shared" si="75"/>
        <v>3813953</v>
      </c>
      <c r="AT171" s="469" t="str">
        <f t="shared" si="77"/>
        <v>153</v>
      </c>
      <c r="AU171" s="195" t="s">
        <v>1460</v>
      </c>
      <c r="AV171" s="223"/>
    </row>
    <row r="172" spans="1:58" s="189" customFormat="1" ht="39" customHeight="1" x14ac:dyDescent="0.25">
      <c r="A172" s="168" t="s">
        <v>446</v>
      </c>
      <c r="B172" s="168" t="str">
        <f>VLOOKUP(D172,[1]LuongBC_T01!$B$9:$C$292,2,FALSE)</f>
        <v>0016100006770007</v>
      </c>
      <c r="C172" s="170" t="s">
        <v>1319</v>
      </c>
      <c r="D172" s="169" t="s">
        <v>1283</v>
      </c>
      <c r="E172" s="263" t="s">
        <v>1106</v>
      </c>
      <c r="F172" s="169"/>
      <c r="G172" s="170"/>
      <c r="H172" s="170"/>
      <c r="I172" s="170"/>
      <c r="J172" s="169"/>
      <c r="K172" s="168" t="s">
        <v>1353</v>
      </c>
      <c r="L172" s="397"/>
      <c r="M172" s="397"/>
      <c r="N172" s="390" t="s">
        <v>1116</v>
      </c>
      <c r="O172" s="222"/>
      <c r="P172" s="172"/>
      <c r="Q172" s="174">
        <v>2.67</v>
      </c>
      <c r="R172" s="176">
        <f t="shared" si="80"/>
        <v>0</v>
      </c>
      <c r="S172" s="370"/>
      <c r="T172" s="176">
        <f t="shared" si="81"/>
        <v>0</v>
      </c>
      <c r="U172" s="175">
        <f t="shared" si="79"/>
        <v>0</v>
      </c>
      <c r="V172" s="170"/>
      <c r="W172" s="179">
        <f>VLOOKUP(D172,[3]BC!$D$14:$W$287,20,FALSE)</f>
        <v>0</v>
      </c>
      <c r="X172" s="216">
        <f t="shared" si="82"/>
        <v>0</v>
      </c>
      <c r="Y172" s="216">
        <f t="shared" si="83"/>
        <v>2.67</v>
      </c>
      <c r="Z172" s="180">
        <f t="shared" si="84"/>
        <v>3978300</v>
      </c>
      <c r="AA172" s="180"/>
      <c r="AB172" s="180">
        <f t="shared" si="92"/>
        <v>0</v>
      </c>
      <c r="AC172" s="180">
        <f t="shared" si="93"/>
        <v>0</v>
      </c>
      <c r="AD172" s="180">
        <f t="shared" si="85"/>
        <v>3978300</v>
      </c>
      <c r="AE172" s="178">
        <f t="shared" si="86"/>
        <v>318264</v>
      </c>
      <c r="AF172" s="178">
        <f t="shared" si="87"/>
        <v>59674.5</v>
      </c>
      <c r="AG172" s="178">
        <f t="shared" si="88"/>
        <v>39783</v>
      </c>
      <c r="AH172" s="178"/>
      <c r="AI172" s="178">
        <f t="shared" si="89"/>
        <v>417721.5</v>
      </c>
      <c r="AJ172" s="181"/>
      <c r="AK172" s="182">
        <f t="shared" si="90"/>
        <v>0</v>
      </c>
      <c r="AL172" s="182"/>
      <c r="AM172" s="182"/>
      <c r="AN172" s="193"/>
      <c r="AO172" s="179"/>
      <c r="AP172" s="194">
        <f t="shared" si="94"/>
        <v>0</v>
      </c>
      <c r="AQ172" s="178">
        <f t="shared" si="91"/>
        <v>0</v>
      </c>
      <c r="AR172" s="178"/>
      <c r="AS172" s="178">
        <f t="shared" si="75"/>
        <v>3560579</v>
      </c>
      <c r="AT172" s="469" t="str">
        <f t="shared" si="77"/>
        <v>154</v>
      </c>
      <c r="AU172" s="195"/>
      <c r="AV172" s="223"/>
      <c r="AW172" s="29"/>
      <c r="AX172" s="29"/>
      <c r="AY172" s="29"/>
      <c r="AZ172" s="29"/>
      <c r="BA172" s="29"/>
      <c r="BB172" s="29"/>
      <c r="BC172" s="29"/>
      <c r="BD172" s="29"/>
      <c r="BE172" s="29"/>
      <c r="BF172" s="29"/>
    </row>
    <row r="173" spans="1:58" s="191" customFormat="1" ht="30" customHeight="1" x14ac:dyDescent="0.25">
      <c r="A173" s="168" t="s">
        <v>447</v>
      </c>
      <c r="B173" s="168" t="str">
        <f>VLOOKUP(D173,[1]LuongBC_T01!$B$9:$C$292,2,FALSE)</f>
        <v>0016100006794003</v>
      </c>
      <c r="C173" s="199" t="s">
        <v>954</v>
      </c>
      <c r="D173" s="169" t="s">
        <v>1218</v>
      </c>
      <c r="E173" s="263" t="s">
        <v>1374</v>
      </c>
      <c r="F173" s="169" t="s">
        <v>549</v>
      </c>
      <c r="G173" s="170"/>
      <c r="H173" s="170" t="s">
        <v>283</v>
      </c>
      <c r="I173" s="170" t="s">
        <v>283</v>
      </c>
      <c r="J173" s="169" t="s">
        <v>253</v>
      </c>
      <c r="K173" s="170" t="str">
        <f>VLOOKUP(D173,[2]T3!$B$2:$D$328,3,FALSE)</f>
        <v>024252246</v>
      </c>
      <c r="L173" s="171" t="s">
        <v>119</v>
      </c>
      <c r="M173" s="171" t="s">
        <v>954</v>
      </c>
      <c r="N173" s="390" t="s">
        <v>1438</v>
      </c>
      <c r="O173" s="172" t="s">
        <v>692</v>
      </c>
      <c r="P173" s="173">
        <v>5</v>
      </c>
      <c r="Q173" s="174">
        <v>3.99</v>
      </c>
      <c r="R173" s="176">
        <f t="shared" si="80"/>
        <v>0.59850000000000003</v>
      </c>
      <c r="S173" s="370"/>
      <c r="T173" s="176">
        <f t="shared" si="81"/>
        <v>0</v>
      </c>
      <c r="U173" s="175">
        <f t="shared" si="79"/>
        <v>0</v>
      </c>
      <c r="V173" s="200"/>
      <c r="W173" s="179">
        <v>0.15</v>
      </c>
      <c r="X173" s="216">
        <f t="shared" si="82"/>
        <v>0.59850000000000003</v>
      </c>
      <c r="Y173" s="216">
        <f t="shared" si="83"/>
        <v>4.5884999999999998</v>
      </c>
      <c r="Z173" s="180">
        <f t="shared" si="84"/>
        <v>6836865</v>
      </c>
      <c r="AA173" s="180"/>
      <c r="AB173" s="180">
        <f t="shared" si="92"/>
        <v>0</v>
      </c>
      <c r="AC173" s="180">
        <f t="shared" si="93"/>
        <v>0</v>
      </c>
      <c r="AD173" s="180">
        <f t="shared" si="85"/>
        <v>6836865</v>
      </c>
      <c r="AE173" s="178">
        <f t="shared" si="86"/>
        <v>546949.19999999995</v>
      </c>
      <c r="AF173" s="178">
        <f t="shared" si="87"/>
        <v>102552.97499999999</v>
      </c>
      <c r="AG173" s="178">
        <f t="shared" si="88"/>
        <v>68368.649999999994</v>
      </c>
      <c r="AH173" s="178"/>
      <c r="AI173" s="178">
        <f t="shared" si="89"/>
        <v>717870.82499999995</v>
      </c>
      <c r="AJ173" s="181"/>
      <c r="AK173" s="182">
        <f t="shared" si="90"/>
        <v>0</v>
      </c>
      <c r="AL173" s="182"/>
      <c r="AM173" s="182"/>
      <c r="AN173" s="193">
        <f t="shared" ref="AN173:AN236" si="95">Q173+T173+V173</f>
        <v>3.99</v>
      </c>
      <c r="AO173" s="246">
        <v>0.25</v>
      </c>
      <c r="AP173" s="194">
        <f t="shared" si="94"/>
        <v>0.99750000000000005</v>
      </c>
      <c r="AQ173" s="178">
        <f t="shared" si="91"/>
        <v>1486275</v>
      </c>
      <c r="AR173" s="178"/>
      <c r="AS173" s="178">
        <f t="shared" si="75"/>
        <v>7605269</v>
      </c>
      <c r="AT173" s="469" t="str">
        <f t="shared" si="77"/>
        <v>155</v>
      </c>
      <c r="AU173" s="186"/>
      <c r="AV173" s="187" t="s">
        <v>709</v>
      </c>
    </row>
    <row r="174" spans="1:58" s="191" customFormat="1" ht="30" customHeight="1" x14ac:dyDescent="0.25">
      <c r="A174" s="682" t="s">
        <v>448</v>
      </c>
      <c r="B174" s="682" t="str">
        <f>VLOOKUP(D174,[1]LuongBC_T01!$B$9:$C$292,2,FALSE)</f>
        <v>0016100006620005</v>
      </c>
      <c r="C174" s="703" t="s">
        <v>956</v>
      </c>
      <c r="D174" s="683" t="s">
        <v>1219</v>
      </c>
      <c r="E174" s="684" t="s">
        <v>1094</v>
      </c>
      <c r="F174" s="683" t="s">
        <v>549</v>
      </c>
      <c r="G174" s="705" t="s">
        <v>25</v>
      </c>
      <c r="H174" s="685" t="s">
        <v>283</v>
      </c>
      <c r="I174" s="705" t="s">
        <v>283</v>
      </c>
      <c r="J174" s="716" t="s">
        <v>255</v>
      </c>
      <c r="K174" s="685" t="str">
        <f>VLOOKUP(D174,[2]T3!$B$2:$D$328,3,FALSE)</f>
        <v>082175000189</v>
      </c>
      <c r="L174" s="760" t="s">
        <v>170</v>
      </c>
      <c r="M174" s="760" t="s">
        <v>956</v>
      </c>
      <c r="N174" s="686" t="s">
        <v>807</v>
      </c>
      <c r="O174" s="687" t="s">
        <v>692</v>
      </c>
      <c r="P174" s="688">
        <v>5</v>
      </c>
      <c r="Q174" s="689">
        <v>3.99</v>
      </c>
      <c r="R174" s="690">
        <f t="shared" si="80"/>
        <v>0.59850000000000003</v>
      </c>
      <c r="S174" s="761"/>
      <c r="T174" s="690">
        <f t="shared" si="81"/>
        <v>0</v>
      </c>
      <c r="U174" s="692">
        <f t="shared" si="79"/>
        <v>0</v>
      </c>
      <c r="V174" s="705"/>
      <c r="W174" s="693">
        <v>0.15</v>
      </c>
      <c r="X174" s="694">
        <f t="shared" si="82"/>
        <v>0.59850000000000003</v>
      </c>
      <c r="Y174" s="694">
        <f t="shared" si="83"/>
        <v>4.5884999999999998</v>
      </c>
      <c r="Z174" s="695">
        <f t="shared" si="84"/>
        <v>6836865</v>
      </c>
      <c r="AA174" s="695"/>
      <c r="AB174" s="695">
        <f t="shared" si="92"/>
        <v>0</v>
      </c>
      <c r="AC174" s="695">
        <f t="shared" si="93"/>
        <v>0</v>
      </c>
      <c r="AD174" s="695">
        <f t="shared" si="85"/>
        <v>6836865</v>
      </c>
      <c r="AE174" s="696">
        <f t="shared" si="86"/>
        <v>546949.19999999995</v>
      </c>
      <c r="AF174" s="696">
        <f t="shared" si="87"/>
        <v>102552.97499999999</v>
      </c>
      <c r="AG174" s="696">
        <f t="shared" si="88"/>
        <v>68368.649999999994</v>
      </c>
      <c r="AH174" s="696"/>
      <c r="AI174" s="696">
        <f t="shared" si="89"/>
        <v>717870.82499999995</v>
      </c>
      <c r="AJ174" s="762"/>
      <c r="AK174" s="697">
        <f t="shared" si="90"/>
        <v>0</v>
      </c>
      <c r="AL174" s="697"/>
      <c r="AM174" s="697"/>
      <c r="AN174" s="706">
        <f t="shared" si="95"/>
        <v>3.99</v>
      </c>
      <c r="AO174" s="702">
        <v>0.25</v>
      </c>
      <c r="AP174" s="704">
        <f t="shared" si="94"/>
        <v>0.99750000000000005</v>
      </c>
      <c r="AQ174" s="696">
        <f t="shared" si="91"/>
        <v>1486275</v>
      </c>
      <c r="AR174" s="696"/>
      <c r="AS174" s="696">
        <f t="shared" si="75"/>
        <v>7605269</v>
      </c>
      <c r="AT174" s="698" t="str">
        <f t="shared" si="77"/>
        <v>156</v>
      </c>
      <c r="AU174" s="699"/>
      <c r="AV174" s="198" t="s">
        <v>710</v>
      </c>
      <c r="AW174" s="552"/>
      <c r="AX174" s="552"/>
      <c r="AY174" s="552"/>
      <c r="AZ174" s="552"/>
      <c r="BA174" s="552"/>
      <c r="BB174" s="552"/>
      <c r="BC174" s="552"/>
      <c r="BD174" s="552"/>
      <c r="BE174" s="552"/>
      <c r="BF174" s="552"/>
    </row>
    <row r="175" spans="1:58" s="189" customFormat="1" ht="30" customHeight="1" x14ac:dyDescent="0.25">
      <c r="A175" s="168" t="s">
        <v>449</v>
      </c>
      <c r="B175" s="168" t="str">
        <f>VLOOKUP(D175,[1]LuongBC_T01!$B$9:$C$292,2,FALSE)</f>
        <v>0016100006556005</v>
      </c>
      <c r="C175" s="199" t="s">
        <v>957</v>
      </c>
      <c r="D175" s="169" t="s">
        <v>294</v>
      </c>
      <c r="E175" s="263" t="s">
        <v>1381</v>
      </c>
      <c r="F175" s="169" t="s">
        <v>549</v>
      </c>
      <c r="G175" s="200"/>
      <c r="H175" s="200" t="s">
        <v>283</v>
      </c>
      <c r="I175" s="200" t="s">
        <v>283</v>
      </c>
      <c r="J175" s="220" t="s">
        <v>545</v>
      </c>
      <c r="K175" s="170" t="str">
        <f>VLOOKUP(D175,[2]T3!$B$2:$D$328,3,FALSE)</f>
        <v>024573030</v>
      </c>
      <c r="L175" s="171" t="s">
        <v>295</v>
      </c>
      <c r="M175" s="171" t="s">
        <v>957</v>
      </c>
      <c r="N175" s="390" t="s">
        <v>1438</v>
      </c>
      <c r="O175" s="172" t="s">
        <v>692</v>
      </c>
      <c r="P175" s="173">
        <v>5</v>
      </c>
      <c r="Q175" s="174">
        <v>3.99</v>
      </c>
      <c r="R175" s="176">
        <f t="shared" si="80"/>
        <v>0.55859999999999999</v>
      </c>
      <c r="S175" s="377"/>
      <c r="T175" s="176">
        <f t="shared" si="81"/>
        <v>0</v>
      </c>
      <c r="U175" s="175">
        <f t="shared" si="79"/>
        <v>0</v>
      </c>
      <c r="V175" s="170"/>
      <c r="W175" s="179">
        <v>0.14000000000000001</v>
      </c>
      <c r="X175" s="216">
        <f t="shared" si="82"/>
        <v>0.55859999999999999</v>
      </c>
      <c r="Y175" s="216">
        <f t="shared" si="83"/>
        <v>4.5486000000000004</v>
      </c>
      <c r="Z175" s="180">
        <f t="shared" si="84"/>
        <v>6777414</v>
      </c>
      <c r="AA175" s="180"/>
      <c r="AB175" s="180">
        <f t="shared" si="92"/>
        <v>0</v>
      </c>
      <c r="AC175" s="180">
        <v>0</v>
      </c>
      <c r="AD175" s="180">
        <f t="shared" si="85"/>
        <v>6777414</v>
      </c>
      <c r="AE175" s="178">
        <f t="shared" si="86"/>
        <v>542193.12</v>
      </c>
      <c r="AF175" s="178">
        <f t="shared" si="87"/>
        <v>101661.20999999999</v>
      </c>
      <c r="AG175" s="178">
        <f t="shared" si="88"/>
        <v>67774.14</v>
      </c>
      <c r="AH175" s="178"/>
      <c r="AI175" s="178">
        <f t="shared" si="89"/>
        <v>711628.47</v>
      </c>
      <c r="AJ175" s="181"/>
      <c r="AK175" s="182">
        <f t="shared" si="90"/>
        <v>0</v>
      </c>
      <c r="AL175" s="182"/>
      <c r="AM175" s="182"/>
      <c r="AN175" s="193">
        <f t="shared" si="95"/>
        <v>3.99</v>
      </c>
      <c r="AO175" s="246">
        <v>0.25</v>
      </c>
      <c r="AP175" s="194">
        <f t="shared" si="94"/>
        <v>0.99750000000000005</v>
      </c>
      <c r="AQ175" s="178">
        <f t="shared" si="91"/>
        <v>1486275</v>
      </c>
      <c r="AR175" s="178"/>
      <c r="AS175" s="178">
        <f t="shared" si="75"/>
        <v>7552061</v>
      </c>
      <c r="AT175" s="469" t="str">
        <f t="shared" si="77"/>
        <v>157</v>
      </c>
      <c r="AU175" s="195"/>
      <c r="AV175" s="187" t="s">
        <v>703</v>
      </c>
    </row>
    <row r="176" spans="1:58" s="189" customFormat="1" ht="33.75" customHeight="1" x14ac:dyDescent="0.25">
      <c r="A176" s="168" t="s">
        <v>450</v>
      </c>
      <c r="B176" s="682" t="str">
        <f>VLOOKUP(D176,[1]LuongBC_T01!$B$9:$C$292,2,FALSE)</f>
        <v>0016100006684003</v>
      </c>
      <c r="C176" s="703" t="s">
        <v>1080</v>
      </c>
      <c r="D176" s="683" t="s">
        <v>1235</v>
      </c>
      <c r="E176" s="684" t="s">
        <v>1094</v>
      </c>
      <c r="F176" s="683" t="s">
        <v>549</v>
      </c>
      <c r="G176" s="685"/>
      <c r="H176" s="685"/>
      <c r="I176" s="705" t="s">
        <v>283</v>
      </c>
      <c r="J176" s="716" t="s">
        <v>264</v>
      </c>
      <c r="K176" s="685" t="str">
        <f>VLOOKUP(D176,[2]T3!$B$2:$D$328,3,FALSE)</f>
        <v>024345241</v>
      </c>
      <c r="L176" s="700" t="s">
        <v>132</v>
      </c>
      <c r="M176" s="700" t="s">
        <v>1080</v>
      </c>
      <c r="N176" s="684" t="s">
        <v>807</v>
      </c>
      <c r="O176" s="687" t="s">
        <v>692</v>
      </c>
      <c r="P176" s="688">
        <v>5</v>
      </c>
      <c r="Q176" s="689">
        <v>3.99</v>
      </c>
      <c r="R176" s="690">
        <f>T176+V176+X176</f>
        <v>0.67830000000000001</v>
      </c>
      <c r="S176" s="691"/>
      <c r="T176" s="690">
        <f>ROUND(Q176*S176/100,4)</f>
        <v>0</v>
      </c>
      <c r="U176" s="692">
        <f>Q176*S176*$D$8/100</f>
        <v>0</v>
      </c>
      <c r="V176" s="685"/>
      <c r="W176" s="693">
        <v>0.17</v>
      </c>
      <c r="X176" s="694">
        <f>ROUND((Q176+T176+V176)*W176,4)</f>
        <v>0.67830000000000001</v>
      </c>
      <c r="Y176" s="694">
        <f>Q176+T176+V176+X176</f>
        <v>4.6683000000000003</v>
      </c>
      <c r="Z176" s="695">
        <f>ROUND(Y176*$D$8,0)</f>
        <v>6955767</v>
      </c>
      <c r="AA176" s="695"/>
      <c r="AB176" s="695">
        <f>Z176/24*AA176</f>
        <v>0</v>
      </c>
      <c r="AC176" s="695">
        <v>0</v>
      </c>
      <c r="AD176" s="695">
        <f>ROUND(Z176-AB176+AC176,0)</f>
        <v>6955767</v>
      </c>
      <c r="AE176" s="696">
        <f t="shared" si="86"/>
        <v>556461.36</v>
      </c>
      <c r="AF176" s="696">
        <f t="shared" si="87"/>
        <v>104336.50499999999</v>
      </c>
      <c r="AG176" s="696">
        <f t="shared" si="88"/>
        <v>69557.67</v>
      </c>
      <c r="AH176" s="696"/>
      <c r="AI176" s="696">
        <f>SUM(AE176:AH176)</f>
        <v>730355.53500000003</v>
      </c>
      <c r="AJ176" s="701"/>
      <c r="AK176" s="697">
        <f>AJ176*$D$8</f>
        <v>0</v>
      </c>
      <c r="AL176" s="697"/>
      <c r="AM176" s="697"/>
      <c r="AN176" s="706">
        <f t="shared" si="95"/>
        <v>3.99</v>
      </c>
      <c r="AO176" s="702">
        <v>0.25</v>
      </c>
      <c r="AP176" s="704">
        <f>ROUND(AN176*AO176,4)</f>
        <v>0.99750000000000005</v>
      </c>
      <c r="AQ176" s="696">
        <f>ROUND(AP176*$D$8,0)</f>
        <v>1486275</v>
      </c>
      <c r="AR176" s="696"/>
      <c r="AS176" s="696">
        <f t="shared" si="75"/>
        <v>7711686</v>
      </c>
      <c r="AT176" s="698" t="str">
        <f t="shared" si="77"/>
        <v>158</v>
      </c>
      <c r="AU176" s="699"/>
      <c r="AV176" s="198"/>
      <c r="AW176" s="29"/>
      <c r="AX176" s="29"/>
      <c r="AY176" s="29"/>
      <c r="AZ176" s="29"/>
      <c r="BA176" s="29"/>
      <c r="BB176" s="29"/>
      <c r="BC176" s="29"/>
      <c r="BD176" s="29"/>
      <c r="BE176" s="29"/>
      <c r="BF176" s="29"/>
    </row>
    <row r="177" spans="1:58" s="189" customFormat="1" ht="27" customHeight="1" x14ac:dyDescent="0.25">
      <c r="A177" s="168" t="s">
        <v>451</v>
      </c>
      <c r="B177" s="168" t="str">
        <f>VLOOKUP(D177,[1]LuongBC_T01!$B$9:$C$292,2,FALSE)</f>
        <v>0016100006673001</v>
      </c>
      <c r="C177" s="199" t="s">
        <v>964</v>
      </c>
      <c r="D177" s="169" t="s">
        <v>48</v>
      </c>
      <c r="E177" s="263" t="s">
        <v>1260</v>
      </c>
      <c r="F177" s="169" t="s">
        <v>549</v>
      </c>
      <c r="G177" s="170" t="s">
        <v>25</v>
      </c>
      <c r="H177" s="170" t="s">
        <v>283</v>
      </c>
      <c r="I177" s="170" t="s">
        <v>282</v>
      </c>
      <c r="J177" s="169" t="s">
        <v>251</v>
      </c>
      <c r="K177" s="170" t="str">
        <f>VLOOKUP(D177,[2]T3!$B$2:$D$328,3,FALSE)</f>
        <v>024246529</v>
      </c>
      <c r="L177" s="171" t="s">
        <v>141</v>
      </c>
      <c r="M177" s="171" t="s">
        <v>964</v>
      </c>
      <c r="N177" s="390" t="s">
        <v>807</v>
      </c>
      <c r="O177" s="172" t="s">
        <v>692</v>
      </c>
      <c r="P177" s="173">
        <v>5</v>
      </c>
      <c r="Q177" s="174">
        <v>3.99</v>
      </c>
      <c r="R177" s="176">
        <f>T177+V177+X177</f>
        <v>0.55859999999999999</v>
      </c>
      <c r="S177" s="370"/>
      <c r="T177" s="176">
        <f>ROUND(Q177*S177/100,4)</f>
        <v>0</v>
      </c>
      <c r="U177" s="175">
        <f>Q177*S177*$D$8/100</f>
        <v>0</v>
      </c>
      <c r="V177" s="170"/>
      <c r="W177" s="179">
        <v>0.14000000000000001</v>
      </c>
      <c r="X177" s="216">
        <f>ROUND((Q177+T177+V177)*W177,4)</f>
        <v>0.55859999999999999</v>
      </c>
      <c r="Y177" s="216">
        <f>Q177+T177+V177+X177</f>
        <v>4.5486000000000004</v>
      </c>
      <c r="Z177" s="180">
        <f>ROUND(Y177*$D$8,0)</f>
        <v>6777414</v>
      </c>
      <c r="AA177" s="180"/>
      <c r="AB177" s="180">
        <f>Z177/24*AA177</f>
        <v>0</v>
      </c>
      <c r="AC177" s="180">
        <v>0</v>
      </c>
      <c r="AD177" s="180">
        <f>ROUND(Z177-AB177+AC177,0)</f>
        <v>6777414</v>
      </c>
      <c r="AE177" s="178">
        <f t="shared" si="86"/>
        <v>542193.12</v>
      </c>
      <c r="AF177" s="178">
        <f t="shared" si="87"/>
        <v>101661.20999999999</v>
      </c>
      <c r="AG177" s="178">
        <f t="shared" si="88"/>
        <v>67774.14</v>
      </c>
      <c r="AH177" s="178"/>
      <c r="AI177" s="178">
        <f>SUM(AE177:AH177)</f>
        <v>711628.47</v>
      </c>
      <c r="AJ177" s="192"/>
      <c r="AK177" s="182">
        <f>AJ177*$D$8</f>
        <v>0</v>
      </c>
      <c r="AL177" s="182"/>
      <c r="AM177" s="182"/>
      <c r="AN177" s="193">
        <f t="shared" si="95"/>
        <v>3.99</v>
      </c>
      <c r="AO177" s="246">
        <v>0.25</v>
      </c>
      <c r="AP177" s="194">
        <f>ROUND(AN177*AO177,4)</f>
        <v>0.99750000000000005</v>
      </c>
      <c r="AQ177" s="178">
        <f>ROUND(AP177*$D$8,0)</f>
        <v>1486275</v>
      </c>
      <c r="AR177" s="178"/>
      <c r="AS177" s="178">
        <f t="shared" si="75"/>
        <v>7552061</v>
      </c>
      <c r="AT177" s="469" t="str">
        <f t="shared" si="77"/>
        <v>159</v>
      </c>
      <c r="AU177" s="195"/>
      <c r="AV177" s="198" t="s">
        <v>711</v>
      </c>
    </row>
    <row r="178" spans="1:58" s="189" customFormat="1" ht="30" customHeight="1" x14ac:dyDescent="0.25">
      <c r="A178" s="168" t="s">
        <v>452</v>
      </c>
      <c r="B178" s="168" t="str">
        <f>VLOOKUP(D178,[1]LuongBC_T01!$B$9:$C$292,2,FALSE)</f>
        <v>0016100006701005</v>
      </c>
      <c r="C178" s="199" t="s">
        <v>955</v>
      </c>
      <c r="D178" s="169" t="s">
        <v>313</v>
      </c>
      <c r="E178" s="263" t="s">
        <v>1094</v>
      </c>
      <c r="F178" s="169" t="s">
        <v>549</v>
      </c>
      <c r="G178" s="200"/>
      <c r="H178" s="170" t="s">
        <v>283</v>
      </c>
      <c r="I178" s="200" t="s">
        <v>283</v>
      </c>
      <c r="J178" s="169" t="s">
        <v>541</v>
      </c>
      <c r="K178" s="170" t="str">
        <f>VLOOKUP(D178,[2]T3!$B$2:$D$328,3,FALSE)</f>
        <v>024960154</v>
      </c>
      <c r="L178" s="171" t="s">
        <v>326</v>
      </c>
      <c r="M178" s="171" t="s">
        <v>955</v>
      </c>
      <c r="N178" s="390" t="s">
        <v>807</v>
      </c>
      <c r="O178" s="172" t="s">
        <v>692</v>
      </c>
      <c r="P178" s="173">
        <v>5</v>
      </c>
      <c r="Q178" s="174">
        <v>3.66</v>
      </c>
      <c r="R178" s="176">
        <f>T178+V178+X178</f>
        <v>0.65880000000000005</v>
      </c>
      <c r="S178" s="370"/>
      <c r="T178" s="176">
        <f>ROUND(Q178*S178/100,4)</f>
        <v>0</v>
      </c>
      <c r="U178" s="175">
        <f>Q178*S178*$D$8/100</f>
        <v>0</v>
      </c>
      <c r="V178" s="170"/>
      <c r="W178" s="179">
        <v>0.18</v>
      </c>
      <c r="X178" s="216">
        <f>ROUND((Q178+T178+V178)*W178,4)</f>
        <v>0.65880000000000005</v>
      </c>
      <c r="Y178" s="216">
        <f>Q178+T178+V178+X178</f>
        <v>4.3188000000000004</v>
      </c>
      <c r="Z178" s="180">
        <f>ROUND(Y178*$D$8,0)</f>
        <v>6435012</v>
      </c>
      <c r="AA178" s="180"/>
      <c r="AB178" s="180">
        <f>Z178/24*AA178</f>
        <v>0</v>
      </c>
      <c r="AC178" s="180">
        <f>Z178/24*AA178*75%</f>
        <v>0</v>
      </c>
      <c r="AD178" s="180">
        <f>ROUND(Z178-AB178+AC178,0)</f>
        <v>6435012</v>
      </c>
      <c r="AE178" s="178">
        <f t="shared" si="86"/>
        <v>514800.96</v>
      </c>
      <c r="AF178" s="178">
        <f t="shared" si="87"/>
        <v>96525.18</v>
      </c>
      <c r="AG178" s="178">
        <f t="shared" si="88"/>
        <v>64350.12</v>
      </c>
      <c r="AH178" s="178"/>
      <c r="AI178" s="178">
        <f>SUM(AE178:AH178)</f>
        <v>675676.26</v>
      </c>
      <c r="AJ178" s="192"/>
      <c r="AK178" s="182">
        <f>AJ178*$D$8</f>
        <v>0</v>
      </c>
      <c r="AL178" s="182"/>
      <c r="AM178" s="182"/>
      <c r="AN178" s="193">
        <f t="shared" si="95"/>
        <v>3.66</v>
      </c>
      <c r="AO178" s="246">
        <v>0.25</v>
      </c>
      <c r="AP178" s="194">
        <f>ROUND(AN178*AO178,4)</f>
        <v>0.91500000000000004</v>
      </c>
      <c r="AQ178" s="178">
        <f>ROUND(AP178*$D$8,0)</f>
        <v>1363350</v>
      </c>
      <c r="AR178" s="178"/>
      <c r="AS178" s="178">
        <f t="shared" si="75"/>
        <v>7122686</v>
      </c>
      <c r="AT178" s="469" t="str">
        <f t="shared" si="77"/>
        <v>160</v>
      </c>
      <c r="AU178" s="195"/>
      <c r="AV178" s="187" t="s">
        <v>710</v>
      </c>
    </row>
    <row r="179" spans="1:58" s="191" customFormat="1" ht="30" customHeight="1" x14ac:dyDescent="0.25">
      <c r="A179" s="168" t="s">
        <v>453</v>
      </c>
      <c r="B179" s="168" t="str">
        <f>VLOOKUP(D179,[1]LuongBC_T01!$B$9:$C$292,2,FALSE)</f>
        <v>0016100006775009</v>
      </c>
      <c r="C179" s="199" t="s">
        <v>958</v>
      </c>
      <c r="D179" s="169" t="s">
        <v>1220</v>
      </c>
      <c r="E179" s="263" t="s">
        <v>1094</v>
      </c>
      <c r="F179" s="169" t="s">
        <v>550</v>
      </c>
      <c r="G179" s="170" t="s">
        <v>25</v>
      </c>
      <c r="H179" s="170" t="s">
        <v>283</v>
      </c>
      <c r="I179" s="170" t="s">
        <v>283</v>
      </c>
      <c r="J179" s="169" t="s">
        <v>256</v>
      </c>
      <c r="K179" s="170" t="str">
        <f>VLOOKUP(D179,[2]T3!$B$2:$D$328,3,FALSE)</f>
        <v>023621571</v>
      </c>
      <c r="L179" s="171" t="s">
        <v>165</v>
      </c>
      <c r="M179" s="171" t="s">
        <v>958</v>
      </c>
      <c r="N179" s="390" t="s">
        <v>807</v>
      </c>
      <c r="O179" s="172" t="s">
        <v>692</v>
      </c>
      <c r="P179" s="173">
        <v>5</v>
      </c>
      <c r="Q179" s="174">
        <v>3.99</v>
      </c>
      <c r="R179" s="176">
        <f t="shared" si="80"/>
        <v>0.55859999999999999</v>
      </c>
      <c r="S179" s="370"/>
      <c r="T179" s="176">
        <f t="shared" si="81"/>
        <v>0</v>
      </c>
      <c r="U179" s="175">
        <f t="shared" si="79"/>
        <v>0</v>
      </c>
      <c r="V179" s="200"/>
      <c r="W179" s="179">
        <v>0.14000000000000001</v>
      </c>
      <c r="X179" s="216">
        <f t="shared" si="82"/>
        <v>0.55859999999999999</v>
      </c>
      <c r="Y179" s="216">
        <f t="shared" si="83"/>
        <v>4.5486000000000004</v>
      </c>
      <c r="Z179" s="180">
        <f t="shared" si="84"/>
        <v>6777414</v>
      </c>
      <c r="AA179" s="180"/>
      <c r="AB179" s="180">
        <f t="shared" si="92"/>
        <v>0</v>
      </c>
      <c r="AC179" s="180">
        <f t="shared" si="93"/>
        <v>0</v>
      </c>
      <c r="AD179" s="180">
        <f t="shared" si="85"/>
        <v>6777414</v>
      </c>
      <c r="AE179" s="178">
        <f t="shared" si="86"/>
        <v>542193.12</v>
      </c>
      <c r="AF179" s="178">
        <f t="shared" si="87"/>
        <v>101661.20999999999</v>
      </c>
      <c r="AG179" s="178">
        <f t="shared" si="88"/>
        <v>67774.14</v>
      </c>
      <c r="AH179" s="178"/>
      <c r="AI179" s="178">
        <f t="shared" si="89"/>
        <v>711628.47</v>
      </c>
      <c r="AJ179" s="181"/>
      <c r="AK179" s="182">
        <f t="shared" si="90"/>
        <v>0</v>
      </c>
      <c r="AL179" s="182"/>
      <c r="AM179" s="182"/>
      <c r="AN179" s="193">
        <f t="shared" si="95"/>
        <v>3.99</v>
      </c>
      <c r="AO179" s="246">
        <v>0.25</v>
      </c>
      <c r="AP179" s="194">
        <f t="shared" si="94"/>
        <v>0.99750000000000005</v>
      </c>
      <c r="AQ179" s="178">
        <f t="shared" si="91"/>
        <v>1486275</v>
      </c>
      <c r="AR179" s="178"/>
      <c r="AS179" s="178">
        <f t="shared" si="75"/>
        <v>7552061</v>
      </c>
      <c r="AT179" s="469" t="str">
        <f t="shared" si="77"/>
        <v>161</v>
      </c>
      <c r="AU179" s="186"/>
      <c r="AV179" s="198" t="s">
        <v>710</v>
      </c>
    </row>
    <row r="180" spans="1:58" s="189" customFormat="1" ht="31.5" x14ac:dyDescent="0.25">
      <c r="A180" s="168" t="s">
        <v>454</v>
      </c>
      <c r="B180" s="168" t="str">
        <f>VLOOKUP(D180,[1]LuongBC_T01!$B$9:$C$292,2,FALSE)</f>
        <v>0016100006612002</v>
      </c>
      <c r="C180" s="199" t="s">
        <v>960</v>
      </c>
      <c r="D180" s="169" t="s">
        <v>49</v>
      </c>
      <c r="E180" s="263" t="s">
        <v>1260</v>
      </c>
      <c r="F180" s="169" t="s">
        <v>549</v>
      </c>
      <c r="G180" s="170" t="s">
        <v>25</v>
      </c>
      <c r="H180" s="170" t="s">
        <v>283</v>
      </c>
      <c r="I180" s="200" t="s">
        <v>283</v>
      </c>
      <c r="J180" s="220" t="s">
        <v>258</v>
      </c>
      <c r="K180" s="170" t="str">
        <f>VLOOKUP(D180,[2]T3!$B$2:$D$328,3,FALSE)</f>
        <v>023471997</v>
      </c>
      <c r="L180" s="171" t="s">
        <v>137</v>
      </c>
      <c r="M180" s="171" t="s">
        <v>960</v>
      </c>
      <c r="N180" s="390" t="s">
        <v>1438</v>
      </c>
      <c r="O180" s="172" t="s">
        <v>692</v>
      </c>
      <c r="P180" s="173">
        <v>4</v>
      </c>
      <c r="Q180" s="174">
        <v>3.66</v>
      </c>
      <c r="R180" s="176">
        <f t="shared" si="80"/>
        <v>0.51239999999999997</v>
      </c>
      <c r="S180" s="370"/>
      <c r="T180" s="176">
        <f t="shared" si="81"/>
        <v>0</v>
      </c>
      <c r="U180" s="175">
        <f t="shared" si="79"/>
        <v>0</v>
      </c>
      <c r="V180" s="170"/>
      <c r="W180" s="179">
        <v>0.14000000000000001</v>
      </c>
      <c r="X180" s="216">
        <f t="shared" si="82"/>
        <v>0.51239999999999997</v>
      </c>
      <c r="Y180" s="216">
        <f t="shared" si="83"/>
        <v>4.1723999999999997</v>
      </c>
      <c r="Z180" s="180">
        <f t="shared" si="84"/>
        <v>6216876</v>
      </c>
      <c r="AA180" s="180"/>
      <c r="AB180" s="180">
        <f t="shared" si="92"/>
        <v>0</v>
      </c>
      <c r="AC180" s="180">
        <f t="shared" si="93"/>
        <v>0</v>
      </c>
      <c r="AD180" s="180">
        <f t="shared" si="85"/>
        <v>6216876</v>
      </c>
      <c r="AE180" s="178">
        <f t="shared" si="86"/>
        <v>497350.08</v>
      </c>
      <c r="AF180" s="178">
        <f t="shared" si="87"/>
        <v>93253.14</v>
      </c>
      <c r="AG180" s="178">
        <f t="shared" si="88"/>
        <v>62168.76</v>
      </c>
      <c r="AH180" s="178"/>
      <c r="AI180" s="178">
        <f t="shared" si="89"/>
        <v>652771.98</v>
      </c>
      <c r="AJ180" s="192"/>
      <c r="AK180" s="182">
        <f t="shared" si="90"/>
        <v>0</v>
      </c>
      <c r="AL180" s="182"/>
      <c r="AM180" s="182"/>
      <c r="AN180" s="193">
        <f t="shared" si="95"/>
        <v>3.66</v>
      </c>
      <c r="AO180" s="246">
        <v>0.25</v>
      </c>
      <c r="AP180" s="194">
        <f t="shared" si="94"/>
        <v>0.91500000000000004</v>
      </c>
      <c r="AQ180" s="178">
        <f t="shared" si="91"/>
        <v>1363350</v>
      </c>
      <c r="AR180" s="178"/>
      <c r="AS180" s="178">
        <f t="shared" si="75"/>
        <v>6927454</v>
      </c>
      <c r="AT180" s="469" t="str">
        <f t="shared" si="77"/>
        <v>162</v>
      </c>
      <c r="AU180" s="195"/>
      <c r="AV180" s="187" t="s">
        <v>711</v>
      </c>
    </row>
    <row r="181" spans="1:58" s="189" customFormat="1" ht="30" customHeight="1" x14ac:dyDescent="0.25">
      <c r="A181" s="168" t="s">
        <v>455</v>
      </c>
      <c r="B181" s="168" t="str">
        <f>VLOOKUP(D181,[1]LuongBC_T01!$B$9:$C$292,2,FALSE)</f>
        <v>0016100006591005</v>
      </c>
      <c r="C181" s="199" t="s">
        <v>961</v>
      </c>
      <c r="D181" s="169" t="s">
        <v>290</v>
      </c>
      <c r="E181" s="263" t="s">
        <v>1376</v>
      </c>
      <c r="F181" s="169" t="s">
        <v>549</v>
      </c>
      <c r="G181" s="170" t="s">
        <v>25</v>
      </c>
      <c r="H181" s="170" t="s">
        <v>283</v>
      </c>
      <c r="I181" s="200" t="s">
        <v>283</v>
      </c>
      <c r="J181" s="220" t="s">
        <v>291</v>
      </c>
      <c r="K181" s="170" t="str">
        <f>VLOOKUP(D181,[2]T3!$B$2:$D$328,3,FALSE)</f>
        <v>024280248</v>
      </c>
      <c r="L181" s="171" t="s">
        <v>292</v>
      </c>
      <c r="M181" s="171" t="s">
        <v>961</v>
      </c>
      <c r="N181" s="390" t="s">
        <v>1438</v>
      </c>
      <c r="O181" s="172" t="s">
        <v>692</v>
      </c>
      <c r="P181" s="173">
        <v>4</v>
      </c>
      <c r="Q181" s="174">
        <v>3.66</v>
      </c>
      <c r="R181" s="176">
        <f t="shared" si="80"/>
        <v>0.51239999999999997</v>
      </c>
      <c r="S181" s="370"/>
      <c r="T181" s="176">
        <f t="shared" si="81"/>
        <v>0</v>
      </c>
      <c r="U181" s="175">
        <f t="shared" si="79"/>
        <v>0</v>
      </c>
      <c r="V181" s="170"/>
      <c r="W181" s="179">
        <v>0.14000000000000001</v>
      </c>
      <c r="X181" s="216">
        <f t="shared" si="82"/>
        <v>0.51239999999999997</v>
      </c>
      <c r="Y181" s="216">
        <f t="shared" si="83"/>
        <v>4.1723999999999997</v>
      </c>
      <c r="Z181" s="180">
        <f t="shared" si="84"/>
        <v>6216876</v>
      </c>
      <c r="AA181" s="180"/>
      <c r="AB181" s="180">
        <f t="shared" si="92"/>
        <v>0</v>
      </c>
      <c r="AC181" s="180">
        <f t="shared" si="93"/>
        <v>0</v>
      </c>
      <c r="AD181" s="180">
        <f t="shared" si="85"/>
        <v>6216876</v>
      </c>
      <c r="AE181" s="178">
        <f t="shared" si="86"/>
        <v>497350.08</v>
      </c>
      <c r="AF181" s="178">
        <f t="shared" si="87"/>
        <v>93253.14</v>
      </c>
      <c r="AG181" s="178">
        <f t="shared" si="88"/>
        <v>62168.76</v>
      </c>
      <c r="AH181" s="178"/>
      <c r="AI181" s="178">
        <f t="shared" si="89"/>
        <v>652771.98</v>
      </c>
      <c r="AJ181" s="192"/>
      <c r="AK181" s="182">
        <f t="shared" si="90"/>
        <v>0</v>
      </c>
      <c r="AL181" s="182"/>
      <c r="AM181" s="182"/>
      <c r="AN181" s="193">
        <f t="shared" si="95"/>
        <v>3.66</v>
      </c>
      <c r="AO181" s="246">
        <v>0.25</v>
      </c>
      <c r="AP181" s="194">
        <f t="shared" si="94"/>
        <v>0.91500000000000004</v>
      </c>
      <c r="AQ181" s="178">
        <f t="shared" si="91"/>
        <v>1363350</v>
      </c>
      <c r="AR181" s="178"/>
      <c r="AS181" s="178">
        <f t="shared" si="75"/>
        <v>6927454</v>
      </c>
      <c r="AT181" s="469" t="str">
        <f t="shared" si="77"/>
        <v>163</v>
      </c>
      <c r="AU181" s="186"/>
      <c r="AV181" s="198" t="s">
        <v>704</v>
      </c>
    </row>
    <row r="182" spans="1:58" s="189" customFormat="1" ht="29.25" customHeight="1" x14ac:dyDescent="0.25">
      <c r="A182" s="168" t="s">
        <v>456</v>
      </c>
      <c r="B182" s="168" t="str">
        <f>VLOOKUP(D182,[1]LuongBC_T01!$B$9:$C$292,2,FALSE)</f>
        <v>0016100006578009</v>
      </c>
      <c r="C182" s="199" t="s">
        <v>962</v>
      </c>
      <c r="D182" s="230" t="s">
        <v>666</v>
      </c>
      <c r="E182" s="263" t="s">
        <v>1251</v>
      </c>
      <c r="F182" s="230" t="s">
        <v>549</v>
      </c>
      <c r="G182" s="170" t="s">
        <v>25</v>
      </c>
      <c r="H182" s="200" t="s">
        <v>283</v>
      </c>
      <c r="I182" s="200" t="s">
        <v>283</v>
      </c>
      <c r="J182" s="220"/>
      <c r="K182" s="170" t="str">
        <f>VLOOKUP(D182,[2]T3!$B$2:$D$328,3,FALSE)</f>
        <v>025294204</v>
      </c>
      <c r="L182" s="171" t="s">
        <v>667</v>
      </c>
      <c r="M182" s="171" t="s">
        <v>962</v>
      </c>
      <c r="N182" s="392" t="s">
        <v>807</v>
      </c>
      <c r="O182" s="172" t="s">
        <v>692</v>
      </c>
      <c r="P182" s="173">
        <v>4</v>
      </c>
      <c r="Q182" s="174">
        <v>3.99</v>
      </c>
      <c r="R182" s="176">
        <f t="shared" si="80"/>
        <v>0.55859999999999999</v>
      </c>
      <c r="S182" s="370"/>
      <c r="T182" s="176">
        <f t="shared" si="81"/>
        <v>0</v>
      </c>
      <c r="U182" s="175">
        <f t="shared" si="79"/>
        <v>0</v>
      </c>
      <c r="V182" s="170"/>
      <c r="W182" s="179">
        <v>0.14000000000000001</v>
      </c>
      <c r="X182" s="216">
        <f t="shared" si="82"/>
        <v>0.55859999999999999</v>
      </c>
      <c r="Y182" s="216">
        <f t="shared" si="83"/>
        <v>4.5486000000000004</v>
      </c>
      <c r="Z182" s="180">
        <f t="shared" si="84"/>
        <v>6777414</v>
      </c>
      <c r="AA182" s="180"/>
      <c r="AB182" s="180">
        <f t="shared" si="92"/>
        <v>0</v>
      </c>
      <c r="AC182" s="180">
        <f t="shared" si="93"/>
        <v>0</v>
      </c>
      <c r="AD182" s="180">
        <f t="shared" si="85"/>
        <v>6777414</v>
      </c>
      <c r="AE182" s="178">
        <f t="shared" si="86"/>
        <v>542193.12</v>
      </c>
      <c r="AF182" s="178">
        <f t="shared" si="87"/>
        <v>101661.20999999999</v>
      </c>
      <c r="AG182" s="178">
        <f t="shared" si="88"/>
        <v>67774.14</v>
      </c>
      <c r="AH182" s="178"/>
      <c r="AI182" s="178">
        <f t="shared" si="89"/>
        <v>711628.47</v>
      </c>
      <c r="AJ182" s="192"/>
      <c r="AK182" s="182">
        <f t="shared" si="90"/>
        <v>0</v>
      </c>
      <c r="AL182" s="182"/>
      <c r="AM182" s="182"/>
      <c r="AN182" s="193">
        <f t="shared" si="95"/>
        <v>3.99</v>
      </c>
      <c r="AO182" s="246">
        <v>0.45</v>
      </c>
      <c r="AP182" s="194">
        <f t="shared" si="94"/>
        <v>1.7955000000000001</v>
      </c>
      <c r="AQ182" s="178">
        <f t="shared" si="91"/>
        <v>2675295</v>
      </c>
      <c r="AR182" s="178"/>
      <c r="AS182" s="178">
        <f t="shared" si="75"/>
        <v>8741081</v>
      </c>
      <c r="AT182" s="469" t="str">
        <f t="shared" si="77"/>
        <v>164</v>
      </c>
      <c r="AU182" s="195"/>
      <c r="AV182" s="198" t="s">
        <v>710</v>
      </c>
    </row>
    <row r="183" spans="1:58" s="189" customFormat="1" ht="25.5" customHeight="1" x14ac:dyDescent="0.25">
      <c r="A183" s="168" t="s">
        <v>457</v>
      </c>
      <c r="B183" s="168" t="str">
        <f>VLOOKUP(D183,[1]LuongBC_T01!$B$9:$C$292,2,FALSE)</f>
        <v>0016100006625007</v>
      </c>
      <c r="C183" s="199" t="s">
        <v>963</v>
      </c>
      <c r="D183" s="169" t="s">
        <v>566</v>
      </c>
      <c r="E183" s="263" t="s">
        <v>1094</v>
      </c>
      <c r="F183" s="169" t="s">
        <v>550</v>
      </c>
      <c r="G183" s="200"/>
      <c r="H183" s="200" t="s">
        <v>283</v>
      </c>
      <c r="I183" s="200" t="s">
        <v>283</v>
      </c>
      <c r="J183" s="200" t="s">
        <v>575</v>
      </c>
      <c r="K183" s="170" t="str">
        <f>VLOOKUP(D183,[2]T3!$B$2:$D$328,3,FALSE)</f>
        <v>025244382</v>
      </c>
      <c r="L183" s="201" t="s">
        <v>597</v>
      </c>
      <c r="M183" s="201" t="s">
        <v>963</v>
      </c>
      <c r="N183" s="392" t="s">
        <v>807</v>
      </c>
      <c r="O183" s="170" t="s">
        <v>692</v>
      </c>
      <c r="P183" s="170">
        <v>4</v>
      </c>
      <c r="Q183" s="177">
        <v>3.66</v>
      </c>
      <c r="R183" s="176">
        <f t="shared" si="80"/>
        <v>0.36599999999999999</v>
      </c>
      <c r="S183" s="220"/>
      <c r="T183" s="176">
        <f t="shared" si="81"/>
        <v>0</v>
      </c>
      <c r="U183" s="175">
        <f t="shared" si="79"/>
        <v>0</v>
      </c>
      <c r="V183" s="170"/>
      <c r="W183" s="179">
        <v>0.1</v>
      </c>
      <c r="X183" s="216">
        <f t="shared" si="82"/>
        <v>0.36599999999999999</v>
      </c>
      <c r="Y183" s="216">
        <f t="shared" si="83"/>
        <v>4.0259999999999998</v>
      </c>
      <c r="Z183" s="180">
        <f t="shared" si="84"/>
        <v>5998740</v>
      </c>
      <c r="AA183" s="180"/>
      <c r="AB183" s="180">
        <f t="shared" si="92"/>
        <v>0</v>
      </c>
      <c r="AC183" s="180">
        <f t="shared" si="93"/>
        <v>0</v>
      </c>
      <c r="AD183" s="180">
        <f t="shared" si="85"/>
        <v>5998740</v>
      </c>
      <c r="AE183" s="178">
        <f t="shared" si="86"/>
        <v>479899.2</v>
      </c>
      <c r="AF183" s="178">
        <f t="shared" si="87"/>
        <v>89981.099999999991</v>
      </c>
      <c r="AG183" s="178">
        <f t="shared" si="88"/>
        <v>59987.4</v>
      </c>
      <c r="AH183" s="178"/>
      <c r="AI183" s="178">
        <f t="shared" si="89"/>
        <v>629867.70000000007</v>
      </c>
      <c r="AJ183" s="192"/>
      <c r="AK183" s="182">
        <f t="shared" si="90"/>
        <v>0</v>
      </c>
      <c r="AL183" s="182"/>
      <c r="AM183" s="182"/>
      <c r="AN183" s="193">
        <f t="shared" si="95"/>
        <v>3.66</v>
      </c>
      <c r="AO183" s="246">
        <v>0.25</v>
      </c>
      <c r="AP183" s="194">
        <f t="shared" si="94"/>
        <v>0.91500000000000004</v>
      </c>
      <c r="AQ183" s="178">
        <f t="shared" si="91"/>
        <v>1363350</v>
      </c>
      <c r="AR183" s="178"/>
      <c r="AS183" s="178">
        <f t="shared" si="75"/>
        <v>6732222</v>
      </c>
      <c r="AT183" s="469" t="str">
        <f t="shared" si="77"/>
        <v>165</v>
      </c>
      <c r="AU183" s="186"/>
      <c r="AV183" s="198" t="s">
        <v>710</v>
      </c>
    </row>
    <row r="184" spans="1:58" s="189" customFormat="1" ht="39.75" customHeight="1" x14ac:dyDescent="0.25">
      <c r="A184" s="168" t="s">
        <v>458</v>
      </c>
      <c r="B184" s="168" t="str">
        <f>VLOOKUP(D184,[1]LuongBC_T01!$B$9:$C$292,2,FALSE)</f>
        <v>0016100006500007</v>
      </c>
      <c r="C184" s="199" t="s">
        <v>909</v>
      </c>
      <c r="D184" s="169" t="s">
        <v>61</v>
      </c>
      <c r="E184" s="263" t="s">
        <v>1451</v>
      </c>
      <c r="F184" s="169" t="s">
        <v>549</v>
      </c>
      <c r="G184" s="200"/>
      <c r="H184" s="200"/>
      <c r="I184" s="170" t="s">
        <v>283</v>
      </c>
      <c r="J184" s="169" t="s">
        <v>243</v>
      </c>
      <c r="K184" s="170" t="str">
        <f>VLOOKUP(D184,[2]T3!$B$2:$D$328,3,FALSE)</f>
        <v>025408856</v>
      </c>
      <c r="L184" s="171" t="s">
        <v>140</v>
      </c>
      <c r="M184" s="171" t="s">
        <v>909</v>
      </c>
      <c r="N184" s="390" t="s">
        <v>1438</v>
      </c>
      <c r="O184" s="172" t="s">
        <v>692</v>
      </c>
      <c r="P184" s="173">
        <v>4</v>
      </c>
      <c r="Q184" s="174">
        <v>3.66</v>
      </c>
      <c r="R184" s="176">
        <f>T184+V184+X184</f>
        <v>0.43919999999999998</v>
      </c>
      <c r="S184" s="370"/>
      <c r="T184" s="176">
        <f>ROUND(Q184*S184/100,4)</f>
        <v>0</v>
      </c>
      <c r="U184" s="175">
        <f>Q184*S184*$D$8/100</f>
        <v>0</v>
      </c>
      <c r="V184" s="170"/>
      <c r="W184" s="179">
        <v>0.12</v>
      </c>
      <c r="X184" s="216">
        <f>ROUND((Q184+T184+V184)*W184,4)</f>
        <v>0.43919999999999998</v>
      </c>
      <c r="Y184" s="216">
        <f>Q184+T184+V184+X184</f>
        <v>4.0991999999999997</v>
      </c>
      <c r="Z184" s="180">
        <f>ROUND(Y184*$D$8,0)</f>
        <v>6107808</v>
      </c>
      <c r="AA184" s="180"/>
      <c r="AB184" s="180">
        <f>Z184/24*AA184</f>
        <v>0</v>
      </c>
      <c r="AC184" s="180">
        <f>Z184/24*AA184*75%</f>
        <v>0</v>
      </c>
      <c r="AD184" s="180">
        <f>ROUND(Z184-AB184+AC184,0)</f>
        <v>6107808</v>
      </c>
      <c r="AE184" s="178">
        <f>Z184*8%</f>
        <v>488624.64000000001</v>
      </c>
      <c r="AF184" s="178">
        <f>Z184*1.5%</f>
        <v>91617.12</v>
      </c>
      <c r="AG184" s="178">
        <f>Z184*1%</f>
        <v>61078.080000000002</v>
      </c>
      <c r="AH184" s="178"/>
      <c r="AI184" s="178">
        <f>SUM(AE184:AH184)</f>
        <v>641319.84</v>
      </c>
      <c r="AJ184" s="192"/>
      <c r="AK184" s="182">
        <f>AJ184*$D$8</f>
        <v>0</v>
      </c>
      <c r="AL184" s="182"/>
      <c r="AM184" s="182"/>
      <c r="AN184" s="193">
        <f>Q184+T184+V184</f>
        <v>3.66</v>
      </c>
      <c r="AO184" s="246">
        <v>0.25</v>
      </c>
      <c r="AP184" s="194">
        <f>ROUND(AN184*AO184,4)</f>
        <v>0.91500000000000004</v>
      </c>
      <c r="AQ184" s="178">
        <f>ROUND(AP184*$D$8,0)</f>
        <v>1363350</v>
      </c>
      <c r="AR184" s="178"/>
      <c r="AS184" s="178">
        <f>ROUND(AD184-AI184+AK184+AM184+AQ184,0)</f>
        <v>6829838</v>
      </c>
      <c r="AT184" s="469" t="str">
        <f>A184</f>
        <v>166</v>
      </c>
      <c r="AU184" s="195"/>
      <c r="AV184" s="198" t="s">
        <v>715</v>
      </c>
    </row>
    <row r="185" spans="1:58" s="189" customFormat="1" ht="36.75" customHeight="1" x14ac:dyDescent="0.25">
      <c r="A185" s="168" t="s">
        <v>459</v>
      </c>
      <c r="B185" s="168" t="str">
        <f>VLOOKUP(D185,[1]LuongBC_T01!$B$9:$C$292,2,FALSE)</f>
        <v>0016100006738006</v>
      </c>
      <c r="C185" s="199" t="s">
        <v>924</v>
      </c>
      <c r="D185" s="169" t="s">
        <v>1207</v>
      </c>
      <c r="E185" s="263" t="s">
        <v>1451</v>
      </c>
      <c r="F185" s="169" t="s">
        <v>549</v>
      </c>
      <c r="G185" s="170" t="s">
        <v>25</v>
      </c>
      <c r="H185" s="200" t="s">
        <v>283</v>
      </c>
      <c r="I185" s="200" t="s">
        <v>283</v>
      </c>
      <c r="J185" s="220" t="s">
        <v>261</v>
      </c>
      <c r="K185" s="170" t="str">
        <f>VLOOKUP(D185,[2]T3!$B$2:$D$328,3,FALSE)</f>
        <v>023646525</v>
      </c>
      <c r="L185" s="171" t="s">
        <v>171</v>
      </c>
      <c r="M185" s="171" t="s">
        <v>924</v>
      </c>
      <c r="N185" s="390" t="s">
        <v>1438</v>
      </c>
      <c r="O185" s="172" t="s">
        <v>692</v>
      </c>
      <c r="P185" s="173">
        <v>4</v>
      </c>
      <c r="Q185" s="174">
        <v>3.66</v>
      </c>
      <c r="R185" s="176">
        <f>T185+V185+X185</f>
        <v>0.4758</v>
      </c>
      <c r="S185" s="370"/>
      <c r="T185" s="176">
        <f>ROUND(Q185*S185/100,4)</f>
        <v>0</v>
      </c>
      <c r="U185" s="175">
        <f>Q185*S185*$D$8/100</f>
        <v>0</v>
      </c>
      <c r="V185" s="170"/>
      <c r="W185" s="179">
        <v>0.13</v>
      </c>
      <c r="X185" s="216">
        <f>ROUND((Q185+T185+V185)*W185,4)</f>
        <v>0.4758</v>
      </c>
      <c r="Y185" s="216">
        <f>Q185+T185+V185+X185</f>
        <v>4.1357999999999997</v>
      </c>
      <c r="Z185" s="180">
        <f>ROUND(Y185*$D$8,0)</f>
        <v>6162342</v>
      </c>
      <c r="AA185" s="180"/>
      <c r="AB185" s="180">
        <f>Z185/24*AA185</f>
        <v>0</v>
      </c>
      <c r="AC185" s="180">
        <f>Z185/24*AA185*75%</f>
        <v>0</v>
      </c>
      <c r="AD185" s="180">
        <f>ROUND(Z185-AB185+AC185,0)</f>
        <v>6162342</v>
      </c>
      <c r="AE185" s="178">
        <f>Z185*8%</f>
        <v>492987.36</v>
      </c>
      <c r="AF185" s="178">
        <f>Z185*1.5%</f>
        <v>92435.12999999999</v>
      </c>
      <c r="AG185" s="178">
        <f>Z185*1%</f>
        <v>61623.42</v>
      </c>
      <c r="AH185" s="178"/>
      <c r="AI185" s="178">
        <f>SUM(AE185:AH185)</f>
        <v>647045.91</v>
      </c>
      <c r="AJ185" s="192"/>
      <c r="AK185" s="182">
        <f>AJ185*$D$8</f>
        <v>0</v>
      </c>
      <c r="AL185" s="182"/>
      <c r="AM185" s="182"/>
      <c r="AN185" s="193">
        <f>Q185+T185+V185</f>
        <v>3.66</v>
      </c>
      <c r="AO185" s="246">
        <v>0.25</v>
      </c>
      <c r="AP185" s="194">
        <f>ROUND(AN185*AO185,4)</f>
        <v>0.91500000000000004</v>
      </c>
      <c r="AQ185" s="178">
        <f>ROUND(AP185*$D$8,0)</f>
        <v>1363350</v>
      </c>
      <c r="AR185" s="178"/>
      <c r="AS185" s="178">
        <f>ROUND(AD185-AI185+AK185+AM185+AQ185,0)</f>
        <v>6878646</v>
      </c>
      <c r="AT185" s="469" t="str">
        <f>A185</f>
        <v>167</v>
      </c>
      <c r="AU185" s="195"/>
      <c r="AV185" s="187" t="s">
        <v>711</v>
      </c>
    </row>
    <row r="186" spans="1:58" s="189" customFormat="1" ht="29.25" customHeight="1" x14ac:dyDescent="0.25">
      <c r="A186" s="168" t="s">
        <v>798</v>
      </c>
      <c r="B186" s="168" t="str">
        <f>VLOOKUP(D186,[1]LuongBC_T01!$B$9:$C$292,2,FALSE)</f>
        <v>0016100006109009</v>
      </c>
      <c r="C186" s="199" t="s">
        <v>966</v>
      </c>
      <c r="D186" s="169" t="s">
        <v>1221</v>
      </c>
      <c r="E186" s="263" t="s">
        <v>1251</v>
      </c>
      <c r="F186" s="169" t="s">
        <v>549</v>
      </c>
      <c r="G186" s="170" t="s">
        <v>25</v>
      </c>
      <c r="H186" s="170" t="s">
        <v>283</v>
      </c>
      <c r="I186" s="200" t="s">
        <v>283</v>
      </c>
      <c r="J186" s="220" t="s">
        <v>260</v>
      </c>
      <c r="K186" s="168" t="s">
        <v>1338</v>
      </c>
      <c r="L186" s="171" t="s">
        <v>169</v>
      </c>
      <c r="M186" s="171" t="s">
        <v>966</v>
      </c>
      <c r="N186" s="390" t="s">
        <v>807</v>
      </c>
      <c r="O186" s="172" t="s">
        <v>692</v>
      </c>
      <c r="P186" s="173">
        <v>4</v>
      </c>
      <c r="Q186" s="174">
        <v>3.99</v>
      </c>
      <c r="R186" s="176">
        <f t="shared" si="80"/>
        <v>0.55859999999999999</v>
      </c>
      <c r="S186" s="370"/>
      <c r="T186" s="176">
        <f t="shared" si="81"/>
        <v>0</v>
      </c>
      <c r="U186" s="175">
        <f t="shared" si="79"/>
        <v>0</v>
      </c>
      <c r="V186" s="170"/>
      <c r="W186" s="179">
        <f>VLOOKUP(D186,[3]BC!$D$14:$W$287,20,FALSE)</f>
        <v>0.14000000000000001</v>
      </c>
      <c r="X186" s="216">
        <f t="shared" si="82"/>
        <v>0.55859999999999999</v>
      </c>
      <c r="Y186" s="216">
        <f t="shared" si="83"/>
        <v>4.5486000000000004</v>
      </c>
      <c r="Z186" s="180">
        <f t="shared" si="84"/>
        <v>6777414</v>
      </c>
      <c r="AA186" s="180"/>
      <c r="AB186" s="180">
        <f t="shared" si="92"/>
        <v>0</v>
      </c>
      <c r="AC186" s="180">
        <f t="shared" si="93"/>
        <v>0</v>
      </c>
      <c r="AD186" s="180">
        <f t="shared" si="85"/>
        <v>6777414</v>
      </c>
      <c r="AE186" s="178">
        <f t="shared" si="86"/>
        <v>542193.12</v>
      </c>
      <c r="AF186" s="178">
        <f t="shared" si="87"/>
        <v>101661.20999999999</v>
      </c>
      <c r="AG186" s="178">
        <f t="shared" si="88"/>
        <v>67774.14</v>
      </c>
      <c r="AH186" s="178"/>
      <c r="AI186" s="178">
        <f t="shared" si="89"/>
        <v>711628.47</v>
      </c>
      <c r="AJ186" s="192"/>
      <c r="AK186" s="182">
        <f t="shared" si="90"/>
        <v>0</v>
      </c>
      <c r="AL186" s="182"/>
      <c r="AM186" s="182"/>
      <c r="AN186" s="193">
        <f t="shared" si="95"/>
        <v>3.99</v>
      </c>
      <c r="AO186" s="246">
        <v>0.45</v>
      </c>
      <c r="AP186" s="194">
        <f t="shared" si="94"/>
        <v>1.7955000000000001</v>
      </c>
      <c r="AQ186" s="178">
        <f t="shared" si="91"/>
        <v>2675295</v>
      </c>
      <c r="AR186" s="178"/>
      <c r="AS186" s="178">
        <f t="shared" ref="AS186:AS249" si="96">ROUND(AD186-AI186+AK186+AM186+AQ186,0)</f>
        <v>8741081</v>
      </c>
      <c r="AT186" s="469" t="str">
        <f t="shared" si="77"/>
        <v>168</v>
      </c>
      <c r="AU186" s="195"/>
      <c r="AV186" s="186" t="s">
        <v>710</v>
      </c>
    </row>
    <row r="187" spans="1:58" s="191" customFormat="1" ht="38.25" x14ac:dyDescent="0.25">
      <c r="A187" s="168" t="s">
        <v>1265</v>
      </c>
      <c r="B187" s="168" t="str">
        <f>VLOOKUP(D187,[1]LuongBC_T01!$B$9:$C$292,2,FALSE)</f>
        <v>0016100006711008</v>
      </c>
      <c r="C187" s="199" t="s">
        <v>967</v>
      </c>
      <c r="D187" s="169" t="s">
        <v>60</v>
      </c>
      <c r="E187" s="263" t="s">
        <v>1435</v>
      </c>
      <c r="F187" s="220" t="s">
        <v>549</v>
      </c>
      <c r="G187" s="200" t="s">
        <v>25</v>
      </c>
      <c r="H187" s="200" t="s">
        <v>283</v>
      </c>
      <c r="I187" s="200" t="s">
        <v>283</v>
      </c>
      <c r="J187" s="220" t="s">
        <v>242</v>
      </c>
      <c r="K187" s="170" t="str">
        <f>VLOOKUP(D187,[2]T3!$B$2:$D$328,3,FALSE)</f>
        <v>023444718</v>
      </c>
      <c r="L187" s="241" t="s">
        <v>163</v>
      </c>
      <c r="M187" s="241" t="s">
        <v>967</v>
      </c>
      <c r="N187" s="390" t="s">
        <v>39</v>
      </c>
      <c r="O187" s="172" t="s">
        <v>692</v>
      </c>
      <c r="P187" s="173">
        <v>4</v>
      </c>
      <c r="Q187" s="174">
        <v>3.66</v>
      </c>
      <c r="R187" s="176">
        <f t="shared" si="80"/>
        <v>0</v>
      </c>
      <c r="S187" s="377"/>
      <c r="T187" s="176">
        <f t="shared" si="81"/>
        <v>0</v>
      </c>
      <c r="U187" s="175">
        <f t="shared" si="79"/>
        <v>0</v>
      </c>
      <c r="V187" s="200"/>
      <c r="W187" s="179">
        <f>VLOOKUP(D187,[3]BC!$D$14:$W$287,20,FALSE)</f>
        <v>0</v>
      </c>
      <c r="X187" s="216">
        <f t="shared" si="82"/>
        <v>0</v>
      </c>
      <c r="Y187" s="216">
        <f t="shared" si="83"/>
        <v>3.66</v>
      </c>
      <c r="Z187" s="180">
        <f t="shared" si="84"/>
        <v>5453400</v>
      </c>
      <c r="AA187" s="180"/>
      <c r="AB187" s="180">
        <f t="shared" si="92"/>
        <v>0</v>
      </c>
      <c r="AC187" s="180">
        <f t="shared" si="93"/>
        <v>0</v>
      </c>
      <c r="AD187" s="180">
        <f t="shared" si="85"/>
        <v>5453400</v>
      </c>
      <c r="AE187" s="178">
        <f t="shared" si="86"/>
        <v>436272</v>
      </c>
      <c r="AF187" s="178">
        <f t="shared" si="87"/>
        <v>81801</v>
      </c>
      <c r="AG187" s="178">
        <f t="shared" si="88"/>
        <v>54534</v>
      </c>
      <c r="AH187" s="178"/>
      <c r="AI187" s="178">
        <f t="shared" si="89"/>
        <v>572607</v>
      </c>
      <c r="AJ187" s="181"/>
      <c r="AK187" s="182">
        <f t="shared" si="90"/>
        <v>0</v>
      </c>
      <c r="AL187" s="182"/>
      <c r="AM187" s="182"/>
      <c r="AN187" s="193">
        <f t="shared" si="95"/>
        <v>3.66</v>
      </c>
      <c r="AO187" s="179">
        <v>0</v>
      </c>
      <c r="AP187" s="194">
        <f t="shared" si="94"/>
        <v>0</v>
      </c>
      <c r="AQ187" s="178">
        <f t="shared" si="91"/>
        <v>0</v>
      </c>
      <c r="AR187" s="178"/>
      <c r="AS187" s="178">
        <f t="shared" si="96"/>
        <v>4880793</v>
      </c>
      <c r="AT187" s="469" t="str">
        <f t="shared" si="77"/>
        <v>169</v>
      </c>
      <c r="AU187" s="195"/>
      <c r="AV187" s="187"/>
      <c r="AW187" s="552"/>
      <c r="AX187" s="552"/>
      <c r="AY187" s="552"/>
      <c r="AZ187" s="552"/>
      <c r="BA187" s="552"/>
      <c r="BB187" s="552"/>
      <c r="BC187" s="552"/>
      <c r="BD187" s="552"/>
      <c r="BE187" s="552"/>
      <c r="BF187" s="552"/>
    </row>
    <row r="188" spans="1:58" s="189" customFormat="1" ht="29.25" customHeight="1" x14ac:dyDescent="0.25">
      <c r="A188" s="168" t="s">
        <v>774</v>
      </c>
      <c r="B188" s="168" t="str">
        <f>VLOOKUP(D188,[1]LuongBC_T01!$B$9:$C$292,2,FALSE)</f>
        <v>0016100006555009</v>
      </c>
      <c r="C188" s="199" t="s">
        <v>969</v>
      </c>
      <c r="D188" s="169" t="s">
        <v>68</v>
      </c>
      <c r="E188" s="263" t="s">
        <v>1376</v>
      </c>
      <c r="F188" s="169" t="s">
        <v>549</v>
      </c>
      <c r="G188" s="200"/>
      <c r="H188" s="200" t="s">
        <v>283</v>
      </c>
      <c r="I188" s="170" t="s">
        <v>283</v>
      </c>
      <c r="J188" s="169" t="s">
        <v>250</v>
      </c>
      <c r="K188" s="168" t="s">
        <v>1342</v>
      </c>
      <c r="L188" s="171" t="s">
        <v>117</v>
      </c>
      <c r="M188" s="171" t="s">
        <v>969</v>
      </c>
      <c r="N188" s="390" t="s">
        <v>1438</v>
      </c>
      <c r="O188" s="172" t="s">
        <v>692</v>
      </c>
      <c r="P188" s="173">
        <v>4</v>
      </c>
      <c r="Q188" s="174">
        <v>3.66</v>
      </c>
      <c r="R188" s="176">
        <f t="shared" si="80"/>
        <v>0.54900000000000004</v>
      </c>
      <c r="S188" s="370"/>
      <c r="T188" s="176">
        <f t="shared" si="81"/>
        <v>0</v>
      </c>
      <c r="U188" s="175">
        <f t="shared" si="79"/>
        <v>0</v>
      </c>
      <c r="V188" s="170"/>
      <c r="W188" s="179">
        <f>VLOOKUP(D188,[3]BC!$D$14:$W$287,20,FALSE)</f>
        <v>0.15</v>
      </c>
      <c r="X188" s="216">
        <f t="shared" si="82"/>
        <v>0.54900000000000004</v>
      </c>
      <c r="Y188" s="216">
        <f t="shared" si="83"/>
        <v>4.2090000000000005</v>
      </c>
      <c r="Z188" s="180">
        <f t="shared" si="84"/>
        <v>6271410</v>
      </c>
      <c r="AA188" s="180"/>
      <c r="AB188" s="180">
        <f t="shared" si="92"/>
        <v>0</v>
      </c>
      <c r="AC188" s="180">
        <f t="shared" si="93"/>
        <v>0</v>
      </c>
      <c r="AD188" s="180">
        <f t="shared" si="85"/>
        <v>6271410</v>
      </c>
      <c r="AE188" s="178">
        <f t="shared" si="86"/>
        <v>501712.8</v>
      </c>
      <c r="AF188" s="178">
        <f t="shared" si="87"/>
        <v>94071.15</v>
      </c>
      <c r="AG188" s="178">
        <f t="shared" si="88"/>
        <v>62714.1</v>
      </c>
      <c r="AH188" s="178"/>
      <c r="AI188" s="178">
        <f t="shared" si="89"/>
        <v>658498.04999999993</v>
      </c>
      <c r="AJ188" s="192"/>
      <c r="AK188" s="182">
        <f t="shared" si="90"/>
        <v>0</v>
      </c>
      <c r="AL188" s="182"/>
      <c r="AM188" s="182"/>
      <c r="AN188" s="193">
        <f t="shared" si="95"/>
        <v>3.66</v>
      </c>
      <c r="AO188" s="246">
        <v>0.25</v>
      </c>
      <c r="AP188" s="194">
        <f t="shared" si="94"/>
        <v>0.91500000000000004</v>
      </c>
      <c r="AQ188" s="178">
        <f t="shared" si="91"/>
        <v>1363350</v>
      </c>
      <c r="AR188" s="178"/>
      <c r="AS188" s="178">
        <f t="shared" si="96"/>
        <v>6976262</v>
      </c>
      <c r="AT188" s="469" t="str">
        <f t="shared" si="77"/>
        <v>170</v>
      </c>
      <c r="AU188" s="195"/>
      <c r="AV188" s="198" t="s">
        <v>704</v>
      </c>
      <c r="AW188" s="29"/>
      <c r="AX188" s="29"/>
      <c r="AY188" s="29"/>
      <c r="AZ188" s="29"/>
      <c r="BA188" s="29"/>
      <c r="BB188" s="29"/>
      <c r="BC188" s="29"/>
      <c r="BD188" s="29"/>
      <c r="BE188" s="29"/>
      <c r="BF188" s="29"/>
    </row>
    <row r="189" spans="1:58" s="191" customFormat="1" ht="36.75" customHeight="1" x14ac:dyDescent="0.25">
      <c r="A189" s="168" t="s">
        <v>460</v>
      </c>
      <c r="B189" s="168" t="str">
        <f>VLOOKUP(D189,[1]LuongBC_T01!$B$9:$C$292,2,FALSE)</f>
        <v>0016100006634006</v>
      </c>
      <c r="C189" s="199" t="s">
        <v>921</v>
      </c>
      <c r="D189" s="169" t="s">
        <v>63</v>
      </c>
      <c r="E189" s="263" t="s">
        <v>1377</v>
      </c>
      <c r="F189" s="169" t="s">
        <v>549</v>
      </c>
      <c r="G189" s="170"/>
      <c r="H189" s="170" t="s">
        <v>283</v>
      </c>
      <c r="I189" s="170" t="s">
        <v>283</v>
      </c>
      <c r="J189" s="169" t="s">
        <v>246</v>
      </c>
      <c r="K189" s="170" t="str">
        <f>VLOOKUP(D189,[2]T3!$B$2:$D$328,3,FALSE)</f>
        <v>023636063</v>
      </c>
      <c r="L189" s="171" t="s">
        <v>115</v>
      </c>
      <c r="M189" s="171" t="s">
        <v>921</v>
      </c>
      <c r="N189" s="390" t="s">
        <v>1438</v>
      </c>
      <c r="O189" s="172" t="s">
        <v>692</v>
      </c>
      <c r="P189" s="173">
        <v>4</v>
      </c>
      <c r="Q189" s="174">
        <v>3.66</v>
      </c>
      <c r="R189" s="176">
        <f t="shared" si="80"/>
        <v>0.43919999999999998</v>
      </c>
      <c r="S189" s="377"/>
      <c r="T189" s="176">
        <f t="shared" si="81"/>
        <v>0</v>
      </c>
      <c r="U189" s="175">
        <f t="shared" si="79"/>
        <v>0</v>
      </c>
      <c r="V189" s="170"/>
      <c r="W189" s="179">
        <v>0.12</v>
      </c>
      <c r="X189" s="216">
        <f t="shared" si="82"/>
        <v>0.43919999999999998</v>
      </c>
      <c r="Y189" s="216">
        <f t="shared" si="83"/>
        <v>4.0991999999999997</v>
      </c>
      <c r="Z189" s="180">
        <f t="shared" si="84"/>
        <v>6107808</v>
      </c>
      <c r="AA189" s="180"/>
      <c r="AB189" s="180">
        <f>Z189/24*AA189</f>
        <v>0</v>
      </c>
      <c r="AC189" s="180">
        <f t="shared" si="93"/>
        <v>0</v>
      </c>
      <c r="AD189" s="180">
        <f t="shared" si="85"/>
        <v>6107808</v>
      </c>
      <c r="AE189" s="178">
        <f t="shared" si="86"/>
        <v>488624.64000000001</v>
      </c>
      <c r="AF189" s="178">
        <f t="shared" si="87"/>
        <v>91617.12</v>
      </c>
      <c r="AG189" s="178">
        <f t="shared" si="88"/>
        <v>61078.080000000002</v>
      </c>
      <c r="AH189" s="178"/>
      <c r="AI189" s="178">
        <f t="shared" si="89"/>
        <v>641319.84</v>
      </c>
      <c r="AJ189" s="181"/>
      <c r="AK189" s="182">
        <f t="shared" si="90"/>
        <v>0</v>
      </c>
      <c r="AL189" s="182"/>
      <c r="AM189" s="182"/>
      <c r="AN189" s="193">
        <f t="shared" si="95"/>
        <v>3.66</v>
      </c>
      <c r="AO189" s="246">
        <v>0.25</v>
      </c>
      <c r="AP189" s="194">
        <f t="shared" si="94"/>
        <v>0.91500000000000004</v>
      </c>
      <c r="AQ189" s="178">
        <f t="shared" si="91"/>
        <v>1363350</v>
      </c>
      <c r="AR189" s="178"/>
      <c r="AS189" s="178">
        <f t="shared" si="96"/>
        <v>6829838</v>
      </c>
      <c r="AT189" s="469" t="str">
        <f t="shared" si="77"/>
        <v>171</v>
      </c>
      <c r="AU189" s="195"/>
      <c r="AV189" s="198" t="s">
        <v>714</v>
      </c>
    </row>
    <row r="190" spans="1:58" s="189" customFormat="1" ht="36.75" customHeight="1" x14ac:dyDescent="0.25">
      <c r="A190" s="168" t="s">
        <v>461</v>
      </c>
      <c r="B190" s="168" t="str">
        <f>VLOOKUP(D190,[1]LuongBC_T01!$B$9:$C$292,2,FALSE)</f>
        <v>0016100006727004</v>
      </c>
      <c r="C190" s="199" t="s">
        <v>926</v>
      </c>
      <c r="D190" s="169" t="s">
        <v>296</v>
      </c>
      <c r="E190" s="263" t="s">
        <v>1251</v>
      </c>
      <c r="F190" s="169" t="s">
        <v>549</v>
      </c>
      <c r="G190" s="200" t="s">
        <v>25</v>
      </c>
      <c r="H190" s="200" t="s">
        <v>283</v>
      </c>
      <c r="I190" s="170" t="s">
        <v>283</v>
      </c>
      <c r="J190" s="169" t="s">
        <v>526</v>
      </c>
      <c r="K190" s="170" t="str">
        <f>VLOOKUP(D190,[2]T3!$B$2:$D$328,3,FALSE)</f>
        <v>024935952</v>
      </c>
      <c r="L190" s="171" t="s">
        <v>328</v>
      </c>
      <c r="M190" s="171" t="s">
        <v>926</v>
      </c>
      <c r="N190" s="390" t="s">
        <v>1438</v>
      </c>
      <c r="O190" s="172" t="s">
        <v>692</v>
      </c>
      <c r="P190" s="173">
        <v>3</v>
      </c>
      <c r="Q190" s="174">
        <v>3.33</v>
      </c>
      <c r="R190" s="176">
        <f>T190+V190+X190</f>
        <v>0.36630000000000001</v>
      </c>
      <c r="S190" s="370"/>
      <c r="T190" s="176">
        <f>ROUND(Q190*S190/100,4)</f>
        <v>0</v>
      </c>
      <c r="U190" s="175">
        <f>Q190*S190*$D$8/100</f>
        <v>0</v>
      </c>
      <c r="V190" s="170"/>
      <c r="W190" s="179">
        <v>0.11</v>
      </c>
      <c r="X190" s="216">
        <f>ROUND((Q190+T190+V190)*W190,4)</f>
        <v>0.36630000000000001</v>
      </c>
      <c r="Y190" s="216">
        <f>Q190+T190+V190+X190</f>
        <v>3.6962999999999999</v>
      </c>
      <c r="Z190" s="180">
        <f>ROUND(Y190*$D$8,0)</f>
        <v>5507487</v>
      </c>
      <c r="AA190" s="180"/>
      <c r="AB190" s="180">
        <f>Z190/24*AA190</f>
        <v>0</v>
      </c>
      <c r="AC190" s="180">
        <f>Z190/24*AA190*75%</f>
        <v>0</v>
      </c>
      <c r="AD190" s="180">
        <f>ROUND(Z190-AB190+AC190,0)</f>
        <v>5507487</v>
      </c>
      <c r="AE190" s="178">
        <f>Z190*8%</f>
        <v>440598.96</v>
      </c>
      <c r="AF190" s="178">
        <f>Z190*1.5%</f>
        <v>82612.304999999993</v>
      </c>
      <c r="AG190" s="178">
        <f>Z190*1%</f>
        <v>55074.87</v>
      </c>
      <c r="AH190" s="178"/>
      <c r="AI190" s="178">
        <f>SUM(AE190:AH190)</f>
        <v>578286.13500000001</v>
      </c>
      <c r="AJ190" s="192"/>
      <c r="AK190" s="182">
        <f>AJ190*$D$8</f>
        <v>0</v>
      </c>
      <c r="AL190" s="182"/>
      <c r="AM190" s="182"/>
      <c r="AN190" s="193">
        <f>Q190+T190+V190</f>
        <v>3.33</v>
      </c>
      <c r="AO190" s="246">
        <v>0.45</v>
      </c>
      <c r="AP190" s="194">
        <f>ROUND(AN190*AO190,4)</f>
        <v>1.4984999999999999</v>
      </c>
      <c r="AQ190" s="178">
        <f>ROUND(AP190*$D$8,0)</f>
        <v>2232765</v>
      </c>
      <c r="AR190" s="178"/>
      <c r="AS190" s="178">
        <f>ROUND(AD190-AI190+AK190+AM190+AQ190,0)</f>
        <v>7161966</v>
      </c>
      <c r="AT190" s="469" t="str">
        <f>A190</f>
        <v>172</v>
      </c>
      <c r="AU190" s="195"/>
      <c r="AV190" s="198" t="s">
        <v>710</v>
      </c>
    </row>
    <row r="191" spans="1:58" s="189" customFormat="1" ht="36.75" customHeight="1" x14ac:dyDescent="0.25">
      <c r="A191" s="168" t="s">
        <v>462</v>
      </c>
      <c r="B191" s="168" t="str">
        <f>VLOOKUP(D191,[1]LuongBC_T01!$B$9:$C$292,2,FALSE)</f>
        <v>0016100006726008</v>
      </c>
      <c r="C191" s="199" t="s">
        <v>925</v>
      </c>
      <c r="D191" s="169" t="s">
        <v>301</v>
      </c>
      <c r="E191" s="263" t="s">
        <v>1251</v>
      </c>
      <c r="F191" s="169" t="s">
        <v>549</v>
      </c>
      <c r="G191" s="200" t="s">
        <v>25</v>
      </c>
      <c r="H191" s="200" t="s">
        <v>283</v>
      </c>
      <c r="I191" s="170" t="s">
        <v>283</v>
      </c>
      <c r="J191" s="169" t="s">
        <v>527</v>
      </c>
      <c r="K191" s="170" t="str">
        <f>VLOOKUP(D191,[2]T3!$B$2:$D$328,3,FALSE)</f>
        <v>024827262</v>
      </c>
      <c r="L191" s="171" t="s">
        <v>336</v>
      </c>
      <c r="M191" s="171" t="s">
        <v>925</v>
      </c>
      <c r="N191" s="390" t="s">
        <v>1438</v>
      </c>
      <c r="O191" s="172" t="s">
        <v>692</v>
      </c>
      <c r="P191" s="173">
        <v>4</v>
      </c>
      <c r="Q191" s="174">
        <v>3.66</v>
      </c>
      <c r="R191" s="176">
        <f>T191+V191+X191</f>
        <v>0.40260000000000001</v>
      </c>
      <c r="S191" s="370"/>
      <c r="T191" s="176">
        <f>ROUND(Q191*S191/100,4)</f>
        <v>0</v>
      </c>
      <c r="U191" s="175">
        <f>Q191*S191*$D$8/100</f>
        <v>0</v>
      </c>
      <c r="V191" s="170"/>
      <c r="W191" s="179">
        <v>0.11</v>
      </c>
      <c r="X191" s="216">
        <f>ROUND((Q191+T191+V191)*W191,4)</f>
        <v>0.40260000000000001</v>
      </c>
      <c r="Y191" s="216">
        <f>Q191+T191+V191+X191</f>
        <v>4.0625999999999998</v>
      </c>
      <c r="Z191" s="180">
        <f>ROUND(Y191*$D$8,0)</f>
        <v>6053274</v>
      </c>
      <c r="AA191" s="180"/>
      <c r="AB191" s="180">
        <f>Z191/24*AA191</f>
        <v>0</v>
      </c>
      <c r="AC191" s="180">
        <f>Z191/24*AA191*75%</f>
        <v>0</v>
      </c>
      <c r="AD191" s="180">
        <f>ROUND(Z191-AB191+AC191,0)</f>
        <v>6053274</v>
      </c>
      <c r="AE191" s="178">
        <f>Z191*8%</f>
        <v>484261.92</v>
      </c>
      <c r="AF191" s="178">
        <f>Z191*1.5%</f>
        <v>90799.11</v>
      </c>
      <c r="AG191" s="178">
        <f>Z191*1%</f>
        <v>60532.74</v>
      </c>
      <c r="AH191" s="178"/>
      <c r="AI191" s="178">
        <f>SUM(AE191:AH191)</f>
        <v>635593.77</v>
      </c>
      <c r="AJ191" s="192"/>
      <c r="AK191" s="182">
        <f>AJ191*$D$8</f>
        <v>0</v>
      </c>
      <c r="AL191" s="182"/>
      <c r="AM191" s="182"/>
      <c r="AN191" s="193">
        <f>Q191+T191+V191</f>
        <v>3.66</v>
      </c>
      <c r="AO191" s="246">
        <v>0.45</v>
      </c>
      <c r="AP191" s="194">
        <f>ROUND(AN191*AO191,4)</f>
        <v>1.647</v>
      </c>
      <c r="AQ191" s="178">
        <f>ROUND(AP191*$D$8,0)</f>
        <v>2454030</v>
      </c>
      <c r="AR191" s="178"/>
      <c r="AS191" s="178">
        <f>ROUND(AD191-AI191+AK191+AM191+AQ191,0)</f>
        <v>7871710</v>
      </c>
      <c r="AT191" s="469" t="str">
        <f>A191</f>
        <v>173</v>
      </c>
      <c r="AU191" s="195"/>
      <c r="AV191" s="187" t="s">
        <v>709</v>
      </c>
    </row>
    <row r="192" spans="1:58" s="189" customFormat="1" ht="27.75" customHeight="1" x14ac:dyDescent="0.25">
      <c r="A192" s="168" t="s">
        <v>463</v>
      </c>
      <c r="B192" s="168" t="str">
        <f>VLOOKUP(D192,[1]LuongBC_T01!$B$9:$C$292,2,FALSE)</f>
        <v>0016100006749008</v>
      </c>
      <c r="C192" s="199" t="s">
        <v>977</v>
      </c>
      <c r="D192" s="169" t="s">
        <v>1223</v>
      </c>
      <c r="E192" s="263" t="s">
        <v>1260</v>
      </c>
      <c r="F192" s="169" t="s">
        <v>549</v>
      </c>
      <c r="G192" s="170"/>
      <c r="H192" s="170" t="s">
        <v>283</v>
      </c>
      <c r="I192" s="170" t="s">
        <v>284</v>
      </c>
      <c r="J192" s="169" t="s">
        <v>278</v>
      </c>
      <c r="K192" s="170" t="str">
        <f>VLOOKUP(D192,[2]T3!$B$2:$D$328,3,FALSE)</f>
        <v>024730162</v>
      </c>
      <c r="L192" s="171" t="s">
        <v>142</v>
      </c>
      <c r="M192" s="171" t="s">
        <v>977</v>
      </c>
      <c r="N192" s="390" t="s">
        <v>1438</v>
      </c>
      <c r="O192" s="222" t="s">
        <v>692</v>
      </c>
      <c r="P192" s="172">
        <v>4</v>
      </c>
      <c r="Q192" s="174">
        <v>3.66</v>
      </c>
      <c r="R192" s="176">
        <f t="shared" si="80"/>
        <v>0.2928</v>
      </c>
      <c r="S192" s="370"/>
      <c r="T192" s="176">
        <f t="shared" si="81"/>
        <v>0</v>
      </c>
      <c r="U192" s="175">
        <f t="shared" si="79"/>
        <v>0</v>
      </c>
      <c r="V192" s="170"/>
      <c r="W192" s="179">
        <f>VLOOKUP(D192,[3]BC!$D$14:$W$287,20,FALSE)</f>
        <v>0.08</v>
      </c>
      <c r="X192" s="216">
        <f t="shared" si="82"/>
        <v>0.2928</v>
      </c>
      <c r="Y192" s="216">
        <f t="shared" si="83"/>
        <v>3.9528000000000003</v>
      </c>
      <c r="Z192" s="180">
        <f t="shared" si="84"/>
        <v>5889672</v>
      </c>
      <c r="AA192" s="180"/>
      <c r="AB192" s="180">
        <f t="shared" ref="AB192:AB200" si="97">Z192/24*AA192</f>
        <v>0</v>
      </c>
      <c r="AC192" s="180">
        <f t="shared" ref="AC192:AC198" si="98">Z192/24*AA192*75%</f>
        <v>0</v>
      </c>
      <c r="AD192" s="180">
        <f t="shared" si="85"/>
        <v>5889672</v>
      </c>
      <c r="AE192" s="178">
        <f t="shared" si="86"/>
        <v>471173.76</v>
      </c>
      <c r="AF192" s="178">
        <f t="shared" si="87"/>
        <v>88345.08</v>
      </c>
      <c r="AG192" s="178">
        <f t="shared" si="88"/>
        <v>58896.72</v>
      </c>
      <c r="AH192" s="178"/>
      <c r="AI192" s="178">
        <f t="shared" si="89"/>
        <v>618415.55999999994</v>
      </c>
      <c r="AJ192" s="192"/>
      <c r="AK192" s="182">
        <f t="shared" si="90"/>
        <v>0</v>
      </c>
      <c r="AL192" s="182"/>
      <c r="AM192" s="182"/>
      <c r="AN192" s="193">
        <f t="shared" si="95"/>
        <v>3.66</v>
      </c>
      <c r="AO192" s="246">
        <v>0.25</v>
      </c>
      <c r="AP192" s="194">
        <f t="shared" si="94"/>
        <v>0.91500000000000004</v>
      </c>
      <c r="AQ192" s="178">
        <f t="shared" si="91"/>
        <v>1363350</v>
      </c>
      <c r="AR192" s="178"/>
      <c r="AS192" s="178">
        <f t="shared" si="96"/>
        <v>6634606</v>
      </c>
      <c r="AT192" s="469" t="str">
        <f t="shared" si="77"/>
        <v>174</v>
      </c>
      <c r="AU192" s="186"/>
      <c r="AV192" s="187" t="s">
        <v>711</v>
      </c>
      <c r="AW192" s="29"/>
      <c r="AX192" s="29"/>
      <c r="AY192" s="29"/>
      <c r="AZ192" s="29"/>
      <c r="BA192" s="29"/>
      <c r="BB192" s="29"/>
      <c r="BC192" s="29"/>
      <c r="BD192" s="29"/>
      <c r="BE192" s="29"/>
      <c r="BF192" s="29"/>
    </row>
    <row r="193" spans="1:58" s="189" customFormat="1" ht="24.75" customHeight="1" x14ac:dyDescent="0.25">
      <c r="A193" s="168" t="s">
        <v>464</v>
      </c>
      <c r="B193" s="168" t="str">
        <f>VLOOKUP(D193,[1]LuongBC_T01!$B$9:$C$292,2,FALSE)</f>
        <v>0016100006629002</v>
      </c>
      <c r="C193" s="199" t="s">
        <v>971</v>
      </c>
      <c r="D193" s="169" t="s">
        <v>59</v>
      </c>
      <c r="E193" s="263" t="s">
        <v>1260</v>
      </c>
      <c r="F193" s="169" t="s">
        <v>549</v>
      </c>
      <c r="G193" s="200"/>
      <c r="H193" s="170" t="s">
        <v>283</v>
      </c>
      <c r="I193" s="170" t="s">
        <v>283</v>
      </c>
      <c r="J193" s="169" t="s">
        <v>241</v>
      </c>
      <c r="K193" s="170" t="str">
        <f>VLOOKUP(D193,[2]T3!$B$2:$D$328,3,FALSE)</f>
        <v>023099369</v>
      </c>
      <c r="L193" s="171" t="s">
        <v>139</v>
      </c>
      <c r="M193" s="171" t="s">
        <v>971</v>
      </c>
      <c r="N193" s="390" t="s">
        <v>1438</v>
      </c>
      <c r="O193" s="172" t="s">
        <v>692</v>
      </c>
      <c r="P193" s="173">
        <v>4</v>
      </c>
      <c r="Q193" s="174">
        <v>3.66</v>
      </c>
      <c r="R193" s="176">
        <f t="shared" si="80"/>
        <v>0.43919999999999998</v>
      </c>
      <c r="S193" s="370"/>
      <c r="T193" s="176">
        <f t="shared" si="81"/>
        <v>0</v>
      </c>
      <c r="U193" s="175">
        <f t="shared" si="79"/>
        <v>0</v>
      </c>
      <c r="V193" s="170"/>
      <c r="W193" s="179">
        <v>0.12</v>
      </c>
      <c r="X193" s="216">
        <f t="shared" si="82"/>
        <v>0.43919999999999998</v>
      </c>
      <c r="Y193" s="216">
        <f t="shared" si="83"/>
        <v>4.0991999999999997</v>
      </c>
      <c r="Z193" s="180">
        <f t="shared" si="84"/>
        <v>6107808</v>
      </c>
      <c r="AA193" s="180"/>
      <c r="AB193" s="180">
        <f t="shared" si="97"/>
        <v>0</v>
      </c>
      <c r="AC193" s="180">
        <f t="shared" si="98"/>
        <v>0</v>
      </c>
      <c r="AD193" s="180">
        <f t="shared" si="85"/>
        <v>6107808</v>
      </c>
      <c r="AE193" s="178">
        <f t="shared" si="86"/>
        <v>488624.64000000001</v>
      </c>
      <c r="AF193" s="178">
        <f t="shared" si="87"/>
        <v>91617.12</v>
      </c>
      <c r="AG193" s="178">
        <f t="shared" si="88"/>
        <v>61078.080000000002</v>
      </c>
      <c r="AH193" s="178"/>
      <c r="AI193" s="178">
        <f t="shared" si="89"/>
        <v>641319.84</v>
      </c>
      <c r="AJ193" s="192"/>
      <c r="AK193" s="182">
        <f t="shared" si="90"/>
        <v>0</v>
      </c>
      <c r="AL193" s="182"/>
      <c r="AM193" s="182"/>
      <c r="AN193" s="193">
        <f t="shared" si="95"/>
        <v>3.66</v>
      </c>
      <c r="AO193" s="246">
        <v>0.25</v>
      </c>
      <c r="AP193" s="194">
        <f t="shared" si="94"/>
        <v>0.91500000000000004</v>
      </c>
      <c r="AQ193" s="178">
        <f t="shared" si="91"/>
        <v>1363350</v>
      </c>
      <c r="AR193" s="178"/>
      <c r="AS193" s="178">
        <f t="shared" si="96"/>
        <v>6829838</v>
      </c>
      <c r="AT193" s="469" t="str">
        <f t="shared" si="77"/>
        <v>175</v>
      </c>
      <c r="AU193" s="186"/>
      <c r="AV193" s="187" t="s">
        <v>711</v>
      </c>
    </row>
    <row r="194" spans="1:58" s="189" customFormat="1" ht="24.75" customHeight="1" x14ac:dyDescent="0.25">
      <c r="A194" s="168" t="s">
        <v>465</v>
      </c>
      <c r="B194" s="168" t="str">
        <f>VLOOKUP(D194,[1]LuongBC_T01!$B$9:$C$292,2,FALSE)</f>
        <v>0016100006774002</v>
      </c>
      <c r="C194" s="199" t="s">
        <v>972</v>
      </c>
      <c r="D194" s="169" t="s">
        <v>314</v>
      </c>
      <c r="E194" s="263" t="s">
        <v>1260</v>
      </c>
      <c r="F194" s="169" t="s">
        <v>549</v>
      </c>
      <c r="G194" s="200"/>
      <c r="H194" s="200"/>
      <c r="I194" s="170" t="s">
        <v>283</v>
      </c>
      <c r="J194" s="169" t="s">
        <v>543</v>
      </c>
      <c r="K194" s="170" t="str">
        <f>VLOOKUP(D194,[2]T3!$B$2:$D$328,3,FALSE)</f>
        <v>023730236</v>
      </c>
      <c r="L194" s="171" t="s">
        <v>327</v>
      </c>
      <c r="M194" s="171" t="s">
        <v>972</v>
      </c>
      <c r="N194" s="390" t="s">
        <v>1438</v>
      </c>
      <c r="O194" s="172" t="s">
        <v>692</v>
      </c>
      <c r="P194" s="173">
        <v>4</v>
      </c>
      <c r="Q194" s="174">
        <v>3.66</v>
      </c>
      <c r="R194" s="176">
        <f t="shared" si="80"/>
        <v>0.43919999999999998</v>
      </c>
      <c r="S194" s="370"/>
      <c r="T194" s="176">
        <f t="shared" si="81"/>
        <v>0</v>
      </c>
      <c r="U194" s="175">
        <f t="shared" si="79"/>
        <v>0</v>
      </c>
      <c r="V194" s="170"/>
      <c r="W194" s="179">
        <v>0.12</v>
      </c>
      <c r="X194" s="216">
        <f t="shared" si="82"/>
        <v>0.43919999999999998</v>
      </c>
      <c r="Y194" s="216">
        <f t="shared" si="83"/>
        <v>4.0991999999999997</v>
      </c>
      <c r="Z194" s="180">
        <f t="shared" si="84"/>
        <v>6107808</v>
      </c>
      <c r="AA194" s="180"/>
      <c r="AB194" s="180">
        <f t="shared" si="97"/>
        <v>0</v>
      </c>
      <c r="AC194" s="180">
        <f t="shared" si="98"/>
        <v>0</v>
      </c>
      <c r="AD194" s="180">
        <f t="shared" si="85"/>
        <v>6107808</v>
      </c>
      <c r="AE194" s="178">
        <f t="shared" si="86"/>
        <v>488624.64000000001</v>
      </c>
      <c r="AF194" s="178">
        <f t="shared" si="87"/>
        <v>91617.12</v>
      </c>
      <c r="AG194" s="178">
        <f t="shared" si="88"/>
        <v>61078.080000000002</v>
      </c>
      <c r="AH194" s="178"/>
      <c r="AI194" s="178">
        <f t="shared" si="89"/>
        <v>641319.84</v>
      </c>
      <c r="AJ194" s="192"/>
      <c r="AK194" s="182">
        <f t="shared" si="90"/>
        <v>0</v>
      </c>
      <c r="AL194" s="182"/>
      <c r="AM194" s="182"/>
      <c r="AN194" s="193">
        <f t="shared" si="95"/>
        <v>3.66</v>
      </c>
      <c r="AO194" s="246">
        <v>0.25</v>
      </c>
      <c r="AP194" s="194">
        <f t="shared" si="94"/>
        <v>0.91500000000000004</v>
      </c>
      <c r="AQ194" s="178">
        <f t="shared" si="91"/>
        <v>1363350</v>
      </c>
      <c r="AR194" s="178"/>
      <c r="AS194" s="178">
        <f t="shared" si="96"/>
        <v>6829838</v>
      </c>
      <c r="AT194" s="469" t="str">
        <f t="shared" si="77"/>
        <v>176</v>
      </c>
      <c r="AU194" s="195"/>
      <c r="AV194" s="198" t="s">
        <v>707</v>
      </c>
    </row>
    <row r="195" spans="1:58" s="189" customFormat="1" ht="36.75" customHeight="1" x14ac:dyDescent="0.25">
      <c r="A195" s="168" t="s">
        <v>466</v>
      </c>
      <c r="B195" s="168" t="str">
        <f>VLOOKUP(D195,[1]LuongBC_T01!$B$9:$C$292,2,FALSE)</f>
        <v>0016100006744006</v>
      </c>
      <c r="C195" s="199" t="s">
        <v>923</v>
      </c>
      <c r="D195" s="169" t="s">
        <v>1206</v>
      </c>
      <c r="E195" s="263" t="s">
        <v>1377</v>
      </c>
      <c r="F195" s="169" t="s">
        <v>549</v>
      </c>
      <c r="G195" s="200"/>
      <c r="H195" s="200" t="s">
        <v>283</v>
      </c>
      <c r="I195" s="200" t="s">
        <v>283</v>
      </c>
      <c r="J195" s="200" t="s">
        <v>584</v>
      </c>
      <c r="K195" s="170" t="str">
        <f>VLOOKUP(D195,[2]T3!$B$2:$D$328,3,FALSE)</f>
        <v>024761501</v>
      </c>
      <c r="L195" s="201" t="s">
        <v>606</v>
      </c>
      <c r="M195" s="201" t="s">
        <v>923</v>
      </c>
      <c r="N195" s="390" t="s">
        <v>1438</v>
      </c>
      <c r="O195" s="170" t="s">
        <v>692</v>
      </c>
      <c r="P195" s="170">
        <v>3</v>
      </c>
      <c r="Q195" s="177">
        <v>3.33</v>
      </c>
      <c r="R195" s="176">
        <f t="shared" si="80"/>
        <v>0.33300000000000002</v>
      </c>
      <c r="S195" s="220"/>
      <c r="T195" s="176">
        <f t="shared" si="81"/>
        <v>0</v>
      </c>
      <c r="U195" s="175">
        <f t="shared" si="79"/>
        <v>0</v>
      </c>
      <c r="V195" s="170"/>
      <c r="W195" s="179">
        <v>0.1</v>
      </c>
      <c r="X195" s="216">
        <f t="shared" si="82"/>
        <v>0.33300000000000002</v>
      </c>
      <c r="Y195" s="216">
        <f t="shared" si="83"/>
        <v>3.6630000000000003</v>
      </c>
      <c r="Z195" s="180">
        <f t="shared" si="84"/>
        <v>5457870</v>
      </c>
      <c r="AA195" s="180"/>
      <c r="AB195" s="180">
        <f t="shared" si="97"/>
        <v>0</v>
      </c>
      <c r="AC195" s="180">
        <f t="shared" si="98"/>
        <v>0</v>
      </c>
      <c r="AD195" s="180">
        <f t="shared" si="85"/>
        <v>5457870</v>
      </c>
      <c r="AE195" s="178">
        <f t="shared" si="86"/>
        <v>436629.60000000003</v>
      </c>
      <c r="AF195" s="178">
        <f t="shared" si="87"/>
        <v>81868.05</v>
      </c>
      <c r="AG195" s="178">
        <f t="shared" si="88"/>
        <v>54578.700000000004</v>
      </c>
      <c r="AH195" s="178"/>
      <c r="AI195" s="178">
        <f t="shared" si="89"/>
        <v>573076.35</v>
      </c>
      <c r="AJ195" s="192"/>
      <c r="AK195" s="182">
        <f t="shared" si="90"/>
        <v>0</v>
      </c>
      <c r="AL195" s="182"/>
      <c r="AM195" s="182"/>
      <c r="AN195" s="193">
        <f t="shared" si="95"/>
        <v>3.33</v>
      </c>
      <c r="AO195" s="246">
        <v>0.25</v>
      </c>
      <c r="AP195" s="194">
        <f t="shared" si="94"/>
        <v>0.83250000000000002</v>
      </c>
      <c r="AQ195" s="178">
        <f t="shared" si="91"/>
        <v>1240425</v>
      </c>
      <c r="AR195" s="178"/>
      <c r="AS195" s="178">
        <f t="shared" si="96"/>
        <v>6125219</v>
      </c>
      <c r="AT195" s="469" t="str">
        <f t="shared" si="77"/>
        <v>177</v>
      </c>
      <c r="AU195" s="186"/>
      <c r="AV195" s="198" t="s">
        <v>714</v>
      </c>
    </row>
    <row r="196" spans="1:58" s="189" customFormat="1" ht="28.5" customHeight="1" x14ac:dyDescent="0.25">
      <c r="A196" s="168" t="s">
        <v>647</v>
      </c>
      <c r="B196" s="168" t="str">
        <f>VLOOKUP(D196,[1]LuongBC_T01!$B$9:$C$292,2,FALSE)</f>
        <v>0016100006508008</v>
      </c>
      <c r="C196" s="199" t="s">
        <v>910</v>
      </c>
      <c r="D196" s="169" t="s">
        <v>305</v>
      </c>
      <c r="E196" s="263" t="s">
        <v>1260</v>
      </c>
      <c r="F196" s="169" t="s">
        <v>549</v>
      </c>
      <c r="G196" s="200"/>
      <c r="H196" s="170" t="s">
        <v>283</v>
      </c>
      <c r="I196" s="170" t="s">
        <v>283</v>
      </c>
      <c r="J196" s="169" t="s">
        <v>534</v>
      </c>
      <c r="K196" s="170" t="str">
        <f>VLOOKUP(D196,[2]T3!$B$2:$D$328,3,FALSE)</f>
        <v>022354694</v>
      </c>
      <c r="L196" s="171" t="s">
        <v>331</v>
      </c>
      <c r="M196" s="171" t="s">
        <v>910</v>
      </c>
      <c r="N196" s="390" t="s">
        <v>807</v>
      </c>
      <c r="O196" s="172" t="s">
        <v>692</v>
      </c>
      <c r="P196" s="173">
        <v>3</v>
      </c>
      <c r="Q196" s="174">
        <v>3.66</v>
      </c>
      <c r="R196" s="176">
        <f t="shared" si="80"/>
        <v>0.4758</v>
      </c>
      <c r="S196" s="370"/>
      <c r="T196" s="176">
        <f t="shared" si="81"/>
        <v>0</v>
      </c>
      <c r="U196" s="175">
        <f t="shared" si="79"/>
        <v>0</v>
      </c>
      <c r="V196" s="170"/>
      <c r="W196" s="179">
        <f>VLOOKUP(D196,[3]BC!$D$14:$W$287,20,FALSE)</f>
        <v>0.13</v>
      </c>
      <c r="X196" s="216">
        <f t="shared" si="82"/>
        <v>0.4758</v>
      </c>
      <c r="Y196" s="216">
        <f t="shared" si="83"/>
        <v>4.1357999999999997</v>
      </c>
      <c r="Z196" s="180">
        <f t="shared" si="84"/>
        <v>6162342</v>
      </c>
      <c r="AA196" s="180"/>
      <c r="AB196" s="180">
        <f t="shared" si="97"/>
        <v>0</v>
      </c>
      <c r="AC196" s="180">
        <f t="shared" si="98"/>
        <v>0</v>
      </c>
      <c r="AD196" s="180">
        <f t="shared" si="85"/>
        <v>6162342</v>
      </c>
      <c r="AE196" s="178">
        <f t="shared" si="86"/>
        <v>492987.36</v>
      </c>
      <c r="AF196" s="178">
        <f t="shared" si="87"/>
        <v>92435.12999999999</v>
      </c>
      <c r="AG196" s="178">
        <f t="shared" si="88"/>
        <v>61623.42</v>
      </c>
      <c r="AH196" s="178"/>
      <c r="AI196" s="178">
        <f t="shared" si="89"/>
        <v>647045.91</v>
      </c>
      <c r="AJ196" s="192"/>
      <c r="AK196" s="182">
        <f t="shared" si="90"/>
        <v>0</v>
      </c>
      <c r="AL196" s="182"/>
      <c r="AM196" s="182"/>
      <c r="AN196" s="193">
        <f t="shared" si="95"/>
        <v>3.66</v>
      </c>
      <c r="AO196" s="246">
        <v>0.25</v>
      </c>
      <c r="AP196" s="194">
        <f t="shared" si="94"/>
        <v>0.91500000000000004</v>
      </c>
      <c r="AQ196" s="178">
        <f t="shared" si="91"/>
        <v>1363350</v>
      </c>
      <c r="AR196" s="178"/>
      <c r="AS196" s="178">
        <f t="shared" si="96"/>
        <v>6878646</v>
      </c>
      <c r="AT196" s="469" t="str">
        <f t="shared" si="77"/>
        <v>178</v>
      </c>
      <c r="AU196" s="195"/>
      <c r="AV196" s="187" t="s">
        <v>711</v>
      </c>
    </row>
    <row r="197" spans="1:58" s="189" customFormat="1" ht="26.25" customHeight="1" x14ac:dyDescent="0.25">
      <c r="A197" s="168" t="s">
        <v>467</v>
      </c>
      <c r="B197" s="682" t="str">
        <f>VLOOKUP(D197,[1]LuongBC_T01!$B$9:$C$292,2,FALSE)</f>
        <v>0016100006772007</v>
      </c>
      <c r="C197" s="703" t="s">
        <v>943</v>
      </c>
      <c r="D197" s="683" t="s">
        <v>815</v>
      </c>
      <c r="E197" s="684" t="s">
        <v>1094</v>
      </c>
      <c r="F197" s="683"/>
      <c r="G197" s="685"/>
      <c r="H197" s="685"/>
      <c r="I197" s="685"/>
      <c r="J197" s="683"/>
      <c r="K197" s="685" t="str">
        <f>VLOOKUP(D197,[2]T3!$B$2:$D$328,3,FALSE)</f>
        <v>025013400</v>
      </c>
      <c r="L197" s="707"/>
      <c r="M197" s="707" t="s">
        <v>943</v>
      </c>
      <c r="N197" s="686" t="s">
        <v>807</v>
      </c>
      <c r="O197" s="708" t="s">
        <v>692</v>
      </c>
      <c r="P197" s="687">
        <v>3</v>
      </c>
      <c r="Q197" s="689">
        <v>3.33</v>
      </c>
      <c r="R197" s="690">
        <f t="shared" si="80"/>
        <v>0.2331</v>
      </c>
      <c r="S197" s="691"/>
      <c r="T197" s="690">
        <f t="shared" si="81"/>
        <v>0</v>
      </c>
      <c r="U197" s="692">
        <f t="shared" si="79"/>
        <v>0</v>
      </c>
      <c r="V197" s="685"/>
      <c r="W197" s="693">
        <v>7.0000000000000007E-2</v>
      </c>
      <c r="X197" s="694">
        <f t="shared" si="82"/>
        <v>0.2331</v>
      </c>
      <c r="Y197" s="694">
        <f t="shared" si="83"/>
        <v>3.5630999999999999</v>
      </c>
      <c r="Z197" s="695">
        <f t="shared" si="84"/>
        <v>5309019</v>
      </c>
      <c r="AA197" s="695"/>
      <c r="AB197" s="695">
        <f t="shared" si="97"/>
        <v>0</v>
      </c>
      <c r="AC197" s="695">
        <f t="shared" si="98"/>
        <v>0</v>
      </c>
      <c r="AD197" s="695">
        <f t="shared" si="85"/>
        <v>5309019</v>
      </c>
      <c r="AE197" s="696">
        <f t="shared" si="86"/>
        <v>424721.52</v>
      </c>
      <c r="AF197" s="696">
        <f t="shared" si="87"/>
        <v>79635.285000000003</v>
      </c>
      <c r="AG197" s="696">
        <f t="shared" si="88"/>
        <v>53090.19</v>
      </c>
      <c r="AH197" s="696"/>
      <c r="AI197" s="696">
        <f t="shared" si="89"/>
        <v>557446.99500000011</v>
      </c>
      <c r="AJ197" s="701"/>
      <c r="AK197" s="697">
        <f t="shared" si="90"/>
        <v>0</v>
      </c>
      <c r="AL197" s="697"/>
      <c r="AM197" s="697"/>
      <c r="AN197" s="706">
        <f t="shared" si="95"/>
        <v>3.33</v>
      </c>
      <c r="AO197" s="702">
        <v>0.25</v>
      </c>
      <c r="AP197" s="704">
        <f t="shared" si="94"/>
        <v>0.83250000000000002</v>
      </c>
      <c r="AQ197" s="696">
        <f t="shared" si="91"/>
        <v>1240425</v>
      </c>
      <c r="AR197" s="696"/>
      <c r="AS197" s="696">
        <f t="shared" si="96"/>
        <v>5991997</v>
      </c>
      <c r="AT197" s="698" t="str">
        <f t="shared" si="77"/>
        <v>179</v>
      </c>
      <c r="AU197" s="709"/>
      <c r="AV197" s="242"/>
      <c r="AW197" s="29"/>
      <c r="AX197" s="29"/>
      <c r="AY197" s="29"/>
      <c r="AZ197" s="29"/>
      <c r="BA197" s="29"/>
      <c r="BB197" s="29"/>
      <c r="BC197" s="29"/>
      <c r="BD197" s="29"/>
      <c r="BE197" s="29"/>
      <c r="BF197" s="29"/>
    </row>
    <row r="198" spans="1:58" s="189" customFormat="1" ht="25.5" x14ac:dyDescent="0.25">
      <c r="A198" s="168" t="s">
        <v>468</v>
      </c>
      <c r="B198" s="168" t="str">
        <f>VLOOKUP(D198,[1]LuongBC_T01!$B$9:$C$292,2,FALSE)</f>
        <v>0016100006762004</v>
      </c>
      <c r="C198" s="199" t="s">
        <v>944</v>
      </c>
      <c r="D198" s="169" t="s">
        <v>822</v>
      </c>
      <c r="E198" s="263" t="s">
        <v>1260</v>
      </c>
      <c r="F198" s="169"/>
      <c r="G198" s="170"/>
      <c r="H198" s="170"/>
      <c r="I198" s="170"/>
      <c r="J198" s="169"/>
      <c r="K198" s="170" t="str">
        <f>VLOOKUP(D198,[2]T3!$B$2:$D$328,3,FALSE)</f>
        <v>024999755</v>
      </c>
      <c r="L198" s="249"/>
      <c r="M198" s="249" t="s">
        <v>944</v>
      </c>
      <c r="N198" s="390" t="s">
        <v>1438</v>
      </c>
      <c r="O198" s="222" t="s">
        <v>692</v>
      </c>
      <c r="P198" s="172">
        <v>3</v>
      </c>
      <c r="Q198" s="174">
        <v>3.33</v>
      </c>
      <c r="R198" s="176">
        <f t="shared" si="80"/>
        <v>0.36630000000000001</v>
      </c>
      <c r="S198" s="370"/>
      <c r="T198" s="176">
        <f t="shared" si="81"/>
        <v>0</v>
      </c>
      <c r="U198" s="175">
        <f t="shared" si="79"/>
        <v>0</v>
      </c>
      <c r="V198" s="170"/>
      <c r="W198" s="179">
        <v>0.11</v>
      </c>
      <c r="X198" s="216">
        <f t="shared" si="82"/>
        <v>0.36630000000000001</v>
      </c>
      <c r="Y198" s="216">
        <f t="shared" si="83"/>
        <v>3.6962999999999999</v>
      </c>
      <c r="Z198" s="180">
        <f t="shared" si="84"/>
        <v>5507487</v>
      </c>
      <c r="AA198" s="180"/>
      <c r="AB198" s="180">
        <f t="shared" si="97"/>
        <v>0</v>
      </c>
      <c r="AC198" s="180">
        <f t="shared" si="98"/>
        <v>0</v>
      </c>
      <c r="AD198" s="180">
        <f t="shared" si="85"/>
        <v>5507487</v>
      </c>
      <c r="AE198" s="178">
        <f t="shared" si="86"/>
        <v>440598.96</v>
      </c>
      <c r="AF198" s="178">
        <f t="shared" si="87"/>
        <v>82612.304999999993</v>
      </c>
      <c r="AG198" s="178">
        <f t="shared" si="88"/>
        <v>55074.87</v>
      </c>
      <c r="AH198" s="178"/>
      <c r="AI198" s="178">
        <f t="shared" si="89"/>
        <v>578286.13500000001</v>
      </c>
      <c r="AJ198" s="192"/>
      <c r="AK198" s="182">
        <f t="shared" si="90"/>
        <v>0</v>
      </c>
      <c r="AL198" s="182"/>
      <c r="AM198" s="182"/>
      <c r="AN198" s="193">
        <f t="shared" si="95"/>
        <v>3.33</v>
      </c>
      <c r="AO198" s="246">
        <v>0.25</v>
      </c>
      <c r="AP198" s="194">
        <f t="shared" si="94"/>
        <v>0.83250000000000002</v>
      </c>
      <c r="AQ198" s="178">
        <f t="shared" si="91"/>
        <v>1240425</v>
      </c>
      <c r="AR198" s="178"/>
      <c r="AS198" s="178">
        <f t="shared" si="96"/>
        <v>6169626</v>
      </c>
      <c r="AT198" s="469" t="str">
        <f t="shared" si="77"/>
        <v>180</v>
      </c>
      <c r="AU198" s="244"/>
      <c r="AV198" s="242"/>
    </row>
    <row r="199" spans="1:58" s="189" customFormat="1" ht="33.75" customHeight="1" x14ac:dyDescent="0.25">
      <c r="A199" s="168" t="s">
        <v>469</v>
      </c>
      <c r="B199" s="168" t="str">
        <f>VLOOKUP(D199,[1]LuongBC_T01!$B$9:$C$292,2,FALSE)</f>
        <v>0016100006605006</v>
      </c>
      <c r="C199" s="199" t="s">
        <v>947</v>
      </c>
      <c r="D199" s="169" t="s">
        <v>816</v>
      </c>
      <c r="E199" s="263" t="s">
        <v>1259</v>
      </c>
      <c r="F199" s="169"/>
      <c r="G199" s="170" t="s">
        <v>25</v>
      </c>
      <c r="H199" s="170"/>
      <c r="I199" s="170"/>
      <c r="J199" s="169"/>
      <c r="K199" s="170" t="str">
        <f>VLOOKUP(D199,[2]T3!$B$2:$D$328,3,FALSE)</f>
        <v>025180149</v>
      </c>
      <c r="L199" s="249"/>
      <c r="M199" s="249" t="s">
        <v>947</v>
      </c>
      <c r="N199" s="390" t="s">
        <v>1438</v>
      </c>
      <c r="O199" s="222" t="s">
        <v>692</v>
      </c>
      <c r="P199" s="172">
        <v>3</v>
      </c>
      <c r="Q199" s="174">
        <v>3.33</v>
      </c>
      <c r="R199" s="176">
        <f t="shared" si="80"/>
        <v>0.4662</v>
      </c>
      <c r="S199" s="370"/>
      <c r="T199" s="176">
        <f t="shared" si="81"/>
        <v>0</v>
      </c>
      <c r="U199" s="175">
        <f t="shared" si="79"/>
        <v>0</v>
      </c>
      <c r="V199" s="170"/>
      <c r="W199" s="179">
        <f>VLOOKUP(D199,[3]BC!$D$14:$W$287,20,FALSE)</f>
        <v>0.14000000000000001</v>
      </c>
      <c r="X199" s="216">
        <f t="shared" si="82"/>
        <v>0.4662</v>
      </c>
      <c r="Y199" s="216">
        <f t="shared" si="83"/>
        <v>3.7962000000000002</v>
      </c>
      <c r="Z199" s="180">
        <f t="shared" si="84"/>
        <v>5656338</v>
      </c>
      <c r="AA199" s="180"/>
      <c r="AB199" s="180">
        <f t="shared" si="97"/>
        <v>0</v>
      </c>
      <c r="AC199" s="180"/>
      <c r="AD199" s="180">
        <f t="shared" si="85"/>
        <v>5656338</v>
      </c>
      <c r="AE199" s="178">
        <f t="shared" si="86"/>
        <v>452507.04000000004</v>
      </c>
      <c r="AF199" s="178">
        <f t="shared" si="87"/>
        <v>84845.069999999992</v>
      </c>
      <c r="AG199" s="178">
        <f t="shared" si="88"/>
        <v>56563.380000000005</v>
      </c>
      <c r="AH199" s="178"/>
      <c r="AI199" s="178">
        <f t="shared" si="89"/>
        <v>593915.49</v>
      </c>
      <c r="AJ199" s="192"/>
      <c r="AK199" s="182">
        <f t="shared" si="90"/>
        <v>0</v>
      </c>
      <c r="AL199" s="182"/>
      <c r="AM199" s="182"/>
      <c r="AN199" s="193">
        <f t="shared" si="95"/>
        <v>3.33</v>
      </c>
      <c r="AO199" s="246">
        <v>0.25</v>
      </c>
      <c r="AP199" s="194">
        <f t="shared" si="94"/>
        <v>0.83250000000000002</v>
      </c>
      <c r="AQ199" s="178">
        <f t="shared" si="91"/>
        <v>1240425</v>
      </c>
      <c r="AR199" s="178"/>
      <c r="AS199" s="178">
        <f t="shared" si="96"/>
        <v>6302848</v>
      </c>
      <c r="AT199" s="469" t="str">
        <f t="shared" si="77"/>
        <v>181</v>
      </c>
      <c r="AU199" s="244"/>
      <c r="AV199" s="242"/>
      <c r="AW199" s="29"/>
      <c r="AX199" s="29"/>
      <c r="AY199" s="29"/>
      <c r="AZ199" s="29"/>
      <c r="BA199" s="29"/>
      <c r="BB199" s="29"/>
      <c r="BC199" s="29"/>
      <c r="BD199" s="29"/>
      <c r="BE199" s="29"/>
      <c r="BF199" s="29"/>
    </row>
    <row r="200" spans="1:58" s="189" customFormat="1" ht="23.25" customHeight="1" x14ac:dyDescent="0.25">
      <c r="A200" s="168" t="s">
        <v>470</v>
      </c>
      <c r="B200" s="168" t="str">
        <f>VLOOKUP(D200,[1]LuongBC_T01!$B$9:$C$292,2,FALSE)</f>
        <v>0016100006789007</v>
      </c>
      <c r="C200" s="199" t="s">
        <v>965</v>
      </c>
      <c r="D200" s="169" t="s">
        <v>1222</v>
      </c>
      <c r="E200" s="263" t="s">
        <v>1094</v>
      </c>
      <c r="F200" s="169" t="s">
        <v>550</v>
      </c>
      <c r="G200" s="200" t="s">
        <v>25</v>
      </c>
      <c r="H200" s="200" t="s">
        <v>283</v>
      </c>
      <c r="I200" s="200" t="s">
        <v>283</v>
      </c>
      <c r="J200" s="200"/>
      <c r="K200" s="168" t="s">
        <v>1339</v>
      </c>
      <c r="L200" s="201" t="s">
        <v>672</v>
      </c>
      <c r="M200" s="201" t="s">
        <v>965</v>
      </c>
      <c r="N200" s="391" t="s">
        <v>807</v>
      </c>
      <c r="O200" s="222" t="s">
        <v>692</v>
      </c>
      <c r="P200" s="172">
        <v>4</v>
      </c>
      <c r="Q200" s="430">
        <v>3.66</v>
      </c>
      <c r="R200" s="176">
        <f t="shared" si="80"/>
        <v>0.40260000000000001</v>
      </c>
      <c r="S200" s="220"/>
      <c r="T200" s="176">
        <f t="shared" si="81"/>
        <v>0</v>
      </c>
      <c r="U200" s="175">
        <f t="shared" si="79"/>
        <v>0</v>
      </c>
      <c r="V200" s="170"/>
      <c r="W200" s="179">
        <f>VLOOKUP(D200,[3]BC!$D$14:$W$287,20,FALSE)</f>
        <v>0.11</v>
      </c>
      <c r="X200" s="216">
        <f t="shared" si="82"/>
        <v>0.40260000000000001</v>
      </c>
      <c r="Y200" s="216">
        <f t="shared" si="83"/>
        <v>4.0625999999999998</v>
      </c>
      <c r="Z200" s="180">
        <f t="shared" si="84"/>
        <v>6053274</v>
      </c>
      <c r="AA200" s="180"/>
      <c r="AB200" s="180">
        <f t="shared" si="97"/>
        <v>0</v>
      </c>
      <c r="AC200" s="180">
        <f>Z200/24*AA200*75%</f>
        <v>0</v>
      </c>
      <c r="AD200" s="180">
        <f t="shared" si="85"/>
        <v>6053274</v>
      </c>
      <c r="AE200" s="178">
        <f t="shared" si="86"/>
        <v>484261.92</v>
      </c>
      <c r="AF200" s="178">
        <f t="shared" si="87"/>
        <v>90799.11</v>
      </c>
      <c r="AG200" s="178">
        <f t="shared" si="88"/>
        <v>60532.74</v>
      </c>
      <c r="AH200" s="178"/>
      <c r="AI200" s="178">
        <f t="shared" si="89"/>
        <v>635593.77</v>
      </c>
      <c r="AJ200" s="192"/>
      <c r="AK200" s="182">
        <f t="shared" si="90"/>
        <v>0</v>
      </c>
      <c r="AL200" s="182"/>
      <c r="AM200" s="182"/>
      <c r="AN200" s="193">
        <f t="shared" si="95"/>
        <v>3.66</v>
      </c>
      <c r="AO200" s="246">
        <v>0.25</v>
      </c>
      <c r="AP200" s="194">
        <f t="shared" si="94"/>
        <v>0.91500000000000004</v>
      </c>
      <c r="AQ200" s="178">
        <f t="shared" si="91"/>
        <v>1363350</v>
      </c>
      <c r="AR200" s="178"/>
      <c r="AS200" s="178">
        <f t="shared" si="96"/>
        <v>6781030</v>
      </c>
      <c r="AT200" s="469" t="str">
        <f t="shared" si="77"/>
        <v>182</v>
      </c>
      <c r="AU200" s="195"/>
      <c r="AV200" s="187" t="s">
        <v>710</v>
      </c>
    </row>
    <row r="201" spans="1:58" s="189" customFormat="1" ht="29.25" customHeight="1" x14ac:dyDescent="0.25">
      <c r="A201" s="168" t="s">
        <v>471</v>
      </c>
      <c r="B201" s="168" t="str">
        <f>VLOOKUP(D201,[1]LuongBC_T01!$B$9:$C$292,2,FALSE)</f>
        <v>0016100006752009</v>
      </c>
      <c r="C201" s="199" t="s">
        <v>863</v>
      </c>
      <c r="D201" s="169" t="s">
        <v>64</v>
      </c>
      <c r="E201" s="263" t="s">
        <v>1374</v>
      </c>
      <c r="F201" s="169" t="s">
        <v>549</v>
      </c>
      <c r="G201" s="200"/>
      <c r="H201" s="200" t="s">
        <v>283</v>
      </c>
      <c r="I201" s="170" t="s">
        <v>283</v>
      </c>
      <c r="J201" s="169" t="s">
        <v>247</v>
      </c>
      <c r="K201" s="168" t="s">
        <v>1364</v>
      </c>
      <c r="L201" s="171" t="s">
        <v>147</v>
      </c>
      <c r="M201" s="171" t="s">
        <v>863</v>
      </c>
      <c r="N201" s="390" t="s">
        <v>807</v>
      </c>
      <c r="O201" s="172" t="s">
        <v>692</v>
      </c>
      <c r="P201" s="173">
        <v>4</v>
      </c>
      <c r="Q201" s="174">
        <v>3.66</v>
      </c>
      <c r="R201" s="176">
        <f t="shared" si="80"/>
        <v>0.43919999999999998</v>
      </c>
      <c r="S201" s="370"/>
      <c r="T201" s="176">
        <f t="shared" si="81"/>
        <v>0</v>
      </c>
      <c r="U201" s="175">
        <f t="shared" si="79"/>
        <v>0</v>
      </c>
      <c r="V201" s="170"/>
      <c r="W201" s="179">
        <v>0.12</v>
      </c>
      <c r="X201" s="216">
        <f t="shared" si="82"/>
        <v>0.43919999999999998</v>
      </c>
      <c r="Y201" s="216">
        <f t="shared" si="83"/>
        <v>4.0991999999999997</v>
      </c>
      <c r="Z201" s="180">
        <f t="shared" si="84"/>
        <v>6107808</v>
      </c>
      <c r="AA201" s="180"/>
      <c r="AB201" s="180">
        <f t="shared" si="92"/>
        <v>0</v>
      </c>
      <c r="AC201" s="180">
        <f t="shared" si="93"/>
        <v>0</v>
      </c>
      <c r="AD201" s="180">
        <f t="shared" si="85"/>
        <v>6107808</v>
      </c>
      <c r="AE201" s="178">
        <f t="shared" si="86"/>
        <v>488624.64000000001</v>
      </c>
      <c r="AF201" s="178">
        <f t="shared" si="87"/>
        <v>91617.12</v>
      </c>
      <c r="AG201" s="178">
        <f t="shared" si="88"/>
        <v>61078.080000000002</v>
      </c>
      <c r="AH201" s="178"/>
      <c r="AI201" s="178">
        <f t="shared" si="89"/>
        <v>641319.84</v>
      </c>
      <c r="AJ201" s="192"/>
      <c r="AK201" s="182">
        <f t="shared" si="90"/>
        <v>0</v>
      </c>
      <c r="AL201" s="182"/>
      <c r="AM201" s="182"/>
      <c r="AN201" s="193">
        <f t="shared" si="95"/>
        <v>3.66</v>
      </c>
      <c r="AO201" s="246">
        <v>0.25</v>
      </c>
      <c r="AP201" s="194">
        <f t="shared" si="94"/>
        <v>0.91500000000000004</v>
      </c>
      <c r="AQ201" s="178">
        <f t="shared" si="91"/>
        <v>1363350</v>
      </c>
      <c r="AR201" s="178"/>
      <c r="AS201" s="178">
        <f t="shared" si="96"/>
        <v>6829838</v>
      </c>
      <c r="AT201" s="469" t="str">
        <f t="shared" si="77"/>
        <v>183</v>
      </c>
      <c r="AU201" s="186"/>
      <c r="AV201" s="187" t="s">
        <v>709</v>
      </c>
    </row>
    <row r="202" spans="1:58" s="189" customFormat="1" ht="24.75" customHeight="1" x14ac:dyDescent="0.25">
      <c r="A202" s="168" t="s">
        <v>472</v>
      </c>
      <c r="B202" s="168" t="str">
        <f>VLOOKUP(D202,[1]LuongBC_T01!$B$9:$C$292,2,FALSE)</f>
        <v>0016100006791004</v>
      </c>
      <c r="C202" s="199" t="s">
        <v>970</v>
      </c>
      <c r="D202" s="169" t="s">
        <v>66</v>
      </c>
      <c r="E202" s="263" t="s">
        <v>1260</v>
      </c>
      <c r="F202" s="169" t="s">
        <v>549</v>
      </c>
      <c r="G202" s="200"/>
      <c r="H202" s="170" t="s">
        <v>283</v>
      </c>
      <c r="I202" s="170" t="s">
        <v>283</v>
      </c>
      <c r="J202" s="169" t="s">
        <v>244</v>
      </c>
      <c r="K202" s="170" t="str">
        <f>VLOOKUP(D202,[2]T3!$B$2:$D$328,3,FALSE)</f>
        <v>024723439</v>
      </c>
      <c r="L202" s="171" t="s">
        <v>138</v>
      </c>
      <c r="M202" s="171" t="s">
        <v>970</v>
      </c>
      <c r="N202" s="390" t="s">
        <v>807</v>
      </c>
      <c r="O202" s="172" t="s">
        <v>692</v>
      </c>
      <c r="P202" s="173">
        <v>4</v>
      </c>
      <c r="Q202" s="174">
        <v>3.66</v>
      </c>
      <c r="R202" s="176">
        <f t="shared" si="80"/>
        <v>0.43919999999999998</v>
      </c>
      <c r="S202" s="370"/>
      <c r="T202" s="176">
        <f t="shared" si="81"/>
        <v>0</v>
      </c>
      <c r="U202" s="175">
        <f t="shared" si="79"/>
        <v>0</v>
      </c>
      <c r="V202" s="170"/>
      <c r="W202" s="179">
        <v>0.12</v>
      </c>
      <c r="X202" s="216">
        <f t="shared" si="82"/>
        <v>0.43919999999999998</v>
      </c>
      <c r="Y202" s="216">
        <f t="shared" si="83"/>
        <v>4.0991999999999997</v>
      </c>
      <c r="Z202" s="180">
        <f t="shared" si="84"/>
        <v>6107808</v>
      </c>
      <c r="AA202" s="180"/>
      <c r="AB202" s="180">
        <f t="shared" si="92"/>
        <v>0</v>
      </c>
      <c r="AC202" s="180">
        <f t="shared" si="93"/>
        <v>0</v>
      </c>
      <c r="AD202" s="180">
        <f t="shared" si="85"/>
        <v>6107808</v>
      </c>
      <c r="AE202" s="178">
        <f t="shared" si="86"/>
        <v>488624.64000000001</v>
      </c>
      <c r="AF202" s="178">
        <f t="shared" si="87"/>
        <v>91617.12</v>
      </c>
      <c r="AG202" s="178">
        <f t="shared" si="88"/>
        <v>61078.080000000002</v>
      </c>
      <c r="AH202" s="178"/>
      <c r="AI202" s="178">
        <f t="shared" si="89"/>
        <v>641319.84</v>
      </c>
      <c r="AJ202" s="192"/>
      <c r="AK202" s="182">
        <f t="shared" si="90"/>
        <v>0</v>
      </c>
      <c r="AL202" s="182"/>
      <c r="AM202" s="182"/>
      <c r="AN202" s="193">
        <f t="shared" si="95"/>
        <v>3.66</v>
      </c>
      <c r="AO202" s="246">
        <v>0.25</v>
      </c>
      <c r="AP202" s="194">
        <f t="shared" si="94"/>
        <v>0.91500000000000004</v>
      </c>
      <c r="AQ202" s="178">
        <f t="shared" si="91"/>
        <v>1363350</v>
      </c>
      <c r="AR202" s="178"/>
      <c r="AS202" s="178">
        <f t="shared" si="96"/>
        <v>6829838</v>
      </c>
      <c r="AT202" s="469" t="str">
        <f t="shared" si="77"/>
        <v>184</v>
      </c>
      <c r="AU202" s="186"/>
      <c r="AV202" s="198" t="s">
        <v>711</v>
      </c>
    </row>
    <row r="203" spans="1:58" s="189" customFormat="1" ht="24.75" customHeight="1" x14ac:dyDescent="0.25">
      <c r="A203" s="168" t="s">
        <v>473</v>
      </c>
      <c r="B203" s="168" t="str">
        <f>VLOOKUP(D203,[1]LuongBC_T01!$B$9:$C$292,2,FALSE)</f>
        <v>0016100006621001</v>
      </c>
      <c r="C203" s="199" t="s">
        <v>973</v>
      </c>
      <c r="D203" s="169" t="s">
        <v>67</v>
      </c>
      <c r="E203" s="263" t="s">
        <v>1094</v>
      </c>
      <c r="F203" s="169" t="s">
        <v>549</v>
      </c>
      <c r="G203" s="200" t="s">
        <v>25</v>
      </c>
      <c r="H203" s="200" t="s">
        <v>283</v>
      </c>
      <c r="I203" s="170" t="s">
        <v>283</v>
      </c>
      <c r="J203" s="169" t="s">
        <v>249</v>
      </c>
      <c r="K203" s="170" t="str">
        <f>VLOOKUP(D203,[2]T3!$B$2:$D$328,3,FALSE)</f>
        <v>024906495</v>
      </c>
      <c r="L203" s="171" t="s">
        <v>116</v>
      </c>
      <c r="M203" s="171" t="s">
        <v>973</v>
      </c>
      <c r="N203" s="390" t="s">
        <v>807</v>
      </c>
      <c r="O203" s="172" t="s">
        <v>692</v>
      </c>
      <c r="P203" s="173">
        <v>4</v>
      </c>
      <c r="Q203" s="174">
        <v>3.66</v>
      </c>
      <c r="R203" s="176">
        <f t="shared" si="80"/>
        <v>0.43919999999999998</v>
      </c>
      <c r="S203" s="370"/>
      <c r="T203" s="176">
        <f t="shared" si="81"/>
        <v>0</v>
      </c>
      <c r="U203" s="175">
        <f t="shared" si="79"/>
        <v>0</v>
      </c>
      <c r="V203" s="170"/>
      <c r="W203" s="179">
        <v>0.12</v>
      </c>
      <c r="X203" s="216">
        <f t="shared" si="82"/>
        <v>0.43919999999999998</v>
      </c>
      <c r="Y203" s="216">
        <f t="shared" si="83"/>
        <v>4.0991999999999997</v>
      </c>
      <c r="Z203" s="180">
        <f t="shared" si="84"/>
        <v>6107808</v>
      </c>
      <c r="AA203" s="180"/>
      <c r="AB203" s="180">
        <f t="shared" si="92"/>
        <v>0</v>
      </c>
      <c r="AC203" s="180">
        <f t="shared" si="93"/>
        <v>0</v>
      </c>
      <c r="AD203" s="180">
        <f t="shared" si="85"/>
        <v>6107808</v>
      </c>
      <c r="AE203" s="178">
        <f t="shared" si="86"/>
        <v>488624.64000000001</v>
      </c>
      <c r="AF203" s="178">
        <f t="shared" si="87"/>
        <v>91617.12</v>
      </c>
      <c r="AG203" s="178">
        <f t="shared" si="88"/>
        <v>61078.080000000002</v>
      </c>
      <c r="AH203" s="178"/>
      <c r="AI203" s="178">
        <f t="shared" si="89"/>
        <v>641319.84</v>
      </c>
      <c r="AJ203" s="192"/>
      <c r="AK203" s="182">
        <f t="shared" si="90"/>
        <v>0</v>
      </c>
      <c r="AL203" s="182"/>
      <c r="AM203" s="182"/>
      <c r="AN203" s="193">
        <f t="shared" si="95"/>
        <v>3.66</v>
      </c>
      <c r="AO203" s="246">
        <v>0.25</v>
      </c>
      <c r="AP203" s="194">
        <f t="shared" si="94"/>
        <v>0.91500000000000004</v>
      </c>
      <c r="AQ203" s="178">
        <f t="shared" si="91"/>
        <v>1363350</v>
      </c>
      <c r="AR203" s="178"/>
      <c r="AS203" s="178">
        <f t="shared" si="96"/>
        <v>6829838</v>
      </c>
      <c r="AT203" s="469" t="str">
        <f t="shared" si="77"/>
        <v>185</v>
      </c>
      <c r="AU203" s="186"/>
      <c r="AV203" s="187" t="s">
        <v>710</v>
      </c>
    </row>
    <row r="204" spans="1:58" s="189" customFormat="1" ht="24.75" customHeight="1" x14ac:dyDescent="0.25">
      <c r="A204" s="168" t="s">
        <v>474</v>
      </c>
      <c r="B204" s="168" t="str">
        <f>VLOOKUP(D204,[1]LuongBC_T01!$B$9:$C$292,2,FALSE)</f>
        <v>0016100006624008</v>
      </c>
      <c r="C204" s="199" t="s">
        <v>974</v>
      </c>
      <c r="D204" s="169" t="s">
        <v>312</v>
      </c>
      <c r="E204" s="263" t="s">
        <v>1094</v>
      </c>
      <c r="F204" s="169" t="s">
        <v>549</v>
      </c>
      <c r="G204" s="200"/>
      <c r="H204" s="200" t="s">
        <v>283</v>
      </c>
      <c r="I204" s="170" t="s">
        <v>283</v>
      </c>
      <c r="J204" s="169" t="s">
        <v>542</v>
      </c>
      <c r="K204" s="168" t="s">
        <v>1340</v>
      </c>
      <c r="L204" s="171" t="s">
        <v>325</v>
      </c>
      <c r="M204" s="171" t="s">
        <v>974</v>
      </c>
      <c r="N204" s="390" t="s">
        <v>807</v>
      </c>
      <c r="O204" s="172" t="s">
        <v>692</v>
      </c>
      <c r="P204" s="173">
        <v>3</v>
      </c>
      <c r="Q204" s="174">
        <v>3.33</v>
      </c>
      <c r="R204" s="176">
        <f t="shared" si="80"/>
        <v>0.43290000000000001</v>
      </c>
      <c r="S204" s="370"/>
      <c r="T204" s="176">
        <f t="shared" si="81"/>
        <v>0</v>
      </c>
      <c r="U204" s="175">
        <f t="shared" si="79"/>
        <v>0</v>
      </c>
      <c r="V204" s="170"/>
      <c r="W204" s="179">
        <v>0.13</v>
      </c>
      <c r="X204" s="216">
        <f t="shared" si="82"/>
        <v>0.43290000000000001</v>
      </c>
      <c r="Y204" s="216">
        <f t="shared" si="83"/>
        <v>3.7629000000000001</v>
      </c>
      <c r="Z204" s="180">
        <f t="shared" si="84"/>
        <v>5606721</v>
      </c>
      <c r="AA204" s="180"/>
      <c r="AB204" s="180">
        <f t="shared" si="92"/>
        <v>0</v>
      </c>
      <c r="AC204" s="180">
        <f t="shared" si="93"/>
        <v>0</v>
      </c>
      <c r="AD204" s="180">
        <f t="shared" si="85"/>
        <v>5606721</v>
      </c>
      <c r="AE204" s="178">
        <f t="shared" si="86"/>
        <v>448537.68</v>
      </c>
      <c r="AF204" s="178">
        <f t="shared" si="87"/>
        <v>84100.815000000002</v>
      </c>
      <c r="AG204" s="178">
        <f t="shared" si="88"/>
        <v>56067.21</v>
      </c>
      <c r="AH204" s="178"/>
      <c r="AI204" s="178">
        <f t="shared" si="89"/>
        <v>588705.70499999996</v>
      </c>
      <c r="AJ204" s="192"/>
      <c r="AK204" s="182">
        <f t="shared" si="90"/>
        <v>0</v>
      </c>
      <c r="AL204" s="182"/>
      <c r="AM204" s="182"/>
      <c r="AN204" s="193">
        <f t="shared" si="95"/>
        <v>3.33</v>
      </c>
      <c r="AO204" s="246">
        <v>0.25</v>
      </c>
      <c r="AP204" s="194">
        <f t="shared" si="94"/>
        <v>0.83250000000000002</v>
      </c>
      <c r="AQ204" s="178">
        <f t="shared" si="91"/>
        <v>1240425</v>
      </c>
      <c r="AR204" s="178"/>
      <c r="AS204" s="178">
        <f t="shared" si="96"/>
        <v>6258440</v>
      </c>
      <c r="AT204" s="469" t="str">
        <f t="shared" si="77"/>
        <v>186</v>
      </c>
      <c r="AU204" s="195"/>
      <c r="AV204" s="187" t="s">
        <v>710</v>
      </c>
    </row>
    <row r="205" spans="1:58" s="189" customFormat="1" ht="25.5" x14ac:dyDescent="0.25">
      <c r="A205" s="168" t="s">
        <v>475</v>
      </c>
      <c r="B205" s="168" t="str">
        <f>VLOOKUP(D205,[1]LuongBC_T01!$B$9:$C$292,2,FALSE)</f>
        <v>0016100006809008</v>
      </c>
      <c r="C205" s="199" t="s">
        <v>975</v>
      </c>
      <c r="D205" s="169" t="s">
        <v>310</v>
      </c>
      <c r="E205" s="263" t="s">
        <v>1260</v>
      </c>
      <c r="F205" s="169" t="s">
        <v>549</v>
      </c>
      <c r="G205" s="200" t="s">
        <v>25</v>
      </c>
      <c r="H205" s="200" t="s">
        <v>283</v>
      </c>
      <c r="I205" s="170" t="s">
        <v>283</v>
      </c>
      <c r="J205" s="169" t="s">
        <v>544</v>
      </c>
      <c r="K205" s="170" t="str">
        <f>VLOOKUP(D205,[2]T3!$B$2:$D$328,3,FALSE)</f>
        <v>025078389</v>
      </c>
      <c r="L205" s="171" t="s">
        <v>335</v>
      </c>
      <c r="M205" s="171" t="s">
        <v>975</v>
      </c>
      <c r="N205" s="390" t="s">
        <v>1438</v>
      </c>
      <c r="O205" s="172" t="s">
        <v>692</v>
      </c>
      <c r="P205" s="173">
        <v>4</v>
      </c>
      <c r="Q205" s="174">
        <v>3.33</v>
      </c>
      <c r="R205" s="176">
        <f t="shared" si="80"/>
        <v>0.43290000000000001</v>
      </c>
      <c r="S205" s="370"/>
      <c r="T205" s="176">
        <f t="shared" si="81"/>
        <v>0</v>
      </c>
      <c r="U205" s="175">
        <f t="shared" si="79"/>
        <v>0</v>
      </c>
      <c r="V205" s="170"/>
      <c r="W205" s="179">
        <f>VLOOKUP(D205,[3]BC!$D$14:$W$287,20,FALSE)</f>
        <v>0.13</v>
      </c>
      <c r="X205" s="216">
        <f t="shared" si="82"/>
        <v>0.43290000000000001</v>
      </c>
      <c r="Y205" s="216">
        <f t="shared" si="83"/>
        <v>3.7629000000000001</v>
      </c>
      <c r="Z205" s="180">
        <f t="shared" si="84"/>
        <v>5606721</v>
      </c>
      <c r="AA205" s="180"/>
      <c r="AB205" s="180">
        <f t="shared" si="92"/>
        <v>0</v>
      </c>
      <c r="AC205" s="180">
        <f t="shared" si="93"/>
        <v>0</v>
      </c>
      <c r="AD205" s="180">
        <f t="shared" si="85"/>
        <v>5606721</v>
      </c>
      <c r="AE205" s="178">
        <f t="shared" si="86"/>
        <v>448537.68</v>
      </c>
      <c r="AF205" s="178">
        <f t="shared" si="87"/>
        <v>84100.815000000002</v>
      </c>
      <c r="AG205" s="178">
        <f t="shared" si="88"/>
        <v>56067.21</v>
      </c>
      <c r="AH205" s="178"/>
      <c r="AI205" s="178">
        <f t="shared" si="89"/>
        <v>588705.70499999996</v>
      </c>
      <c r="AJ205" s="192"/>
      <c r="AK205" s="182">
        <f t="shared" si="90"/>
        <v>0</v>
      </c>
      <c r="AL205" s="182"/>
      <c r="AM205" s="182"/>
      <c r="AN205" s="193">
        <f t="shared" si="95"/>
        <v>3.33</v>
      </c>
      <c r="AO205" s="246">
        <v>0.25</v>
      </c>
      <c r="AP205" s="194">
        <f t="shared" si="94"/>
        <v>0.83250000000000002</v>
      </c>
      <c r="AQ205" s="178">
        <f t="shared" si="91"/>
        <v>1240425</v>
      </c>
      <c r="AR205" s="178"/>
      <c r="AS205" s="178">
        <f t="shared" si="96"/>
        <v>6258440</v>
      </c>
      <c r="AT205" s="469" t="str">
        <f t="shared" si="77"/>
        <v>187</v>
      </c>
      <c r="AU205" s="195"/>
      <c r="AV205" s="187" t="s">
        <v>711</v>
      </c>
      <c r="AW205" s="29"/>
      <c r="AX205" s="29"/>
      <c r="AY205" s="29"/>
      <c r="AZ205" s="29"/>
      <c r="BA205" s="29"/>
      <c r="BB205" s="29"/>
      <c r="BC205" s="29"/>
      <c r="BD205" s="29"/>
      <c r="BE205" s="29"/>
      <c r="BF205" s="29"/>
    </row>
    <row r="206" spans="1:58" s="191" customFormat="1" ht="27.75" customHeight="1" x14ac:dyDescent="0.25">
      <c r="A206" s="168" t="s">
        <v>476</v>
      </c>
      <c r="B206" s="168" t="str">
        <f>VLOOKUP(D206,[1]LuongBC_T01!$B$9:$C$292,2,FALSE)</f>
        <v>0016100006743007</v>
      </c>
      <c r="C206" s="199" t="s">
        <v>979</v>
      </c>
      <c r="D206" s="169" t="s">
        <v>299</v>
      </c>
      <c r="E206" s="263" t="s">
        <v>1377</v>
      </c>
      <c r="F206" s="169" t="s">
        <v>549</v>
      </c>
      <c r="G206" s="200"/>
      <c r="H206" s="200" t="s">
        <v>283</v>
      </c>
      <c r="I206" s="200" t="s">
        <v>283</v>
      </c>
      <c r="J206" s="220" t="s">
        <v>529</v>
      </c>
      <c r="K206" s="170" t="str">
        <f>VLOOKUP(D206,[2]T3!$B$2:$D$328,3,FALSE)</f>
        <v>024520146</v>
      </c>
      <c r="L206" s="241" t="s">
        <v>338</v>
      </c>
      <c r="M206" s="241" t="s">
        <v>979</v>
      </c>
      <c r="N206" s="390" t="s">
        <v>1438</v>
      </c>
      <c r="O206" s="172" t="s">
        <v>692</v>
      </c>
      <c r="P206" s="173">
        <v>3</v>
      </c>
      <c r="Q206" s="174">
        <v>3.33</v>
      </c>
      <c r="R206" s="176">
        <f t="shared" si="80"/>
        <v>0.36630000000000001</v>
      </c>
      <c r="S206" s="377"/>
      <c r="T206" s="176">
        <f t="shared" si="81"/>
        <v>0</v>
      </c>
      <c r="U206" s="175">
        <f t="shared" si="79"/>
        <v>0</v>
      </c>
      <c r="V206" s="200"/>
      <c r="W206" s="179">
        <v>0.11</v>
      </c>
      <c r="X206" s="216">
        <f t="shared" si="82"/>
        <v>0.36630000000000001</v>
      </c>
      <c r="Y206" s="216">
        <f t="shared" si="83"/>
        <v>3.6962999999999999</v>
      </c>
      <c r="Z206" s="180">
        <f t="shared" si="84"/>
        <v>5507487</v>
      </c>
      <c r="AA206" s="180"/>
      <c r="AB206" s="180">
        <f t="shared" si="92"/>
        <v>0</v>
      </c>
      <c r="AC206" s="180">
        <f t="shared" si="93"/>
        <v>0</v>
      </c>
      <c r="AD206" s="180">
        <f t="shared" si="85"/>
        <v>5507487</v>
      </c>
      <c r="AE206" s="178">
        <f t="shared" si="86"/>
        <v>440598.96</v>
      </c>
      <c r="AF206" s="178">
        <f t="shared" si="87"/>
        <v>82612.304999999993</v>
      </c>
      <c r="AG206" s="178">
        <f t="shared" si="88"/>
        <v>55074.87</v>
      </c>
      <c r="AH206" s="178"/>
      <c r="AI206" s="178">
        <f t="shared" si="89"/>
        <v>578286.13500000001</v>
      </c>
      <c r="AJ206" s="181"/>
      <c r="AK206" s="182">
        <f t="shared" si="90"/>
        <v>0</v>
      </c>
      <c r="AL206" s="182"/>
      <c r="AM206" s="182"/>
      <c r="AN206" s="193">
        <f t="shared" si="95"/>
        <v>3.33</v>
      </c>
      <c r="AO206" s="246">
        <v>0.25</v>
      </c>
      <c r="AP206" s="194">
        <f t="shared" si="94"/>
        <v>0.83250000000000002</v>
      </c>
      <c r="AQ206" s="178">
        <f t="shared" si="91"/>
        <v>1240425</v>
      </c>
      <c r="AR206" s="178"/>
      <c r="AS206" s="178">
        <f t="shared" si="96"/>
        <v>6169626</v>
      </c>
      <c r="AT206" s="469" t="str">
        <f t="shared" si="77"/>
        <v>188</v>
      </c>
      <c r="AU206" s="186"/>
      <c r="AV206" s="198" t="s">
        <v>714</v>
      </c>
    </row>
    <row r="207" spans="1:58" s="189" customFormat="1" ht="27.75" customHeight="1" x14ac:dyDescent="0.25">
      <c r="A207" s="168" t="s">
        <v>477</v>
      </c>
      <c r="B207" s="168" t="str">
        <f>VLOOKUP(D207,[1]LuongBC_T01!$B$9:$C$292,2,FALSE)</f>
        <v>0016100006793007</v>
      </c>
      <c r="C207" s="199" t="s">
        <v>978</v>
      </c>
      <c r="D207" s="169" t="s">
        <v>300</v>
      </c>
      <c r="E207" s="263" t="s">
        <v>1374</v>
      </c>
      <c r="F207" s="169" t="s">
        <v>549</v>
      </c>
      <c r="G207" s="200" t="s">
        <v>25</v>
      </c>
      <c r="H207" s="200" t="s">
        <v>283</v>
      </c>
      <c r="I207" s="170" t="s">
        <v>283</v>
      </c>
      <c r="J207" s="169" t="s">
        <v>530</v>
      </c>
      <c r="K207" s="170" t="str">
        <f>VLOOKUP(D207,[2]T3!$B$2:$D$328,3,FALSE)</f>
        <v>024799248</v>
      </c>
      <c r="L207" s="171" t="s">
        <v>330</v>
      </c>
      <c r="M207" s="171" t="s">
        <v>978</v>
      </c>
      <c r="N207" s="390" t="s">
        <v>1438</v>
      </c>
      <c r="O207" s="172" t="s">
        <v>692</v>
      </c>
      <c r="P207" s="173">
        <v>3</v>
      </c>
      <c r="Q207" s="174">
        <v>3.33</v>
      </c>
      <c r="R207" s="176">
        <f t="shared" si="80"/>
        <v>0.36630000000000001</v>
      </c>
      <c r="S207" s="370"/>
      <c r="T207" s="176">
        <f t="shared" si="81"/>
        <v>0</v>
      </c>
      <c r="U207" s="175">
        <f t="shared" si="79"/>
        <v>0</v>
      </c>
      <c r="V207" s="170"/>
      <c r="W207" s="179">
        <v>0.11</v>
      </c>
      <c r="X207" s="216">
        <f t="shared" si="82"/>
        <v>0.36630000000000001</v>
      </c>
      <c r="Y207" s="216">
        <f t="shared" si="83"/>
        <v>3.6962999999999999</v>
      </c>
      <c r="Z207" s="180">
        <f t="shared" si="84"/>
        <v>5507487</v>
      </c>
      <c r="AA207" s="180"/>
      <c r="AB207" s="180">
        <f t="shared" si="92"/>
        <v>0</v>
      </c>
      <c r="AC207" s="180">
        <f t="shared" si="93"/>
        <v>0</v>
      </c>
      <c r="AD207" s="180">
        <f t="shared" si="85"/>
        <v>5507487</v>
      </c>
      <c r="AE207" s="178">
        <f t="shared" si="86"/>
        <v>440598.96</v>
      </c>
      <c r="AF207" s="178">
        <f t="shared" si="87"/>
        <v>82612.304999999993</v>
      </c>
      <c r="AG207" s="178">
        <f t="shared" si="88"/>
        <v>55074.87</v>
      </c>
      <c r="AH207" s="178"/>
      <c r="AI207" s="178">
        <f t="shared" si="89"/>
        <v>578286.13500000001</v>
      </c>
      <c r="AJ207" s="192"/>
      <c r="AK207" s="182">
        <f t="shared" si="90"/>
        <v>0</v>
      </c>
      <c r="AL207" s="182"/>
      <c r="AM207" s="182"/>
      <c r="AN207" s="193">
        <f t="shared" si="95"/>
        <v>3.33</v>
      </c>
      <c r="AO207" s="246">
        <v>0.25</v>
      </c>
      <c r="AP207" s="194">
        <f t="shared" si="94"/>
        <v>0.83250000000000002</v>
      </c>
      <c r="AQ207" s="178">
        <f t="shared" si="91"/>
        <v>1240425</v>
      </c>
      <c r="AR207" s="178"/>
      <c r="AS207" s="178">
        <f t="shared" si="96"/>
        <v>6169626</v>
      </c>
      <c r="AT207" s="469" t="str">
        <f t="shared" si="77"/>
        <v>189</v>
      </c>
      <c r="AU207" s="195"/>
      <c r="AV207" s="198" t="s">
        <v>709</v>
      </c>
    </row>
    <row r="208" spans="1:58" s="189" customFormat="1" ht="27.75" customHeight="1" x14ac:dyDescent="0.25">
      <c r="A208" s="168" t="s">
        <v>478</v>
      </c>
      <c r="B208" s="168" t="str">
        <f>VLOOKUP(D208,[1]LuongBC_T01!$B$9:$C$292,2,FALSE)</f>
        <v>0016100006816007</v>
      </c>
      <c r="C208" s="199" t="s">
        <v>980</v>
      </c>
      <c r="D208" s="169" t="s">
        <v>302</v>
      </c>
      <c r="E208" s="263" t="s">
        <v>1260</v>
      </c>
      <c r="F208" s="169" t="s">
        <v>549</v>
      </c>
      <c r="G208" s="200"/>
      <c r="H208" s="200" t="s">
        <v>283</v>
      </c>
      <c r="I208" s="170" t="s">
        <v>283</v>
      </c>
      <c r="J208" s="169" t="s">
        <v>531</v>
      </c>
      <c r="K208" s="170" t="str">
        <f>VLOOKUP(D208,[2]T3!$B$2:$D$328,3,FALSE)</f>
        <v>025091414</v>
      </c>
      <c r="L208" s="171" t="s">
        <v>340</v>
      </c>
      <c r="M208" s="171" t="s">
        <v>980</v>
      </c>
      <c r="N208" s="390" t="s">
        <v>1438</v>
      </c>
      <c r="O208" s="172" t="s">
        <v>692</v>
      </c>
      <c r="P208" s="173">
        <v>3</v>
      </c>
      <c r="Q208" s="174">
        <v>3.33</v>
      </c>
      <c r="R208" s="176">
        <f t="shared" si="80"/>
        <v>0.36630000000000001</v>
      </c>
      <c r="S208" s="370"/>
      <c r="T208" s="176">
        <f t="shared" si="81"/>
        <v>0</v>
      </c>
      <c r="U208" s="175">
        <f t="shared" si="79"/>
        <v>0</v>
      </c>
      <c r="V208" s="170"/>
      <c r="W208" s="179">
        <v>0.11</v>
      </c>
      <c r="X208" s="216">
        <f t="shared" si="82"/>
        <v>0.36630000000000001</v>
      </c>
      <c r="Y208" s="216">
        <f t="shared" si="83"/>
        <v>3.6962999999999999</v>
      </c>
      <c r="Z208" s="180">
        <f t="shared" si="84"/>
        <v>5507487</v>
      </c>
      <c r="AA208" s="180"/>
      <c r="AB208" s="180">
        <f t="shared" si="92"/>
        <v>0</v>
      </c>
      <c r="AC208" s="180">
        <f t="shared" si="93"/>
        <v>0</v>
      </c>
      <c r="AD208" s="180">
        <f t="shared" si="85"/>
        <v>5507487</v>
      </c>
      <c r="AE208" s="178">
        <f t="shared" si="86"/>
        <v>440598.96</v>
      </c>
      <c r="AF208" s="178">
        <f t="shared" si="87"/>
        <v>82612.304999999993</v>
      </c>
      <c r="AG208" s="178">
        <f t="shared" si="88"/>
        <v>55074.87</v>
      </c>
      <c r="AH208" s="178"/>
      <c r="AI208" s="178">
        <f t="shared" si="89"/>
        <v>578286.13500000001</v>
      </c>
      <c r="AJ208" s="192"/>
      <c r="AK208" s="182">
        <f t="shared" si="90"/>
        <v>0</v>
      </c>
      <c r="AL208" s="182"/>
      <c r="AM208" s="182"/>
      <c r="AN208" s="193">
        <f t="shared" si="95"/>
        <v>3.33</v>
      </c>
      <c r="AO208" s="246">
        <v>0.25</v>
      </c>
      <c r="AP208" s="194">
        <f t="shared" si="94"/>
        <v>0.83250000000000002</v>
      </c>
      <c r="AQ208" s="178">
        <f t="shared" si="91"/>
        <v>1240425</v>
      </c>
      <c r="AR208" s="178"/>
      <c r="AS208" s="178">
        <f t="shared" si="96"/>
        <v>6169626</v>
      </c>
      <c r="AT208" s="469" t="str">
        <f t="shared" si="77"/>
        <v>190</v>
      </c>
      <c r="AU208" s="186"/>
      <c r="AV208" s="187" t="s">
        <v>711</v>
      </c>
    </row>
    <row r="209" spans="1:48" s="189" customFormat="1" ht="33.75" customHeight="1" x14ac:dyDescent="0.25">
      <c r="A209" s="168" t="s">
        <v>168</v>
      </c>
      <c r="B209" s="168" t="str">
        <f>VLOOKUP(D209,[1]LuongBC_T01!$B$9:$C$292,2,FALSE)</f>
        <v>0016100006795007</v>
      </c>
      <c r="C209" s="199" t="s">
        <v>983</v>
      </c>
      <c r="D209" s="169" t="s">
        <v>303</v>
      </c>
      <c r="E209" s="263" t="s">
        <v>1260</v>
      </c>
      <c r="F209" s="169" t="s">
        <v>549</v>
      </c>
      <c r="G209" s="200" t="s">
        <v>25</v>
      </c>
      <c r="H209" s="200" t="s">
        <v>283</v>
      </c>
      <c r="I209" s="170" t="s">
        <v>283</v>
      </c>
      <c r="J209" s="169" t="s">
        <v>532</v>
      </c>
      <c r="K209" s="170" t="str">
        <f>VLOOKUP(D209,[2]T3!$B$2:$D$328,3,FALSE)</f>
        <v>025627682</v>
      </c>
      <c r="L209" s="171" t="s">
        <v>332</v>
      </c>
      <c r="M209" s="171" t="s">
        <v>983</v>
      </c>
      <c r="N209" s="390" t="s">
        <v>1438</v>
      </c>
      <c r="O209" s="172" t="s">
        <v>692</v>
      </c>
      <c r="P209" s="173">
        <v>3</v>
      </c>
      <c r="Q209" s="174">
        <v>3.33</v>
      </c>
      <c r="R209" s="176">
        <f t="shared" si="80"/>
        <v>0.36630000000000001</v>
      </c>
      <c r="S209" s="370"/>
      <c r="T209" s="176">
        <f t="shared" si="81"/>
        <v>0</v>
      </c>
      <c r="U209" s="175">
        <f t="shared" si="79"/>
        <v>0</v>
      </c>
      <c r="V209" s="170"/>
      <c r="W209" s="179">
        <v>0.11</v>
      </c>
      <c r="X209" s="216">
        <f t="shared" si="82"/>
        <v>0.36630000000000001</v>
      </c>
      <c r="Y209" s="216">
        <f t="shared" si="83"/>
        <v>3.6962999999999999</v>
      </c>
      <c r="Z209" s="180">
        <f t="shared" si="84"/>
        <v>5507487</v>
      </c>
      <c r="AA209" s="180"/>
      <c r="AB209" s="180">
        <f t="shared" si="92"/>
        <v>0</v>
      </c>
      <c r="AC209" s="180">
        <v>0</v>
      </c>
      <c r="AD209" s="180">
        <f t="shared" si="85"/>
        <v>5507487</v>
      </c>
      <c r="AE209" s="178">
        <f t="shared" si="86"/>
        <v>440598.96</v>
      </c>
      <c r="AF209" s="178">
        <f t="shared" si="87"/>
        <v>82612.304999999993</v>
      </c>
      <c r="AG209" s="178">
        <f t="shared" si="88"/>
        <v>55074.87</v>
      </c>
      <c r="AH209" s="178"/>
      <c r="AI209" s="178">
        <f t="shared" si="89"/>
        <v>578286.13500000001</v>
      </c>
      <c r="AJ209" s="192"/>
      <c r="AK209" s="182">
        <f t="shared" si="90"/>
        <v>0</v>
      </c>
      <c r="AL209" s="182"/>
      <c r="AM209" s="182"/>
      <c r="AN209" s="193">
        <f t="shared" si="95"/>
        <v>3.33</v>
      </c>
      <c r="AO209" s="246">
        <v>0.25</v>
      </c>
      <c r="AP209" s="194">
        <f t="shared" si="94"/>
        <v>0.83250000000000002</v>
      </c>
      <c r="AQ209" s="178">
        <f t="shared" si="91"/>
        <v>1240425</v>
      </c>
      <c r="AR209" s="178"/>
      <c r="AS209" s="178">
        <f t="shared" si="96"/>
        <v>6169626</v>
      </c>
      <c r="AT209" s="469" t="str">
        <f t="shared" si="77"/>
        <v>191</v>
      </c>
      <c r="AU209" s="195"/>
      <c r="AV209" s="198" t="s">
        <v>711</v>
      </c>
    </row>
    <row r="210" spans="1:48" s="189" customFormat="1" ht="27.75" customHeight="1" x14ac:dyDescent="0.25">
      <c r="A210" s="168" t="s">
        <v>479</v>
      </c>
      <c r="B210" s="168" t="str">
        <f>VLOOKUP(D210,[1]LuongBC_T01!$B$9:$C$292,2,FALSE)</f>
        <v>0016100006798009</v>
      </c>
      <c r="C210" s="199" t="s">
        <v>981</v>
      </c>
      <c r="D210" s="169" t="s">
        <v>304</v>
      </c>
      <c r="E210" s="263" t="s">
        <v>1260</v>
      </c>
      <c r="F210" s="169" t="s">
        <v>549</v>
      </c>
      <c r="G210" s="200" t="s">
        <v>25</v>
      </c>
      <c r="H210" s="200" t="s">
        <v>283</v>
      </c>
      <c r="I210" s="170" t="s">
        <v>283</v>
      </c>
      <c r="J210" s="169" t="s">
        <v>533</v>
      </c>
      <c r="K210" s="170" t="str">
        <f>VLOOKUP(D210,[2]T3!$B$2:$D$328,3,FALSE)</f>
        <v>023228757</v>
      </c>
      <c r="L210" s="171" t="s">
        <v>342</v>
      </c>
      <c r="M210" s="171" t="s">
        <v>981</v>
      </c>
      <c r="N210" s="390" t="s">
        <v>1438</v>
      </c>
      <c r="O210" s="172" t="s">
        <v>692</v>
      </c>
      <c r="P210" s="173">
        <v>3</v>
      </c>
      <c r="Q210" s="174">
        <v>3.33</v>
      </c>
      <c r="R210" s="176">
        <f t="shared" si="80"/>
        <v>0.36630000000000001</v>
      </c>
      <c r="S210" s="370"/>
      <c r="T210" s="176">
        <f t="shared" si="81"/>
        <v>0</v>
      </c>
      <c r="U210" s="175">
        <f t="shared" si="79"/>
        <v>0</v>
      </c>
      <c r="V210" s="170"/>
      <c r="W210" s="179">
        <v>0.11</v>
      </c>
      <c r="X210" s="216">
        <f t="shared" si="82"/>
        <v>0.36630000000000001</v>
      </c>
      <c r="Y210" s="216">
        <f t="shared" si="83"/>
        <v>3.6962999999999999</v>
      </c>
      <c r="Z210" s="180">
        <f t="shared" si="84"/>
        <v>5507487</v>
      </c>
      <c r="AA210" s="180"/>
      <c r="AB210" s="180">
        <f t="shared" si="92"/>
        <v>0</v>
      </c>
      <c r="AC210" s="180">
        <f t="shared" si="93"/>
        <v>0</v>
      </c>
      <c r="AD210" s="180">
        <f t="shared" si="85"/>
        <v>5507487</v>
      </c>
      <c r="AE210" s="178">
        <f t="shared" si="86"/>
        <v>440598.96</v>
      </c>
      <c r="AF210" s="178">
        <f t="shared" si="87"/>
        <v>82612.304999999993</v>
      </c>
      <c r="AG210" s="178">
        <f t="shared" si="88"/>
        <v>55074.87</v>
      </c>
      <c r="AH210" s="178"/>
      <c r="AI210" s="178">
        <f t="shared" si="89"/>
        <v>578286.13500000001</v>
      </c>
      <c r="AJ210" s="192"/>
      <c r="AK210" s="182">
        <f t="shared" si="90"/>
        <v>0</v>
      </c>
      <c r="AL210" s="182"/>
      <c r="AM210" s="182"/>
      <c r="AN210" s="193">
        <f t="shared" si="95"/>
        <v>3.33</v>
      </c>
      <c r="AO210" s="246">
        <v>0.25</v>
      </c>
      <c r="AP210" s="194">
        <f t="shared" si="94"/>
        <v>0.83250000000000002</v>
      </c>
      <c r="AQ210" s="178">
        <f t="shared" si="91"/>
        <v>1240425</v>
      </c>
      <c r="AR210" s="178"/>
      <c r="AS210" s="178">
        <f t="shared" si="96"/>
        <v>6169626</v>
      </c>
      <c r="AT210" s="469" t="str">
        <f t="shared" si="77"/>
        <v>192</v>
      </c>
      <c r="AU210" s="195"/>
      <c r="AV210" s="198" t="s">
        <v>711</v>
      </c>
    </row>
    <row r="211" spans="1:48" s="189" customFormat="1" ht="25.5" x14ac:dyDescent="0.25">
      <c r="A211" s="168" t="s">
        <v>480</v>
      </c>
      <c r="B211" s="168" t="str">
        <f>VLOOKUP(D211,[1]LuongBC_T01!$B$9:$C$292,2,FALSE)</f>
        <v>0016100006623004</v>
      </c>
      <c r="C211" s="199" t="s">
        <v>982</v>
      </c>
      <c r="D211" s="169" t="s">
        <v>308</v>
      </c>
      <c r="E211" s="263" t="s">
        <v>1094</v>
      </c>
      <c r="F211" s="169" t="s">
        <v>550</v>
      </c>
      <c r="G211" s="200" t="s">
        <v>25</v>
      </c>
      <c r="H211" s="200" t="s">
        <v>283</v>
      </c>
      <c r="I211" s="170" t="s">
        <v>283</v>
      </c>
      <c r="J211" s="169" t="s">
        <v>537</v>
      </c>
      <c r="K211" s="170" t="str">
        <f>VLOOKUP(D211,[2]T3!$B$2:$D$328,3,FALSE)</f>
        <v>024943379</v>
      </c>
      <c r="L211" s="171" t="s">
        <v>341</v>
      </c>
      <c r="M211" s="171" t="s">
        <v>982</v>
      </c>
      <c r="N211" s="390" t="s">
        <v>1438</v>
      </c>
      <c r="O211" s="172" t="s">
        <v>692</v>
      </c>
      <c r="P211" s="173">
        <v>4</v>
      </c>
      <c r="Q211" s="174">
        <v>3.66</v>
      </c>
      <c r="R211" s="176">
        <f t="shared" si="80"/>
        <v>0.40260000000000001</v>
      </c>
      <c r="S211" s="370"/>
      <c r="T211" s="176">
        <f t="shared" si="81"/>
        <v>0</v>
      </c>
      <c r="U211" s="175">
        <f t="shared" si="79"/>
        <v>0</v>
      </c>
      <c r="V211" s="170"/>
      <c r="W211" s="179">
        <v>0.11</v>
      </c>
      <c r="X211" s="216">
        <f t="shared" si="82"/>
        <v>0.40260000000000001</v>
      </c>
      <c r="Y211" s="216">
        <f t="shared" si="83"/>
        <v>4.0625999999999998</v>
      </c>
      <c r="Z211" s="180">
        <f t="shared" si="84"/>
        <v>6053274</v>
      </c>
      <c r="AA211" s="180"/>
      <c r="AB211" s="180">
        <f t="shared" si="92"/>
        <v>0</v>
      </c>
      <c r="AC211" s="180"/>
      <c r="AD211" s="180">
        <f t="shared" si="85"/>
        <v>6053274</v>
      </c>
      <c r="AE211" s="178">
        <f t="shared" si="86"/>
        <v>484261.92</v>
      </c>
      <c r="AF211" s="178">
        <f t="shared" si="87"/>
        <v>90799.11</v>
      </c>
      <c r="AG211" s="178">
        <f t="shared" si="88"/>
        <v>60532.74</v>
      </c>
      <c r="AH211" s="178"/>
      <c r="AI211" s="178">
        <f t="shared" si="89"/>
        <v>635593.77</v>
      </c>
      <c r="AJ211" s="192"/>
      <c r="AK211" s="182">
        <f t="shared" si="90"/>
        <v>0</v>
      </c>
      <c r="AL211" s="182"/>
      <c r="AM211" s="182"/>
      <c r="AN211" s="193">
        <f t="shared" si="95"/>
        <v>3.66</v>
      </c>
      <c r="AO211" s="246">
        <v>0.25</v>
      </c>
      <c r="AP211" s="194">
        <f t="shared" si="94"/>
        <v>0.91500000000000004</v>
      </c>
      <c r="AQ211" s="178">
        <f t="shared" si="91"/>
        <v>1363350</v>
      </c>
      <c r="AR211" s="178"/>
      <c r="AS211" s="178">
        <f t="shared" si="96"/>
        <v>6781030</v>
      </c>
      <c r="AT211" s="469" t="str">
        <f t="shared" si="77"/>
        <v>193</v>
      </c>
      <c r="AU211" s="195"/>
      <c r="AV211" s="198" t="s">
        <v>710</v>
      </c>
    </row>
    <row r="212" spans="1:48" s="189" customFormat="1" ht="27.75" customHeight="1" x14ac:dyDescent="0.25">
      <c r="A212" s="168" t="s">
        <v>481</v>
      </c>
      <c r="B212" s="168" t="str">
        <f>VLOOKUP(D212,[1]LuongBC_T01!$B$9:$C$292,2,FALSE)</f>
        <v>0016100006507004</v>
      </c>
      <c r="C212" s="199" t="s">
        <v>1083</v>
      </c>
      <c r="D212" s="169" t="s">
        <v>309</v>
      </c>
      <c r="E212" s="263" t="s">
        <v>1260</v>
      </c>
      <c r="F212" s="169" t="s">
        <v>549</v>
      </c>
      <c r="G212" s="200" t="s">
        <v>25</v>
      </c>
      <c r="H212" s="200" t="s">
        <v>283</v>
      </c>
      <c r="I212" s="170" t="s">
        <v>283</v>
      </c>
      <c r="J212" s="169" t="s">
        <v>538</v>
      </c>
      <c r="K212" s="170" t="str">
        <f>VLOOKUP(D212,[2]T3!$B$2:$D$328,3,FALSE)</f>
        <v>024715786</v>
      </c>
      <c r="L212" s="171" t="s">
        <v>334</v>
      </c>
      <c r="M212" s="171" t="s">
        <v>1083</v>
      </c>
      <c r="N212" s="390" t="s">
        <v>1438</v>
      </c>
      <c r="O212" s="172" t="s">
        <v>692</v>
      </c>
      <c r="P212" s="173">
        <v>3</v>
      </c>
      <c r="Q212" s="174">
        <v>3.33</v>
      </c>
      <c r="R212" s="176">
        <f t="shared" si="80"/>
        <v>0.36630000000000001</v>
      </c>
      <c r="S212" s="370"/>
      <c r="T212" s="176">
        <f t="shared" si="81"/>
        <v>0</v>
      </c>
      <c r="U212" s="175">
        <f t="shared" si="79"/>
        <v>0</v>
      </c>
      <c r="V212" s="170"/>
      <c r="W212" s="179">
        <v>0.11</v>
      </c>
      <c r="X212" s="216">
        <f t="shared" si="82"/>
        <v>0.36630000000000001</v>
      </c>
      <c r="Y212" s="216">
        <f t="shared" si="83"/>
        <v>3.6962999999999999</v>
      </c>
      <c r="Z212" s="180">
        <f t="shared" si="84"/>
        <v>5507487</v>
      </c>
      <c r="AA212" s="180"/>
      <c r="AB212" s="180">
        <f t="shared" si="92"/>
        <v>0</v>
      </c>
      <c r="AC212" s="180">
        <f>Z212/24*AA212*75%</f>
        <v>0</v>
      </c>
      <c r="AD212" s="180">
        <f t="shared" si="85"/>
        <v>5507487</v>
      </c>
      <c r="AE212" s="178">
        <f t="shared" si="86"/>
        <v>440598.96</v>
      </c>
      <c r="AF212" s="178">
        <f t="shared" si="87"/>
        <v>82612.304999999993</v>
      </c>
      <c r="AG212" s="178">
        <f t="shared" si="88"/>
        <v>55074.87</v>
      </c>
      <c r="AH212" s="178"/>
      <c r="AI212" s="178">
        <f t="shared" si="89"/>
        <v>578286.13500000001</v>
      </c>
      <c r="AJ212" s="192"/>
      <c r="AK212" s="182">
        <f t="shared" si="90"/>
        <v>0</v>
      </c>
      <c r="AL212" s="182"/>
      <c r="AM212" s="182"/>
      <c r="AN212" s="193">
        <f t="shared" si="95"/>
        <v>3.33</v>
      </c>
      <c r="AO212" s="246">
        <v>0.25</v>
      </c>
      <c r="AP212" s="194">
        <f t="shared" si="94"/>
        <v>0.83250000000000002</v>
      </c>
      <c r="AQ212" s="178">
        <f t="shared" si="91"/>
        <v>1240425</v>
      </c>
      <c r="AR212" s="178"/>
      <c r="AS212" s="178">
        <f t="shared" si="96"/>
        <v>6169626</v>
      </c>
      <c r="AT212" s="469" t="str">
        <f t="shared" si="77"/>
        <v>194</v>
      </c>
      <c r="AU212" s="186"/>
      <c r="AV212" s="198" t="s">
        <v>711</v>
      </c>
    </row>
    <row r="213" spans="1:48" s="189" customFormat="1" ht="37.5" customHeight="1" x14ac:dyDescent="0.25">
      <c r="A213" s="168" t="s">
        <v>482</v>
      </c>
      <c r="B213" s="168" t="str">
        <f>VLOOKUP(D213,[1]LuongBC_T01!$B$9:$C$292,2,FALSE)</f>
        <v>0016100006732008</v>
      </c>
      <c r="C213" s="199" t="s">
        <v>984</v>
      </c>
      <c r="D213" s="169" t="s">
        <v>311</v>
      </c>
      <c r="E213" s="263" t="s">
        <v>1094</v>
      </c>
      <c r="F213" s="169" t="s">
        <v>549</v>
      </c>
      <c r="G213" s="200" t="s">
        <v>25</v>
      </c>
      <c r="H213" s="200" t="s">
        <v>283</v>
      </c>
      <c r="I213" s="170" t="s">
        <v>283</v>
      </c>
      <c r="J213" s="169" t="s">
        <v>539</v>
      </c>
      <c r="K213" s="170" t="str">
        <f>VLOOKUP(D213,[2]T3!$B$2:$D$328,3,FALSE)</f>
        <v>024497762</v>
      </c>
      <c r="L213" s="171" t="s">
        <v>337</v>
      </c>
      <c r="M213" s="171" t="s">
        <v>984</v>
      </c>
      <c r="N213" s="390" t="s">
        <v>807</v>
      </c>
      <c r="O213" s="172" t="s">
        <v>692</v>
      </c>
      <c r="P213" s="173">
        <v>3</v>
      </c>
      <c r="Q213" s="174">
        <v>3.66</v>
      </c>
      <c r="R213" s="176">
        <f t="shared" si="80"/>
        <v>0.40260000000000001</v>
      </c>
      <c r="S213" s="370"/>
      <c r="T213" s="176">
        <f t="shared" si="81"/>
        <v>0</v>
      </c>
      <c r="U213" s="175">
        <f t="shared" si="79"/>
        <v>0</v>
      </c>
      <c r="V213" s="170"/>
      <c r="W213" s="179">
        <v>0.11</v>
      </c>
      <c r="X213" s="216">
        <f t="shared" si="82"/>
        <v>0.40260000000000001</v>
      </c>
      <c r="Y213" s="216">
        <f t="shared" si="83"/>
        <v>4.0625999999999998</v>
      </c>
      <c r="Z213" s="180">
        <f t="shared" si="84"/>
        <v>6053274</v>
      </c>
      <c r="AA213" s="180"/>
      <c r="AB213" s="180">
        <f t="shared" si="92"/>
        <v>0</v>
      </c>
      <c r="AC213" s="180">
        <v>0</v>
      </c>
      <c r="AD213" s="180">
        <f t="shared" si="85"/>
        <v>6053274</v>
      </c>
      <c r="AE213" s="178">
        <f t="shared" si="86"/>
        <v>484261.92</v>
      </c>
      <c r="AF213" s="178">
        <f t="shared" si="87"/>
        <v>90799.11</v>
      </c>
      <c r="AG213" s="178">
        <f t="shared" si="88"/>
        <v>60532.74</v>
      </c>
      <c r="AH213" s="178"/>
      <c r="AI213" s="178">
        <f t="shared" si="89"/>
        <v>635593.77</v>
      </c>
      <c r="AJ213" s="192"/>
      <c r="AK213" s="182">
        <f t="shared" si="90"/>
        <v>0</v>
      </c>
      <c r="AL213" s="182"/>
      <c r="AM213" s="182"/>
      <c r="AN213" s="193">
        <f t="shared" si="95"/>
        <v>3.66</v>
      </c>
      <c r="AO213" s="246">
        <v>0.25</v>
      </c>
      <c r="AP213" s="194">
        <f t="shared" si="94"/>
        <v>0.91500000000000004</v>
      </c>
      <c r="AQ213" s="178">
        <f t="shared" si="91"/>
        <v>1363350</v>
      </c>
      <c r="AR213" s="178"/>
      <c r="AS213" s="178">
        <f t="shared" si="96"/>
        <v>6781030</v>
      </c>
      <c r="AT213" s="469" t="str">
        <f t="shared" si="77"/>
        <v>195</v>
      </c>
      <c r="AU213" s="195"/>
      <c r="AV213" s="198" t="s">
        <v>710</v>
      </c>
    </row>
    <row r="214" spans="1:48" s="189" customFormat="1" ht="34.5" customHeight="1" x14ac:dyDescent="0.25">
      <c r="A214" s="168" t="s">
        <v>483</v>
      </c>
      <c r="B214" s="168" t="str">
        <f>VLOOKUP(D214,[1]LuongBC_T01!$B$9:$C$292,2,FALSE)</f>
        <v>0016100006797002</v>
      </c>
      <c r="C214" s="199" t="s">
        <v>986</v>
      </c>
      <c r="D214" s="169" t="s">
        <v>297</v>
      </c>
      <c r="E214" s="263" t="s">
        <v>1260</v>
      </c>
      <c r="F214" s="169" t="s">
        <v>549</v>
      </c>
      <c r="G214" s="200"/>
      <c r="H214" s="200" t="s">
        <v>283</v>
      </c>
      <c r="I214" s="170" t="s">
        <v>283</v>
      </c>
      <c r="J214" s="169" t="s">
        <v>540</v>
      </c>
      <c r="K214" s="170" t="str">
        <f>VLOOKUP(D214,[2]T3!$B$2:$D$328,3,FALSE)</f>
        <v>023425372</v>
      </c>
      <c r="L214" s="171" t="s">
        <v>329</v>
      </c>
      <c r="M214" s="171" t="s">
        <v>986</v>
      </c>
      <c r="N214" s="390" t="s">
        <v>1438</v>
      </c>
      <c r="O214" s="172" t="s">
        <v>692</v>
      </c>
      <c r="P214" s="173">
        <v>3</v>
      </c>
      <c r="Q214" s="174">
        <v>3.33</v>
      </c>
      <c r="R214" s="176">
        <f t="shared" si="80"/>
        <v>0.36630000000000001</v>
      </c>
      <c r="S214" s="370"/>
      <c r="T214" s="176">
        <f t="shared" si="81"/>
        <v>0</v>
      </c>
      <c r="U214" s="175">
        <f t="shared" si="79"/>
        <v>0</v>
      </c>
      <c r="V214" s="170"/>
      <c r="W214" s="179">
        <v>0.11</v>
      </c>
      <c r="X214" s="216">
        <f t="shared" si="82"/>
        <v>0.36630000000000001</v>
      </c>
      <c r="Y214" s="216">
        <f t="shared" si="83"/>
        <v>3.6962999999999999</v>
      </c>
      <c r="Z214" s="180">
        <f t="shared" si="84"/>
        <v>5507487</v>
      </c>
      <c r="AA214" s="180"/>
      <c r="AB214" s="180">
        <f t="shared" si="92"/>
        <v>0</v>
      </c>
      <c r="AC214" s="180">
        <f>Z214/24*AA214*75%</f>
        <v>0</v>
      </c>
      <c r="AD214" s="180">
        <f t="shared" si="85"/>
        <v>5507487</v>
      </c>
      <c r="AE214" s="178">
        <f t="shared" si="86"/>
        <v>440598.96</v>
      </c>
      <c r="AF214" s="178">
        <f t="shared" si="87"/>
        <v>82612.304999999993</v>
      </c>
      <c r="AG214" s="178">
        <f t="shared" si="88"/>
        <v>55074.87</v>
      </c>
      <c r="AH214" s="178"/>
      <c r="AI214" s="178">
        <f t="shared" si="89"/>
        <v>578286.13500000001</v>
      </c>
      <c r="AJ214" s="192"/>
      <c r="AK214" s="182">
        <f t="shared" si="90"/>
        <v>0</v>
      </c>
      <c r="AL214" s="182"/>
      <c r="AM214" s="182"/>
      <c r="AN214" s="193">
        <f t="shared" si="95"/>
        <v>3.33</v>
      </c>
      <c r="AO214" s="246">
        <v>0.25</v>
      </c>
      <c r="AP214" s="194">
        <f t="shared" si="94"/>
        <v>0.83250000000000002</v>
      </c>
      <c r="AQ214" s="178">
        <f t="shared" si="91"/>
        <v>1240425</v>
      </c>
      <c r="AR214" s="178"/>
      <c r="AS214" s="178">
        <f t="shared" si="96"/>
        <v>6169626</v>
      </c>
      <c r="AT214" s="469" t="str">
        <f t="shared" si="77"/>
        <v>196</v>
      </c>
      <c r="AU214" s="186"/>
      <c r="AV214" s="198" t="s">
        <v>711</v>
      </c>
    </row>
    <row r="215" spans="1:48" s="189" customFormat="1" ht="34.5" customHeight="1" x14ac:dyDescent="0.25">
      <c r="A215" s="168" t="s">
        <v>484</v>
      </c>
      <c r="B215" s="168" t="str">
        <f>VLOOKUP(D215,[1]LuongBC_T01!$B$9:$C$292,2,FALSE)</f>
        <v>0016100006686006</v>
      </c>
      <c r="C215" s="199" t="s">
        <v>985</v>
      </c>
      <c r="D215" s="230" t="s">
        <v>573</v>
      </c>
      <c r="E215" s="263" t="s">
        <v>1094</v>
      </c>
      <c r="F215" s="169" t="s">
        <v>549</v>
      </c>
      <c r="G215" s="170"/>
      <c r="H215" s="200" t="s">
        <v>283</v>
      </c>
      <c r="I215" s="200" t="s">
        <v>283</v>
      </c>
      <c r="J215" s="220" t="s">
        <v>594</v>
      </c>
      <c r="K215" s="170" t="str">
        <f>VLOOKUP(D215,[2]T3!$B$2:$D$328,3,FALSE)</f>
        <v>080083000079</v>
      </c>
      <c r="L215" s="201" t="s">
        <v>1122</v>
      </c>
      <c r="M215" s="201" t="s">
        <v>985</v>
      </c>
      <c r="N215" s="392" t="s">
        <v>807</v>
      </c>
      <c r="O215" s="172" t="s">
        <v>692</v>
      </c>
      <c r="P215" s="173">
        <v>3</v>
      </c>
      <c r="Q215" s="174">
        <v>3.66</v>
      </c>
      <c r="R215" s="176">
        <f t="shared" si="80"/>
        <v>0.43919999999999998</v>
      </c>
      <c r="S215" s="370"/>
      <c r="T215" s="176">
        <f t="shared" si="81"/>
        <v>0</v>
      </c>
      <c r="U215" s="175">
        <f t="shared" si="79"/>
        <v>0</v>
      </c>
      <c r="V215" s="170"/>
      <c r="W215" s="179">
        <v>0.12</v>
      </c>
      <c r="X215" s="216">
        <f t="shared" si="82"/>
        <v>0.43919999999999998</v>
      </c>
      <c r="Y215" s="216">
        <f t="shared" si="83"/>
        <v>4.0991999999999997</v>
      </c>
      <c r="Z215" s="180">
        <f t="shared" si="84"/>
        <v>6107808</v>
      </c>
      <c r="AA215" s="180"/>
      <c r="AB215" s="180">
        <f t="shared" si="92"/>
        <v>0</v>
      </c>
      <c r="AC215" s="180">
        <f>Z215/24*AA215*75%</f>
        <v>0</v>
      </c>
      <c r="AD215" s="180">
        <f t="shared" si="85"/>
        <v>6107808</v>
      </c>
      <c r="AE215" s="178">
        <f t="shared" si="86"/>
        <v>488624.64000000001</v>
      </c>
      <c r="AF215" s="178">
        <f t="shared" si="87"/>
        <v>91617.12</v>
      </c>
      <c r="AG215" s="178">
        <f t="shared" si="88"/>
        <v>61078.080000000002</v>
      </c>
      <c r="AH215" s="178"/>
      <c r="AI215" s="178">
        <f t="shared" si="89"/>
        <v>641319.84</v>
      </c>
      <c r="AJ215" s="192"/>
      <c r="AK215" s="182">
        <f t="shared" si="90"/>
        <v>0</v>
      </c>
      <c r="AL215" s="182"/>
      <c r="AM215" s="182"/>
      <c r="AN215" s="193">
        <f t="shared" si="95"/>
        <v>3.66</v>
      </c>
      <c r="AO215" s="246">
        <v>0.25</v>
      </c>
      <c r="AP215" s="194">
        <f t="shared" si="94"/>
        <v>0.91500000000000004</v>
      </c>
      <c r="AQ215" s="178">
        <f t="shared" si="91"/>
        <v>1363350</v>
      </c>
      <c r="AR215" s="178"/>
      <c r="AS215" s="178">
        <f t="shared" si="96"/>
        <v>6829838</v>
      </c>
      <c r="AT215" s="469" t="str">
        <f t="shared" si="77"/>
        <v>197</v>
      </c>
      <c r="AU215" s="186"/>
      <c r="AV215" s="198" t="s">
        <v>710</v>
      </c>
    </row>
    <row r="216" spans="1:48" s="189" customFormat="1" ht="34.5" customHeight="1" x14ac:dyDescent="0.25">
      <c r="A216" s="168" t="s">
        <v>485</v>
      </c>
      <c r="B216" s="168" t="str">
        <f>VLOOKUP(D216,[1]LuongBC_T01!$B$9:$C$292,2,FALSE)</f>
        <v>0016100006645008</v>
      </c>
      <c r="C216" s="371" t="s">
        <v>1051</v>
      </c>
      <c r="D216" s="169" t="s">
        <v>1224</v>
      </c>
      <c r="E216" s="263" t="s">
        <v>1251</v>
      </c>
      <c r="F216" s="169" t="s">
        <v>549</v>
      </c>
      <c r="G216" s="200" t="s">
        <v>25</v>
      </c>
      <c r="H216" s="200" t="s">
        <v>283</v>
      </c>
      <c r="I216" s="200" t="s">
        <v>283</v>
      </c>
      <c r="J216" s="200" t="s">
        <v>578</v>
      </c>
      <c r="K216" s="168" t="s">
        <v>1336</v>
      </c>
      <c r="L216" s="201" t="s">
        <v>600</v>
      </c>
      <c r="M216" s="201" t="s">
        <v>1051</v>
      </c>
      <c r="N216" s="390" t="s">
        <v>1438</v>
      </c>
      <c r="O216" s="170" t="s">
        <v>692</v>
      </c>
      <c r="P216" s="170">
        <v>3</v>
      </c>
      <c r="Q216" s="177">
        <v>3.33</v>
      </c>
      <c r="R216" s="176">
        <f t="shared" si="80"/>
        <v>0.33300000000000002</v>
      </c>
      <c r="S216" s="220"/>
      <c r="T216" s="176">
        <f t="shared" si="81"/>
        <v>0</v>
      </c>
      <c r="U216" s="175">
        <f t="shared" si="79"/>
        <v>0</v>
      </c>
      <c r="V216" s="170"/>
      <c r="W216" s="179">
        <v>0.1</v>
      </c>
      <c r="X216" s="216">
        <f t="shared" si="82"/>
        <v>0.33300000000000002</v>
      </c>
      <c r="Y216" s="216">
        <f t="shared" si="83"/>
        <v>3.6630000000000003</v>
      </c>
      <c r="Z216" s="180">
        <f t="shared" si="84"/>
        <v>5457870</v>
      </c>
      <c r="AA216" s="180"/>
      <c r="AB216" s="180">
        <f t="shared" si="92"/>
        <v>0</v>
      </c>
      <c r="AC216" s="180">
        <f>Z216/24*AA216*75%</f>
        <v>0</v>
      </c>
      <c r="AD216" s="180">
        <f t="shared" si="85"/>
        <v>5457870</v>
      </c>
      <c r="AE216" s="178">
        <f t="shared" si="86"/>
        <v>436629.60000000003</v>
      </c>
      <c r="AF216" s="178">
        <f t="shared" si="87"/>
        <v>81868.05</v>
      </c>
      <c r="AG216" s="178">
        <f t="shared" si="88"/>
        <v>54578.700000000004</v>
      </c>
      <c r="AH216" s="178"/>
      <c r="AI216" s="178">
        <f t="shared" si="89"/>
        <v>573076.35</v>
      </c>
      <c r="AJ216" s="192"/>
      <c r="AK216" s="182">
        <f t="shared" si="90"/>
        <v>0</v>
      </c>
      <c r="AL216" s="182"/>
      <c r="AM216" s="182"/>
      <c r="AN216" s="193">
        <f t="shared" si="95"/>
        <v>3.33</v>
      </c>
      <c r="AO216" s="246">
        <v>0.45</v>
      </c>
      <c r="AP216" s="194">
        <f t="shared" si="94"/>
        <v>1.4984999999999999</v>
      </c>
      <c r="AQ216" s="178">
        <f t="shared" si="91"/>
        <v>2232765</v>
      </c>
      <c r="AR216" s="178"/>
      <c r="AS216" s="178">
        <f t="shared" si="96"/>
        <v>7117559</v>
      </c>
      <c r="AT216" s="469" t="str">
        <f t="shared" si="77"/>
        <v>198</v>
      </c>
      <c r="AU216" s="186"/>
      <c r="AV216" s="198" t="s">
        <v>710</v>
      </c>
    </row>
    <row r="217" spans="1:48" s="189" customFormat="1" ht="34.5" customHeight="1" x14ac:dyDescent="0.25">
      <c r="A217" s="168" t="s">
        <v>486</v>
      </c>
      <c r="B217" s="168" t="str">
        <f>VLOOKUP(D217,[1]LuongBC_T01!$B$9:$C$292,2,FALSE)</f>
        <v>0016100006579005</v>
      </c>
      <c r="C217" s="199" t="s">
        <v>987</v>
      </c>
      <c r="D217" s="169" t="s">
        <v>569</v>
      </c>
      <c r="E217" s="263" t="s">
        <v>1251</v>
      </c>
      <c r="F217" s="169" t="s">
        <v>549</v>
      </c>
      <c r="G217" s="200" t="s">
        <v>25</v>
      </c>
      <c r="H217" s="200" t="s">
        <v>283</v>
      </c>
      <c r="I217" s="200" t="s">
        <v>283</v>
      </c>
      <c r="J217" s="200" t="s">
        <v>579</v>
      </c>
      <c r="K217" s="170" t="str">
        <f>VLOOKUP(D217,[2]T3!$B$2:$D$328,3,FALSE)</f>
        <v>025523427</v>
      </c>
      <c r="L217" s="201" t="s">
        <v>601</v>
      </c>
      <c r="M217" s="201" t="s">
        <v>987</v>
      </c>
      <c r="N217" s="392" t="s">
        <v>807</v>
      </c>
      <c r="O217" s="170" t="s">
        <v>692</v>
      </c>
      <c r="P217" s="170">
        <v>3</v>
      </c>
      <c r="Q217" s="177">
        <v>3.66</v>
      </c>
      <c r="R217" s="176">
        <f t="shared" si="80"/>
        <v>0.36599999999999999</v>
      </c>
      <c r="S217" s="220"/>
      <c r="T217" s="176">
        <f t="shared" si="81"/>
        <v>0</v>
      </c>
      <c r="U217" s="175">
        <f t="shared" si="79"/>
        <v>0</v>
      </c>
      <c r="V217" s="170"/>
      <c r="W217" s="179">
        <v>0.1</v>
      </c>
      <c r="X217" s="216">
        <f t="shared" si="82"/>
        <v>0.36599999999999999</v>
      </c>
      <c r="Y217" s="216">
        <f t="shared" si="83"/>
        <v>4.0259999999999998</v>
      </c>
      <c r="Z217" s="180">
        <f t="shared" si="84"/>
        <v>5998740</v>
      </c>
      <c r="AA217" s="180"/>
      <c r="AB217" s="180">
        <f t="shared" si="92"/>
        <v>0</v>
      </c>
      <c r="AC217" s="180">
        <v>0</v>
      </c>
      <c r="AD217" s="180">
        <f t="shared" si="85"/>
        <v>5998740</v>
      </c>
      <c r="AE217" s="178">
        <f t="shared" si="86"/>
        <v>479899.2</v>
      </c>
      <c r="AF217" s="178">
        <f t="shared" si="87"/>
        <v>89981.099999999991</v>
      </c>
      <c r="AG217" s="178">
        <f t="shared" si="88"/>
        <v>59987.4</v>
      </c>
      <c r="AH217" s="178"/>
      <c r="AI217" s="178">
        <f t="shared" si="89"/>
        <v>629867.70000000007</v>
      </c>
      <c r="AJ217" s="192">
        <v>0</v>
      </c>
      <c r="AK217" s="182">
        <f t="shared" si="90"/>
        <v>0</v>
      </c>
      <c r="AL217" s="182"/>
      <c r="AM217" s="182"/>
      <c r="AN217" s="193">
        <f t="shared" si="95"/>
        <v>3.66</v>
      </c>
      <c r="AO217" s="246">
        <v>0.45</v>
      </c>
      <c r="AP217" s="194">
        <f t="shared" si="94"/>
        <v>1.647</v>
      </c>
      <c r="AQ217" s="178">
        <f t="shared" si="91"/>
        <v>2454030</v>
      </c>
      <c r="AR217" s="178"/>
      <c r="AS217" s="178">
        <f t="shared" si="96"/>
        <v>7822902</v>
      </c>
      <c r="AT217" s="469" t="str">
        <f t="shared" si="77"/>
        <v>199</v>
      </c>
      <c r="AU217" s="447"/>
      <c r="AV217" s="198" t="s">
        <v>710</v>
      </c>
    </row>
    <row r="218" spans="1:48" s="228" customFormat="1" ht="34.5" customHeight="1" x14ac:dyDescent="0.25">
      <c r="A218" s="168" t="s">
        <v>487</v>
      </c>
      <c r="B218" s="168" t="str">
        <f>VLOOKUP(D218,[1]LuongBC_T01!$B$9:$C$292,2,FALSE)</f>
        <v>0016100006571004</v>
      </c>
      <c r="C218" s="199" t="s">
        <v>988</v>
      </c>
      <c r="D218" s="169" t="s">
        <v>571</v>
      </c>
      <c r="E218" s="263" t="s">
        <v>1373</v>
      </c>
      <c r="F218" s="169" t="s">
        <v>549</v>
      </c>
      <c r="G218" s="200" t="s">
        <v>25</v>
      </c>
      <c r="H218" s="200"/>
      <c r="I218" s="200" t="s">
        <v>283</v>
      </c>
      <c r="J218" s="200" t="s">
        <v>588</v>
      </c>
      <c r="K218" s="170" t="str">
        <f>VLOOKUP(D218,[2]T3!$B$2:$D$328,3,FALSE)</f>
        <v>023922977</v>
      </c>
      <c r="L218" s="226" t="s">
        <v>610</v>
      </c>
      <c r="M218" s="226" t="s">
        <v>988</v>
      </c>
      <c r="N218" s="390" t="s">
        <v>1438</v>
      </c>
      <c r="O218" s="170" t="s">
        <v>692</v>
      </c>
      <c r="P218" s="170">
        <v>3</v>
      </c>
      <c r="Q218" s="177">
        <v>3.33</v>
      </c>
      <c r="R218" s="176">
        <f t="shared" si="80"/>
        <v>0.33300000000000002</v>
      </c>
      <c r="S218" s="220"/>
      <c r="T218" s="176">
        <f t="shared" si="81"/>
        <v>0</v>
      </c>
      <c r="U218" s="175">
        <f t="shared" si="79"/>
        <v>0</v>
      </c>
      <c r="V218" s="170"/>
      <c r="W218" s="179">
        <v>0.1</v>
      </c>
      <c r="X218" s="216">
        <f t="shared" si="82"/>
        <v>0.33300000000000002</v>
      </c>
      <c r="Y218" s="216">
        <f t="shared" si="83"/>
        <v>3.6630000000000003</v>
      </c>
      <c r="Z218" s="180">
        <f t="shared" si="84"/>
        <v>5457870</v>
      </c>
      <c r="AA218" s="180"/>
      <c r="AB218" s="180">
        <f t="shared" si="92"/>
        <v>0</v>
      </c>
      <c r="AC218" s="180">
        <f t="shared" ref="AC218:AC223" si="99">Z218/24*AA218*75%</f>
        <v>0</v>
      </c>
      <c r="AD218" s="180">
        <f t="shared" si="85"/>
        <v>5457870</v>
      </c>
      <c r="AE218" s="178">
        <f t="shared" si="86"/>
        <v>436629.60000000003</v>
      </c>
      <c r="AF218" s="178">
        <f t="shared" si="87"/>
        <v>81868.05</v>
      </c>
      <c r="AG218" s="178">
        <f t="shared" si="88"/>
        <v>54578.700000000004</v>
      </c>
      <c r="AH218" s="178"/>
      <c r="AI218" s="178">
        <f t="shared" si="89"/>
        <v>573076.35</v>
      </c>
      <c r="AJ218" s="192"/>
      <c r="AK218" s="182">
        <f t="shared" si="90"/>
        <v>0</v>
      </c>
      <c r="AL218" s="182"/>
      <c r="AM218" s="182"/>
      <c r="AN218" s="193">
        <f t="shared" si="95"/>
        <v>3.33</v>
      </c>
      <c r="AO218" s="246">
        <v>0.25</v>
      </c>
      <c r="AP218" s="194">
        <f t="shared" si="94"/>
        <v>0.83250000000000002</v>
      </c>
      <c r="AQ218" s="178">
        <f t="shared" si="91"/>
        <v>1240425</v>
      </c>
      <c r="AR218" s="178"/>
      <c r="AS218" s="178">
        <f t="shared" si="96"/>
        <v>6125219</v>
      </c>
      <c r="AT218" s="469" t="str">
        <f t="shared" ref="AT218:AT231" si="100">A218</f>
        <v>200</v>
      </c>
      <c r="AU218" s="195"/>
      <c r="AV218" s="227" t="s">
        <v>708</v>
      </c>
    </row>
    <row r="219" spans="1:48" s="189" customFormat="1" ht="34.5" customHeight="1" x14ac:dyDescent="0.25">
      <c r="A219" s="168" t="s">
        <v>488</v>
      </c>
      <c r="B219" s="168" t="str">
        <f>VLOOKUP(D219,[1]LuongBC_T01!$B$9:$C$292,2,FALSE)</f>
        <v>0016100005288007</v>
      </c>
      <c r="C219" s="199" t="s">
        <v>989</v>
      </c>
      <c r="D219" s="169" t="s">
        <v>568</v>
      </c>
      <c r="E219" s="263" t="s">
        <v>1251</v>
      </c>
      <c r="F219" s="169" t="s">
        <v>549</v>
      </c>
      <c r="G219" s="200" t="s">
        <v>25</v>
      </c>
      <c r="H219" s="200" t="s">
        <v>283</v>
      </c>
      <c r="I219" s="200" t="s">
        <v>283</v>
      </c>
      <c r="J219" s="200" t="s">
        <v>577</v>
      </c>
      <c r="K219" s="170" t="str">
        <f>VLOOKUP(D219,[2]T3!$B$2:$D$328,3,FALSE)</f>
        <v>025232273</v>
      </c>
      <c r="L219" s="201" t="s">
        <v>599</v>
      </c>
      <c r="M219" s="201" t="s">
        <v>989</v>
      </c>
      <c r="N219" s="390" t="s">
        <v>1438</v>
      </c>
      <c r="O219" s="170" t="s">
        <v>692</v>
      </c>
      <c r="P219" s="170">
        <v>3</v>
      </c>
      <c r="Q219" s="177">
        <v>3.33</v>
      </c>
      <c r="R219" s="176">
        <f t="shared" si="80"/>
        <v>0.33300000000000002</v>
      </c>
      <c r="S219" s="220"/>
      <c r="T219" s="176">
        <f t="shared" si="81"/>
        <v>0</v>
      </c>
      <c r="U219" s="175">
        <f t="shared" si="79"/>
        <v>0</v>
      </c>
      <c r="V219" s="170"/>
      <c r="W219" s="179">
        <v>0.1</v>
      </c>
      <c r="X219" s="216">
        <f t="shared" si="82"/>
        <v>0.33300000000000002</v>
      </c>
      <c r="Y219" s="216">
        <f t="shared" si="83"/>
        <v>3.6630000000000003</v>
      </c>
      <c r="Z219" s="180">
        <f t="shared" si="84"/>
        <v>5457870</v>
      </c>
      <c r="AA219" s="180"/>
      <c r="AB219" s="180">
        <f t="shared" si="92"/>
        <v>0</v>
      </c>
      <c r="AC219" s="180">
        <f t="shared" si="99"/>
        <v>0</v>
      </c>
      <c r="AD219" s="180">
        <f t="shared" si="85"/>
        <v>5457870</v>
      </c>
      <c r="AE219" s="178">
        <f t="shared" si="86"/>
        <v>436629.60000000003</v>
      </c>
      <c r="AF219" s="178">
        <f t="shared" si="87"/>
        <v>81868.05</v>
      </c>
      <c r="AG219" s="178">
        <f t="shared" si="88"/>
        <v>54578.700000000004</v>
      </c>
      <c r="AH219" s="178"/>
      <c r="AI219" s="178">
        <f t="shared" si="89"/>
        <v>573076.35</v>
      </c>
      <c r="AJ219" s="192"/>
      <c r="AK219" s="182">
        <f t="shared" si="90"/>
        <v>0</v>
      </c>
      <c r="AL219" s="182"/>
      <c r="AM219" s="182"/>
      <c r="AN219" s="193">
        <f t="shared" si="95"/>
        <v>3.33</v>
      </c>
      <c r="AO219" s="246">
        <v>0.45</v>
      </c>
      <c r="AP219" s="194">
        <f t="shared" si="94"/>
        <v>1.4984999999999999</v>
      </c>
      <c r="AQ219" s="178">
        <f t="shared" si="91"/>
        <v>2232765</v>
      </c>
      <c r="AR219" s="178"/>
      <c r="AS219" s="178">
        <f t="shared" si="96"/>
        <v>7117559</v>
      </c>
      <c r="AT219" s="469" t="str">
        <f t="shared" si="100"/>
        <v>201</v>
      </c>
      <c r="AU219" s="195"/>
      <c r="AV219" s="198" t="s">
        <v>710</v>
      </c>
    </row>
    <row r="220" spans="1:48" s="189" customFormat="1" ht="34.5" customHeight="1" x14ac:dyDescent="0.25">
      <c r="A220" s="168" t="s">
        <v>489</v>
      </c>
      <c r="B220" s="168" t="s">
        <v>1428</v>
      </c>
      <c r="C220" s="199" t="s">
        <v>990</v>
      </c>
      <c r="D220" s="169" t="s">
        <v>1201</v>
      </c>
      <c r="E220" s="263" t="s">
        <v>1374</v>
      </c>
      <c r="F220" s="169" t="s">
        <v>549</v>
      </c>
      <c r="G220" s="200"/>
      <c r="H220" s="200" t="s">
        <v>283</v>
      </c>
      <c r="I220" s="200" t="s">
        <v>283</v>
      </c>
      <c r="J220" s="200" t="s">
        <v>582</v>
      </c>
      <c r="K220" s="168" t="s">
        <v>1363</v>
      </c>
      <c r="L220" s="201" t="s">
        <v>604</v>
      </c>
      <c r="M220" s="201" t="s">
        <v>990</v>
      </c>
      <c r="N220" s="392" t="s">
        <v>1438</v>
      </c>
      <c r="O220" s="170" t="s">
        <v>692</v>
      </c>
      <c r="P220" s="170">
        <v>3</v>
      </c>
      <c r="Q220" s="177">
        <v>3.33</v>
      </c>
      <c r="R220" s="176">
        <f t="shared" si="80"/>
        <v>0.33300000000000002</v>
      </c>
      <c r="S220" s="220"/>
      <c r="T220" s="176">
        <f t="shared" si="81"/>
        <v>0</v>
      </c>
      <c r="U220" s="175">
        <f t="shared" si="79"/>
        <v>0</v>
      </c>
      <c r="V220" s="170"/>
      <c r="W220" s="179">
        <v>0.1</v>
      </c>
      <c r="X220" s="216">
        <f t="shared" si="82"/>
        <v>0.33300000000000002</v>
      </c>
      <c r="Y220" s="216">
        <f t="shared" si="83"/>
        <v>3.6630000000000003</v>
      </c>
      <c r="Z220" s="180">
        <f t="shared" si="84"/>
        <v>5457870</v>
      </c>
      <c r="AA220" s="180"/>
      <c r="AB220" s="180">
        <f t="shared" si="92"/>
        <v>0</v>
      </c>
      <c r="AC220" s="180">
        <f t="shared" si="99"/>
        <v>0</v>
      </c>
      <c r="AD220" s="180">
        <f t="shared" si="85"/>
        <v>5457870</v>
      </c>
      <c r="AE220" s="178">
        <f t="shared" si="86"/>
        <v>436629.60000000003</v>
      </c>
      <c r="AF220" s="178">
        <f t="shared" si="87"/>
        <v>81868.05</v>
      </c>
      <c r="AG220" s="178">
        <f t="shared" si="88"/>
        <v>54578.700000000004</v>
      </c>
      <c r="AH220" s="178"/>
      <c r="AI220" s="178">
        <f t="shared" si="89"/>
        <v>573076.35</v>
      </c>
      <c r="AJ220" s="192"/>
      <c r="AK220" s="182">
        <f t="shared" si="90"/>
        <v>0</v>
      </c>
      <c r="AL220" s="182"/>
      <c r="AM220" s="182"/>
      <c r="AN220" s="193">
        <f t="shared" si="95"/>
        <v>3.33</v>
      </c>
      <c r="AO220" s="246">
        <v>0.25</v>
      </c>
      <c r="AP220" s="194">
        <f t="shared" si="94"/>
        <v>0.83250000000000002</v>
      </c>
      <c r="AQ220" s="178">
        <f t="shared" si="91"/>
        <v>1240425</v>
      </c>
      <c r="AR220" s="178"/>
      <c r="AS220" s="178">
        <f t="shared" si="96"/>
        <v>6125219</v>
      </c>
      <c r="AT220" s="469" t="str">
        <f t="shared" si="100"/>
        <v>202</v>
      </c>
      <c r="AU220" s="186"/>
      <c r="AV220" s="198" t="s">
        <v>709</v>
      </c>
    </row>
    <row r="221" spans="1:48" s="189" customFormat="1" ht="27.75" customHeight="1" x14ac:dyDescent="0.25">
      <c r="A221" s="168" t="s">
        <v>490</v>
      </c>
      <c r="B221" s="168" t="str">
        <f>VLOOKUP(D221,[1]LuongBC_T01!$B$9:$C$292,2,FALSE)</f>
        <v>0016100006786008</v>
      </c>
      <c r="C221" s="199" t="s">
        <v>991</v>
      </c>
      <c r="D221" s="169" t="s">
        <v>1225</v>
      </c>
      <c r="E221" s="263" t="s">
        <v>1374</v>
      </c>
      <c r="F221" s="169" t="s">
        <v>549</v>
      </c>
      <c r="G221" s="200"/>
      <c r="H221" s="200" t="s">
        <v>283</v>
      </c>
      <c r="I221" s="200" t="s">
        <v>283</v>
      </c>
      <c r="J221" s="200" t="s">
        <v>583</v>
      </c>
      <c r="K221" s="170" t="str">
        <f>VLOOKUP(D221,[2]T3!$B$2:$D$328,3,FALSE)</f>
        <v>024436109</v>
      </c>
      <c r="L221" s="201" t="s">
        <v>605</v>
      </c>
      <c r="M221" s="201" t="s">
        <v>991</v>
      </c>
      <c r="N221" s="392" t="s">
        <v>1438</v>
      </c>
      <c r="O221" s="170" t="s">
        <v>692</v>
      </c>
      <c r="P221" s="170">
        <v>3</v>
      </c>
      <c r="Q221" s="177">
        <v>3.33</v>
      </c>
      <c r="R221" s="176">
        <f t="shared" si="80"/>
        <v>0.33300000000000002</v>
      </c>
      <c r="S221" s="220"/>
      <c r="T221" s="176">
        <f t="shared" si="81"/>
        <v>0</v>
      </c>
      <c r="U221" s="175">
        <f t="shared" si="79"/>
        <v>0</v>
      </c>
      <c r="V221" s="170"/>
      <c r="W221" s="179">
        <v>0.1</v>
      </c>
      <c r="X221" s="216">
        <f t="shared" si="82"/>
        <v>0.33300000000000002</v>
      </c>
      <c r="Y221" s="216">
        <f t="shared" si="83"/>
        <v>3.6630000000000003</v>
      </c>
      <c r="Z221" s="180">
        <f t="shared" si="84"/>
        <v>5457870</v>
      </c>
      <c r="AA221" s="180"/>
      <c r="AB221" s="180">
        <f t="shared" si="92"/>
        <v>0</v>
      </c>
      <c r="AC221" s="180">
        <f t="shared" si="99"/>
        <v>0</v>
      </c>
      <c r="AD221" s="180">
        <f t="shared" si="85"/>
        <v>5457870</v>
      </c>
      <c r="AE221" s="178">
        <f t="shared" si="86"/>
        <v>436629.60000000003</v>
      </c>
      <c r="AF221" s="178">
        <f t="shared" si="87"/>
        <v>81868.05</v>
      </c>
      <c r="AG221" s="178">
        <f t="shared" si="88"/>
        <v>54578.700000000004</v>
      </c>
      <c r="AH221" s="178"/>
      <c r="AI221" s="178">
        <f t="shared" si="89"/>
        <v>573076.35</v>
      </c>
      <c r="AJ221" s="192"/>
      <c r="AK221" s="182">
        <f t="shared" si="90"/>
        <v>0</v>
      </c>
      <c r="AL221" s="182"/>
      <c r="AM221" s="182"/>
      <c r="AN221" s="193">
        <f t="shared" si="95"/>
        <v>3.33</v>
      </c>
      <c r="AO221" s="246">
        <v>0.25</v>
      </c>
      <c r="AP221" s="194">
        <f t="shared" si="94"/>
        <v>0.83250000000000002</v>
      </c>
      <c r="AQ221" s="178">
        <f t="shared" si="91"/>
        <v>1240425</v>
      </c>
      <c r="AR221" s="178"/>
      <c r="AS221" s="178">
        <f t="shared" si="96"/>
        <v>6125219</v>
      </c>
      <c r="AT221" s="469" t="str">
        <f t="shared" si="100"/>
        <v>203</v>
      </c>
      <c r="AU221" s="186"/>
      <c r="AV221" s="198" t="s">
        <v>709</v>
      </c>
    </row>
    <row r="222" spans="1:48" s="189" customFormat="1" ht="27" customHeight="1" x14ac:dyDescent="0.25">
      <c r="A222" s="168" t="s">
        <v>491</v>
      </c>
      <c r="B222" s="168" t="str">
        <f>VLOOKUP(D222,[1]LuongBC_T01!$B$9:$C$292,2,FALSE)</f>
        <v>0016100006742003</v>
      </c>
      <c r="C222" s="199" t="s">
        <v>992</v>
      </c>
      <c r="D222" s="169" t="s">
        <v>1226</v>
      </c>
      <c r="E222" s="263" t="s">
        <v>1377</v>
      </c>
      <c r="F222" s="169" t="s">
        <v>549</v>
      </c>
      <c r="G222" s="200"/>
      <c r="H222" s="200" t="s">
        <v>283</v>
      </c>
      <c r="I222" s="200" t="s">
        <v>283</v>
      </c>
      <c r="J222" s="200" t="s">
        <v>585</v>
      </c>
      <c r="K222" s="170" t="str">
        <f>VLOOKUP(D222,[2]T3!$B$2:$D$328,3,FALSE)</f>
        <v>023727322</v>
      </c>
      <c r="L222" s="201" t="s">
        <v>607</v>
      </c>
      <c r="M222" s="201" t="s">
        <v>992</v>
      </c>
      <c r="N222" s="390" t="s">
        <v>1438</v>
      </c>
      <c r="O222" s="170" t="s">
        <v>692</v>
      </c>
      <c r="P222" s="170">
        <v>3</v>
      </c>
      <c r="Q222" s="177">
        <v>3.33</v>
      </c>
      <c r="R222" s="176">
        <f t="shared" si="80"/>
        <v>0.33300000000000002</v>
      </c>
      <c r="S222" s="220"/>
      <c r="T222" s="176">
        <f t="shared" si="81"/>
        <v>0</v>
      </c>
      <c r="U222" s="175">
        <f t="shared" si="79"/>
        <v>0</v>
      </c>
      <c r="V222" s="170"/>
      <c r="W222" s="179">
        <v>0.1</v>
      </c>
      <c r="X222" s="216">
        <f t="shared" si="82"/>
        <v>0.33300000000000002</v>
      </c>
      <c r="Y222" s="216">
        <f t="shared" si="83"/>
        <v>3.6630000000000003</v>
      </c>
      <c r="Z222" s="180">
        <f t="shared" si="84"/>
        <v>5457870</v>
      </c>
      <c r="AA222" s="180"/>
      <c r="AB222" s="180">
        <f t="shared" si="92"/>
        <v>0</v>
      </c>
      <c r="AC222" s="180">
        <f t="shared" si="99"/>
        <v>0</v>
      </c>
      <c r="AD222" s="180">
        <f t="shared" si="85"/>
        <v>5457870</v>
      </c>
      <c r="AE222" s="178">
        <f t="shared" si="86"/>
        <v>436629.60000000003</v>
      </c>
      <c r="AF222" s="178">
        <f t="shared" si="87"/>
        <v>81868.05</v>
      </c>
      <c r="AG222" s="178">
        <f t="shared" si="88"/>
        <v>54578.700000000004</v>
      </c>
      <c r="AH222" s="178"/>
      <c r="AI222" s="178">
        <f t="shared" si="89"/>
        <v>573076.35</v>
      </c>
      <c r="AJ222" s="192"/>
      <c r="AK222" s="182">
        <f t="shared" si="90"/>
        <v>0</v>
      </c>
      <c r="AL222" s="182"/>
      <c r="AM222" s="182"/>
      <c r="AN222" s="193">
        <f t="shared" si="95"/>
        <v>3.33</v>
      </c>
      <c r="AO222" s="246">
        <v>0.25</v>
      </c>
      <c r="AP222" s="194">
        <f t="shared" si="94"/>
        <v>0.83250000000000002</v>
      </c>
      <c r="AQ222" s="178">
        <f t="shared" si="91"/>
        <v>1240425</v>
      </c>
      <c r="AR222" s="178"/>
      <c r="AS222" s="178">
        <f t="shared" si="96"/>
        <v>6125219</v>
      </c>
      <c r="AT222" s="469" t="str">
        <f t="shared" si="100"/>
        <v>204</v>
      </c>
      <c r="AU222" s="186"/>
      <c r="AV222" s="198" t="s">
        <v>714</v>
      </c>
    </row>
    <row r="223" spans="1:48" s="189" customFormat="1" ht="27" customHeight="1" x14ac:dyDescent="0.25">
      <c r="A223" s="168" t="s">
        <v>492</v>
      </c>
      <c r="B223" s="168" t="str">
        <f>VLOOKUP(D223,[1]LuongBC_T01!$B$9:$C$292,2,FALSE)</f>
        <v>0016100006534001</v>
      </c>
      <c r="C223" s="199" t="s">
        <v>993</v>
      </c>
      <c r="D223" s="169" t="s">
        <v>1227</v>
      </c>
      <c r="E223" s="263" t="s">
        <v>1381</v>
      </c>
      <c r="F223" s="169" t="s">
        <v>549</v>
      </c>
      <c r="G223" s="200"/>
      <c r="H223" s="200" t="s">
        <v>283</v>
      </c>
      <c r="I223" s="200" t="s">
        <v>283</v>
      </c>
      <c r="J223" s="200" t="s">
        <v>586</v>
      </c>
      <c r="K223" s="170" t="str">
        <f>VLOOKUP(D223,[2]T3!$B$2:$D$328,3,FALSE)</f>
        <v>025211873</v>
      </c>
      <c r="L223" s="201" t="s">
        <v>608</v>
      </c>
      <c r="M223" s="201" t="s">
        <v>993</v>
      </c>
      <c r="N223" s="390" t="s">
        <v>1438</v>
      </c>
      <c r="O223" s="170" t="s">
        <v>692</v>
      </c>
      <c r="P223" s="170">
        <v>3</v>
      </c>
      <c r="Q223" s="177">
        <v>3.33</v>
      </c>
      <c r="R223" s="176">
        <f t="shared" si="80"/>
        <v>0.33300000000000002</v>
      </c>
      <c r="S223" s="220"/>
      <c r="T223" s="176">
        <f t="shared" si="81"/>
        <v>0</v>
      </c>
      <c r="U223" s="175">
        <f t="shared" si="79"/>
        <v>0</v>
      </c>
      <c r="V223" s="170"/>
      <c r="W223" s="179">
        <v>0.1</v>
      </c>
      <c r="X223" s="216">
        <f t="shared" si="82"/>
        <v>0.33300000000000002</v>
      </c>
      <c r="Y223" s="216">
        <f t="shared" si="83"/>
        <v>3.6630000000000003</v>
      </c>
      <c r="Z223" s="180">
        <f t="shared" si="84"/>
        <v>5457870</v>
      </c>
      <c r="AA223" s="180"/>
      <c r="AB223" s="180">
        <f t="shared" si="92"/>
        <v>0</v>
      </c>
      <c r="AC223" s="180">
        <f t="shared" si="99"/>
        <v>0</v>
      </c>
      <c r="AD223" s="180">
        <f t="shared" si="85"/>
        <v>5457870</v>
      </c>
      <c r="AE223" s="178">
        <f t="shared" si="86"/>
        <v>436629.60000000003</v>
      </c>
      <c r="AF223" s="178">
        <f t="shared" si="87"/>
        <v>81868.05</v>
      </c>
      <c r="AG223" s="178">
        <f t="shared" si="88"/>
        <v>54578.700000000004</v>
      </c>
      <c r="AH223" s="178"/>
      <c r="AI223" s="178">
        <f t="shared" si="89"/>
        <v>573076.35</v>
      </c>
      <c r="AJ223" s="192"/>
      <c r="AK223" s="182">
        <f t="shared" si="90"/>
        <v>0</v>
      </c>
      <c r="AL223" s="182"/>
      <c r="AM223" s="182"/>
      <c r="AN223" s="193">
        <f t="shared" si="95"/>
        <v>3.33</v>
      </c>
      <c r="AO223" s="246">
        <v>0.25</v>
      </c>
      <c r="AP223" s="194">
        <f t="shared" si="94"/>
        <v>0.83250000000000002</v>
      </c>
      <c r="AQ223" s="178">
        <f t="shared" si="91"/>
        <v>1240425</v>
      </c>
      <c r="AR223" s="178"/>
      <c r="AS223" s="178">
        <f t="shared" si="96"/>
        <v>6125219</v>
      </c>
      <c r="AT223" s="469" t="str">
        <f t="shared" si="100"/>
        <v>205</v>
      </c>
      <c r="AU223" s="186"/>
      <c r="AV223" s="198" t="s">
        <v>703</v>
      </c>
    </row>
    <row r="224" spans="1:48" s="189" customFormat="1" ht="25.5" x14ac:dyDescent="0.25">
      <c r="A224" s="168" t="s">
        <v>493</v>
      </c>
      <c r="B224" s="168" t="str">
        <f>VLOOKUP(D224,[1]LuongBC_T01!$B$9:$C$292,2,FALSE)</f>
        <v>0016100006581007</v>
      </c>
      <c r="C224" s="199" t="s">
        <v>994</v>
      </c>
      <c r="D224" s="169" t="s">
        <v>570</v>
      </c>
      <c r="E224" s="263" t="s">
        <v>1376</v>
      </c>
      <c r="F224" s="169" t="s">
        <v>549</v>
      </c>
      <c r="G224" s="200" t="s">
        <v>25</v>
      </c>
      <c r="H224" s="200" t="s">
        <v>283</v>
      </c>
      <c r="I224" s="200" t="s">
        <v>283</v>
      </c>
      <c r="J224" s="200" t="s">
        <v>587</v>
      </c>
      <c r="K224" s="168" t="s">
        <v>1343</v>
      </c>
      <c r="L224" s="201" t="s">
        <v>609</v>
      </c>
      <c r="M224" s="201" t="s">
        <v>994</v>
      </c>
      <c r="N224" s="390" t="s">
        <v>1438</v>
      </c>
      <c r="O224" s="170" t="s">
        <v>692</v>
      </c>
      <c r="P224" s="170">
        <v>3</v>
      </c>
      <c r="Q224" s="177">
        <v>3.33</v>
      </c>
      <c r="R224" s="176">
        <f t="shared" si="80"/>
        <v>0.33300000000000002</v>
      </c>
      <c r="S224" s="220"/>
      <c r="T224" s="176">
        <f t="shared" si="81"/>
        <v>0</v>
      </c>
      <c r="U224" s="175">
        <f t="shared" si="79"/>
        <v>0</v>
      </c>
      <c r="V224" s="170"/>
      <c r="W224" s="179">
        <v>0.1</v>
      </c>
      <c r="X224" s="216">
        <f t="shared" si="82"/>
        <v>0.33300000000000002</v>
      </c>
      <c r="Y224" s="216">
        <f t="shared" si="83"/>
        <v>3.6630000000000003</v>
      </c>
      <c r="Z224" s="180">
        <f t="shared" si="84"/>
        <v>5457870</v>
      </c>
      <c r="AA224" s="180"/>
      <c r="AB224" s="180">
        <f t="shared" si="92"/>
        <v>0</v>
      </c>
      <c r="AC224" s="180">
        <v>0</v>
      </c>
      <c r="AD224" s="180">
        <f t="shared" si="85"/>
        <v>5457870</v>
      </c>
      <c r="AE224" s="178">
        <f t="shared" si="86"/>
        <v>436629.60000000003</v>
      </c>
      <c r="AF224" s="178">
        <f t="shared" si="87"/>
        <v>81868.05</v>
      </c>
      <c r="AG224" s="178">
        <f t="shared" si="88"/>
        <v>54578.700000000004</v>
      </c>
      <c r="AH224" s="178"/>
      <c r="AI224" s="178">
        <f t="shared" si="89"/>
        <v>573076.35</v>
      </c>
      <c r="AJ224" s="192"/>
      <c r="AK224" s="182">
        <f t="shared" si="90"/>
        <v>0</v>
      </c>
      <c r="AL224" s="182"/>
      <c r="AM224" s="182"/>
      <c r="AN224" s="193">
        <f t="shared" si="95"/>
        <v>3.33</v>
      </c>
      <c r="AO224" s="246">
        <v>0.25</v>
      </c>
      <c r="AP224" s="194">
        <f t="shared" si="94"/>
        <v>0.83250000000000002</v>
      </c>
      <c r="AQ224" s="178">
        <f t="shared" si="91"/>
        <v>1240425</v>
      </c>
      <c r="AR224" s="178"/>
      <c r="AS224" s="178">
        <f t="shared" si="96"/>
        <v>6125219</v>
      </c>
      <c r="AT224" s="469" t="str">
        <f t="shared" si="100"/>
        <v>206</v>
      </c>
      <c r="AU224" s="195"/>
      <c r="AV224" s="198" t="s">
        <v>704</v>
      </c>
    </row>
    <row r="225" spans="1:58" s="189" customFormat="1" ht="30.75" customHeight="1" x14ac:dyDescent="0.25">
      <c r="A225" s="168" t="s">
        <v>494</v>
      </c>
      <c r="B225" s="168" t="str">
        <f>VLOOKUP(D225,[1]LuongBC_T01!$B$9:$C$292,2,FALSE)</f>
        <v>0016100006695005</v>
      </c>
      <c r="C225" s="199" t="s">
        <v>995</v>
      </c>
      <c r="D225" s="169" t="s">
        <v>572</v>
      </c>
      <c r="E225" s="263" t="s">
        <v>1377</v>
      </c>
      <c r="F225" s="169" t="s">
        <v>549</v>
      </c>
      <c r="G225" s="200"/>
      <c r="H225" s="200" t="s">
        <v>283</v>
      </c>
      <c r="I225" s="200" t="s">
        <v>283</v>
      </c>
      <c r="J225" s="200" t="s">
        <v>590</v>
      </c>
      <c r="K225" s="170" t="str">
        <f>VLOOKUP(D225,[2]T3!$B$2:$D$328,3,FALSE)</f>
        <v>022958396</v>
      </c>
      <c r="L225" s="201" t="s">
        <v>612</v>
      </c>
      <c r="M225" s="201" t="s">
        <v>995</v>
      </c>
      <c r="N225" s="390" t="s">
        <v>1438</v>
      </c>
      <c r="O225" s="170" t="s">
        <v>692</v>
      </c>
      <c r="P225" s="170">
        <v>3</v>
      </c>
      <c r="Q225" s="177">
        <v>3.33</v>
      </c>
      <c r="R225" s="176">
        <f t="shared" si="80"/>
        <v>0.33300000000000002</v>
      </c>
      <c r="S225" s="220"/>
      <c r="T225" s="176">
        <f t="shared" si="81"/>
        <v>0</v>
      </c>
      <c r="U225" s="175">
        <f t="shared" si="79"/>
        <v>0</v>
      </c>
      <c r="V225" s="170"/>
      <c r="W225" s="179">
        <v>0.1</v>
      </c>
      <c r="X225" s="216">
        <f t="shared" si="82"/>
        <v>0.33300000000000002</v>
      </c>
      <c r="Y225" s="216">
        <f t="shared" si="83"/>
        <v>3.6630000000000003</v>
      </c>
      <c r="Z225" s="180">
        <f t="shared" si="84"/>
        <v>5457870</v>
      </c>
      <c r="AA225" s="180"/>
      <c r="AB225" s="180">
        <f t="shared" si="92"/>
        <v>0</v>
      </c>
      <c r="AC225" s="180">
        <f>Z225/24*AA225*75%</f>
        <v>0</v>
      </c>
      <c r="AD225" s="180">
        <f t="shared" si="85"/>
        <v>5457870</v>
      </c>
      <c r="AE225" s="178">
        <f t="shared" si="86"/>
        <v>436629.60000000003</v>
      </c>
      <c r="AF225" s="178">
        <f t="shared" si="87"/>
        <v>81868.05</v>
      </c>
      <c r="AG225" s="178">
        <f t="shared" si="88"/>
        <v>54578.700000000004</v>
      </c>
      <c r="AH225" s="178"/>
      <c r="AI225" s="178">
        <f t="shared" si="89"/>
        <v>573076.35</v>
      </c>
      <c r="AJ225" s="192"/>
      <c r="AK225" s="182">
        <f t="shared" si="90"/>
        <v>0</v>
      </c>
      <c r="AL225" s="182"/>
      <c r="AM225" s="182"/>
      <c r="AN225" s="193">
        <f t="shared" si="95"/>
        <v>3.33</v>
      </c>
      <c r="AO225" s="246">
        <v>0.25</v>
      </c>
      <c r="AP225" s="194">
        <f t="shared" si="94"/>
        <v>0.83250000000000002</v>
      </c>
      <c r="AQ225" s="178">
        <f t="shared" si="91"/>
        <v>1240425</v>
      </c>
      <c r="AR225" s="178"/>
      <c r="AS225" s="178">
        <f t="shared" si="96"/>
        <v>6125219</v>
      </c>
      <c r="AT225" s="469" t="str">
        <f t="shared" si="100"/>
        <v>207</v>
      </c>
      <c r="AU225" s="186"/>
      <c r="AV225" s="256" t="s">
        <v>714</v>
      </c>
    </row>
    <row r="226" spans="1:58" s="189" customFormat="1" ht="30" customHeight="1" x14ac:dyDescent="0.25">
      <c r="A226" s="168" t="s">
        <v>495</v>
      </c>
      <c r="B226" s="168" t="str">
        <f>VLOOKUP(D226,[1]LuongBC_T01!$B$9:$C$292,2,FALSE)</f>
        <v>0016100006788003</v>
      </c>
      <c r="C226" s="199" t="s">
        <v>997</v>
      </c>
      <c r="D226" s="169" t="s">
        <v>1229</v>
      </c>
      <c r="E226" s="263" t="s">
        <v>1374</v>
      </c>
      <c r="F226" s="169" t="s">
        <v>549</v>
      </c>
      <c r="G226" s="200"/>
      <c r="H226" s="200" t="s">
        <v>283</v>
      </c>
      <c r="I226" s="200" t="s">
        <v>283</v>
      </c>
      <c r="J226" s="200" t="s">
        <v>591</v>
      </c>
      <c r="K226" s="170" t="str">
        <f>VLOOKUP(D226,[2]T3!$B$2:$D$328,3,FALSE)</f>
        <v>022939793</v>
      </c>
      <c r="L226" s="201" t="s">
        <v>613</v>
      </c>
      <c r="M226" s="201" t="s">
        <v>997</v>
      </c>
      <c r="N226" s="392" t="s">
        <v>1438</v>
      </c>
      <c r="O226" s="170" t="s">
        <v>692</v>
      </c>
      <c r="P226" s="170">
        <v>3</v>
      </c>
      <c r="Q226" s="177">
        <v>3.33</v>
      </c>
      <c r="R226" s="176">
        <f t="shared" si="80"/>
        <v>0.33300000000000002</v>
      </c>
      <c r="S226" s="220"/>
      <c r="T226" s="176">
        <f t="shared" si="81"/>
        <v>0</v>
      </c>
      <c r="U226" s="175">
        <f t="shared" si="79"/>
        <v>0</v>
      </c>
      <c r="V226" s="170"/>
      <c r="W226" s="179">
        <v>0.1</v>
      </c>
      <c r="X226" s="216">
        <f t="shared" si="82"/>
        <v>0.33300000000000002</v>
      </c>
      <c r="Y226" s="216">
        <f t="shared" si="83"/>
        <v>3.6630000000000003</v>
      </c>
      <c r="Z226" s="180">
        <f t="shared" si="84"/>
        <v>5457870</v>
      </c>
      <c r="AA226" s="180"/>
      <c r="AB226" s="180">
        <f t="shared" si="92"/>
        <v>0</v>
      </c>
      <c r="AC226" s="180">
        <f>Z226/24*AA226*75%</f>
        <v>0</v>
      </c>
      <c r="AD226" s="180">
        <f t="shared" si="85"/>
        <v>5457870</v>
      </c>
      <c r="AE226" s="178">
        <f t="shared" si="86"/>
        <v>436629.60000000003</v>
      </c>
      <c r="AF226" s="178">
        <f t="shared" si="87"/>
        <v>81868.05</v>
      </c>
      <c r="AG226" s="178">
        <f t="shared" si="88"/>
        <v>54578.700000000004</v>
      </c>
      <c r="AH226" s="178"/>
      <c r="AI226" s="178">
        <f t="shared" si="89"/>
        <v>573076.35</v>
      </c>
      <c r="AJ226" s="192"/>
      <c r="AK226" s="182">
        <f t="shared" si="90"/>
        <v>0</v>
      </c>
      <c r="AL226" s="182"/>
      <c r="AM226" s="182"/>
      <c r="AN226" s="193">
        <f t="shared" si="95"/>
        <v>3.33</v>
      </c>
      <c r="AO226" s="246">
        <v>0.25</v>
      </c>
      <c r="AP226" s="194">
        <f t="shared" si="94"/>
        <v>0.83250000000000002</v>
      </c>
      <c r="AQ226" s="178">
        <f t="shared" si="91"/>
        <v>1240425</v>
      </c>
      <c r="AR226" s="178"/>
      <c r="AS226" s="178">
        <f t="shared" si="96"/>
        <v>6125219</v>
      </c>
      <c r="AT226" s="469" t="str">
        <f t="shared" si="100"/>
        <v>208</v>
      </c>
      <c r="AU226" s="186"/>
      <c r="AV226" s="187" t="s">
        <v>709</v>
      </c>
    </row>
    <row r="227" spans="1:58" s="189" customFormat="1" ht="32.25" customHeight="1" x14ac:dyDescent="0.25">
      <c r="A227" s="168" t="s">
        <v>496</v>
      </c>
      <c r="B227" s="168" t="str">
        <f>VLOOKUP(D227,[1]LuongBC_T01!$B$9:$C$292,2,FALSE)</f>
        <v>0016100006547006</v>
      </c>
      <c r="C227" s="199" t="s">
        <v>998</v>
      </c>
      <c r="D227" s="169" t="s">
        <v>574</v>
      </c>
      <c r="E227" s="263" t="s">
        <v>1382</v>
      </c>
      <c r="F227" s="169" t="s">
        <v>549</v>
      </c>
      <c r="G227" s="170" t="s">
        <v>25</v>
      </c>
      <c r="H227" s="200" t="s">
        <v>283</v>
      </c>
      <c r="I227" s="200" t="s">
        <v>283</v>
      </c>
      <c r="J227" s="200" t="s">
        <v>595</v>
      </c>
      <c r="K227" s="170" t="str">
        <f>VLOOKUP(D227,[2]T3!$B$2:$D$328,3,FALSE)</f>
        <v>311759209</v>
      </c>
      <c r="L227" s="226" t="s">
        <v>616</v>
      </c>
      <c r="M227" s="226" t="s">
        <v>998</v>
      </c>
      <c r="N227" s="390" t="s">
        <v>1438</v>
      </c>
      <c r="O227" s="170" t="s">
        <v>692</v>
      </c>
      <c r="P227" s="173">
        <v>3</v>
      </c>
      <c r="Q227" s="177">
        <v>3.33</v>
      </c>
      <c r="R227" s="176">
        <f t="shared" si="80"/>
        <v>0.29970000000000002</v>
      </c>
      <c r="S227" s="370"/>
      <c r="T227" s="176">
        <f t="shared" si="81"/>
        <v>0</v>
      </c>
      <c r="U227" s="175">
        <f t="shared" si="79"/>
        <v>0</v>
      </c>
      <c r="V227" s="170"/>
      <c r="W227" s="179">
        <f>VLOOKUP(D227,[3]BC!$D$14:$W$287,20,FALSE)</f>
        <v>0.09</v>
      </c>
      <c r="X227" s="216">
        <f t="shared" si="82"/>
        <v>0.29970000000000002</v>
      </c>
      <c r="Y227" s="216">
        <f t="shared" si="83"/>
        <v>3.6297000000000001</v>
      </c>
      <c r="Z227" s="180">
        <f t="shared" si="84"/>
        <v>5408253</v>
      </c>
      <c r="AA227" s="180"/>
      <c r="AB227" s="180">
        <f t="shared" si="92"/>
        <v>0</v>
      </c>
      <c r="AC227" s="180">
        <f>Z227/24*AA227*75%</f>
        <v>0</v>
      </c>
      <c r="AD227" s="180">
        <f t="shared" si="85"/>
        <v>5408253</v>
      </c>
      <c r="AE227" s="178">
        <f t="shared" si="86"/>
        <v>432660.24</v>
      </c>
      <c r="AF227" s="178">
        <f t="shared" si="87"/>
        <v>81123.794999999998</v>
      </c>
      <c r="AG227" s="178">
        <f t="shared" si="88"/>
        <v>54082.53</v>
      </c>
      <c r="AH227" s="178"/>
      <c r="AI227" s="178">
        <f t="shared" si="89"/>
        <v>567866.56499999994</v>
      </c>
      <c r="AJ227" s="192"/>
      <c r="AK227" s="182">
        <f t="shared" si="90"/>
        <v>0</v>
      </c>
      <c r="AL227" s="182"/>
      <c r="AM227" s="182"/>
      <c r="AN227" s="193">
        <f t="shared" si="95"/>
        <v>3.33</v>
      </c>
      <c r="AO227" s="246">
        <v>0.25</v>
      </c>
      <c r="AP227" s="194">
        <f t="shared" si="94"/>
        <v>0.83250000000000002</v>
      </c>
      <c r="AQ227" s="178">
        <f t="shared" si="91"/>
        <v>1240425</v>
      </c>
      <c r="AR227" s="178"/>
      <c r="AS227" s="178">
        <f t="shared" si="96"/>
        <v>6080811</v>
      </c>
      <c r="AT227" s="469" t="str">
        <f t="shared" si="100"/>
        <v>209</v>
      </c>
      <c r="AU227" s="195"/>
      <c r="AV227" s="198" t="s">
        <v>708</v>
      </c>
      <c r="AW227" s="29"/>
      <c r="AX227" s="29"/>
      <c r="AY227" s="29"/>
      <c r="AZ227" s="29"/>
      <c r="BA227" s="29"/>
      <c r="BB227" s="29"/>
      <c r="BC227" s="29"/>
      <c r="BD227" s="29"/>
      <c r="BE227" s="29"/>
      <c r="BF227" s="29"/>
    </row>
    <row r="228" spans="1:58" s="189" customFormat="1" ht="32.25" customHeight="1" x14ac:dyDescent="0.25">
      <c r="A228" s="168" t="s">
        <v>497</v>
      </c>
      <c r="B228" s="168" t="str">
        <f>VLOOKUP(D228,[1]LuongBC_T01!$B$9:$C$292,2,FALSE)</f>
        <v>0016100006757008</v>
      </c>
      <c r="C228" s="199" t="s">
        <v>999</v>
      </c>
      <c r="D228" s="230" t="s">
        <v>558</v>
      </c>
      <c r="E228" s="263" t="s">
        <v>1374</v>
      </c>
      <c r="F228" s="231"/>
      <c r="G228" s="251" t="s">
        <v>25</v>
      </c>
      <c r="H228" s="200" t="s">
        <v>283</v>
      </c>
      <c r="I228" s="200" t="s">
        <v>283</v>
      </c>
      <c r="J228" s="231"/>
      <c r="K228" s="168" t="s">
        <v>1365</v>
      </c>
      <c r="L228" s="386">
        <v>1603205357641</v>
      </c>
      <c r="M228" s="386" t="s">
        <v>999</v>
      </c>
      <c r="N228" s="393" t="s">
        <v>1438</v>
      </c>
      <c r="O228" s="170" t="s">
        <v>692</v>
      </c>
      <c r="P228" s="170">
        <v>3</v>
      </c>
      <c r="Q228" s="177">
        <v>3.33</v>
      </c>
      <c r="R228" s="176">
        <f t="shared" si="80"/>
        <v>0.33300000000000002</v>
      </c>
      <c r="S228" s="169"/>
      <c r="T228" s="176">
        <f t="shared" si="81"/>
        <v>0</v>
      </c>
      <c r="U228" s="175">
        <f t="shared" si="79"/>
        <v>0</v>
      </c>
      <c r="V228" s="170"/>
      <c r="W228" s="179">
        <v>0.1</v>
      </c>
      <c r="X228" s="216">
        <f t="shared" si="82"/>
        <v>0.33300000000000002</v>
      </c>
      <c r="Y228" s="216">
        <f t="shared" si="83"/>
        <v>3.6630000000000003</v>
      </c>
      <c r="Z228" s="180">
        <f t="shared" si="84"/>
        <v>5457870</v>
      </c>
      <c r="AA228" s="180"/>
      <c r="AB228" s="180">
        <f t="shared" si="92"/>
        <v>0</v>
      </c>
      <c r="AC228" s="180">
        <f>Z228/24*AA228*75%</f>
        <v>0</v>
      </c>
      <c r="AD228" s="180">
        <f t="shared" si="85"/>
        <v>5457870</v>
      </c>
      <c r="AE228" s="178">
        <f t="shared" si="86"/>
        <v>436629.60000000003</v>
      </c>
      <c r="AF228" s="178">
        <f t="shared" si="87"/>
        <v>81868.05</v>
      </c>
      <c r="AG228" s="178">
        <f t="shared" si="88"/>
        <v>54578.700000000004</v>
      </c>
      <c r="AH228" s="178"/>
      <c r="AI228" s="178">
        <f t="shared" si="89"/>
        <v>573076.35</v>
      </c>
      <c r="AJ228" s="192"/>
      <c r="AK228" s="182">
        <f t="shared" si="90"/>
        <v>0</v>
      </c>
      <c r="AL228" s="182"/>
      <c r="AM228" s="182"/>
      <c r="AN228" s="183">
        <f t="shared" si="95"/>
        <v>3.33</v>
      </c>
      <c r="AO228" s="246">
        <v>0.25</v>
      </c>
      <c r="AP228" s="194">
        <f t="shared" si="94"/>
        <v>0.83250000000000002</v>
      </c>
      <c r="AQ228" s="178">
        <f t="shared" si="91"/>
        <v>1240425</v>
      </c>
      <c r="AR228" s="178"/>
      <c r="AS228" s="178">
        <f t="shared" si="96"/>
        <v>6125219</v>
      </c>
      <c r="AT228" s="469" t="str">
        <f t="shared" si="100"/>
        <v>210</v>
      </c>
      <c r="AU228" s="244"/>
      <c r="AV228" s="198" t="s">
        <v>709</v>
      </c>
    </row>
    <row r="229" spans="1:58" s="189" customFormat="1" ht="42" customHeight="1" x14ac:dyDescent="0.25">
      <c r="A229" s="168" t="s">
        <v>498</v>
      </c>
      <c r="B229" s="168" t="str">
        <f>VLOOKUP(D229,[1]LuongBC_T01!$B$9:$C$292,2,FALSE)</f>
        <v>0016100006714007</v>
      </c>
      <c r="C229" s="199" t="s">
        <v>1001</v>
      </c>
      <c r="D229" s="169" t="s">
        <v>567</v>
      </c>
      <c r="E229" s="263" t="s">
        <v>1435</v>
      </c>
      <c r="F229" s="169" t="s">
        <v>549</v>
      </c>
      <c r="G229" s="200" t="s">
        <v>25</v>
      </c>
      <c r="H229" s="200" t="s">
        <v>284</v>
      </c>
      <c r="I229" s="200" t="s">
        <v>283</v>
      </c>
      <c r="J229" s="200" t="s">
        <v>576</v>
      </c>
      <c r="K229" s="170" t="str">
        <f>VLOOKUP(D229,[2]T3!$B$2:$D$328,3,FALSE)</f>
        <v>250443735</v>
      </c>
      <c r="L229" s="201" t="s">
        <v>598</v>
      </c>
      <c r="M229" s="201" t="s">
        <v>1001</v>
      </c>
      <c r="N229" s="392" t="s">
        <v>807</v>
      </c>
      <c r="O229" s="170" t="s">
        <v>692</v>
      </c>
      <c r="P229" s="170">
        <v>3</v>
      </c>
      <c r="Q229" s="177">
        <v>3.33</v>
      </c>
      <c r="R229" s="176">
        <f t="shared" si="80"/>
        <v>0</v>
      </c>
      <c r="S229" s="220"/>
      <c r="T229" s="176">
        <f t="shared" si="81"/>
        <v>0</v>
      </c>
      <c r="U229" s="175">
        <f t="shared" si="79"/>
        <v>0</v>
      </c>
      <c r="V229" s="170"/>
      <c r="W229" s="179">
        <f>VLOOKUP(D229,[3]BC!$D$14:$W$287,20,FALSE)</f>
        <v>0</v>
      </c>
      <c r="X229" s="216">
        <f t="shared" si="82"/>
        <v>0</v>
      </c>
      <c r="Y229" s="216">
        <f t="shared" si="83"/>
        <v>3.33</v>
      </c>
      <c r="Z229" s="180">
        <f t="shared" si="84"/>
        <v>4961700</v>
      </c>
      <c r="AA229" s="180"/>
      <c r="AB229" s="180">
        <f t="shared" si="92"/>
        <v>0</v>
      </c>
      <c r="AC229" s="180">
        <v>0</v>
      </c>
      <c r="AD229" s="180">
        <f t="shared" si="85"/>
        <v>4961700</v>
      </c>
      <c r="AE229" s="178">
        <f t="shared" si="86"/>
        <v>396936</v>
      </c>
      <c r="AF229" s="178">
        <f t="shared" si="87"/>
        <v>74425.5</v>
      </c>
      <c r="AG229" s="178">
        <f t="shared" si="88"/>
        <v>49617</v>
      </c>
      <c r="AH229" s="178"/>
      <c r="AI229" s="178">
        <f t="shared" si="89"/>
        <v>520978.5</v>
      </c>
      <c r="AJ229" s="192"/>
      <c r="AK229" s="182">
        <f t="shared" si="90"/>
        <v>0</v>
      </c>
      <c r="AL229" s="182"/>
      <c r="AM229" s="182"/>
      <c r="AN229" s="193">
        <f t="shared" si="95"/>
        <v>3.33</v>
      </c>
      <c r="AO229" s="179"/>
      <c r="AP229" s="194">
        <f t="shared" si="94"/>
        <v>0</v>
      </c>
      <c r="AQ229" s="178">
        <f t="shared" si="91"/>
        <v>0</v>
      </c>
      <c r="AR229" s="178"/>
      <c r="AS229" s="178">
        <f t="shared" si="96"/>
        <v>4440722</v>
      </c>
      <c r="AT229" s="469" t="str">
        <f t="shared" si="100"/>
        <v>211</v>
      </c>
      <c r="AU229" s="195"/>
      <c r="AV229" s="198" t="s">
        <v>728</v>
      </c>
      <c r="AW229" s="29"/>
      <c r="AX229" s="29"/>
      <c r="AY229" s="29"/>
      <c r="AZ229" s="29"/>
      <c r="BA229" s="29"/>
      <c r="BB229" s="29"/>
      <c r="BC229" s="29"/>
      <c r="BD229" s="29"/>
      <c r="BE229" s="29"/>
      <c r="BF229" s="29"/>
    </row>
    <row r="230" spans="1:58" s="189" customFormat="1" ht="39" customHeight="1" x14ac:dyDescent="0.25">
      <c r="A230" s="168" t="s">
        <v>499</v>
      </c>
      <c r="B230" s="168" t="str">
        <f>VLOOKUP(D230,[1]LuongBC_T01!$B$9:$C$292,2,FALSE)</f>
        <v>0016100006568003</v>
      </c>
      <c r="C230" s="724" t="s">
        <v>1317</v>
      </c>
      <c r="D230" s="169" t="s">
        <v>1124</v>
      </c>
      <c r="E230" s="263" t="s">
        <v>1103</v>
      </c>
      <c r="F230" s="169"/>
      <c r="G230" s="200"/>
      <c r="H230" s="200"/>
      <c r="I230" s="200"/>
      <c r="J230" s="200"/>
      <c r="K230" s="170" t="str">
        <f>VLOOKUP(D230,[2]T3!$B$2:$D$328,3,FALSE)</f>
        <v>023790449</v>
      </c>
      <c r="L230" s="201"/>
      <c r="M230" s="201"/>
      <c r="N230" s="391" t="s">
        <v>807</v>
      </c>
      <c r="O230" s="222"/>
      <c r="P230" s="172">
        <v>3</v>
      </c>
      <c r="Q230" s="430">
        <v>3.33</v>
      </c>
      <c r="R230" s="176"/>
      <c r="S230" s="220"/>
      <c r="T230" s="176">
        <f t="shared" si="81"/>
        <v>0</v>
      </c>
      <c r="U230" s="175">
        <f t="shared" ref="U230:U246" si="101">Q230*S230*$D$8/100</f>
        <v>0</v>
      </c>
      <c r="V230" s="170"/>
      <c r="W230" s="179">
        <f>VLOOKUP(D230,[3]BC!$D$14:$W$287,20,FALSE)</f>
        <v>0</v>
      </c>
      <c r="X230" s="216">
        <f t="shared" si="82"/>
        <v>0</v>
      </c>
      <c r="Y230" s="216">
        <f t="shared" si="83"/>
        <v>3.33</v>
      </c>
      <c r="Z230" s="180">
        <f t="shared" si="84"/>
        <v>4961700</v>
      </c>
      <c r="AA230" s="180"/>
      <c r="AB230" s="180">
        <f t="shared" si="92"/>
        <v>0</v>
      </c>
      <c r="AC230" s="180">
        <v>0</v>
      </c>
      <c r="AD230" s="180">
        <f t="shared" si="85"/>
        <v>4961700</v>
      </c>
      <c r="AE230" s="178">
        <f t="shared" si="86"/>
        <v>396936</v>
      </c>
      <c r="AF230" s="178">
        <f t="shared" si="87"/>
        <v>74425.5</v>
      </c>
      <c r="AG230" s="178">
        <f t="shared" si="88"/>
        <v>49617</v>
      </c>
      <c r="AH230" s="178"/>
      <c r="AI230" s="178">
        <f t="shared" si="89"/>
        <v>520978.5</v>
      </c>
      <c r="AJ230" s="192"/>
      <c r="AK230" s="182">
        <f t="shared" si="90"/>
        <v>0</v>
      </c>
      <c r="AL230" s="182"/>
      <c r="AM230" s="182"/>
      <c r="AN230" s="193">
        <f t="shared" si="95"/>
        <v>3.33</v>
      </c>
      <c r="AO230" s="179"/>
      <c r="AP230" s="194">
        <f t="shared" si="94"/>
        <v>0</v>
      </c>
      <c r="AQ230" s="178">
        <f t="shared" si="91"/>
        <v>0</v>
      </c>
      <c r="AR230" s="178"/>
      <c r="AS230" s="178">
        <f t="shared" si="96"/>
        <v>4440722</v>
      </c>
      <c r="AT230" s="469" t="str">
        <f t="shared" si="100"/>
        <v>212</v>
      </c>
      <c r="AU230" s="195" t="s">
        <v>1459</v>
      </c>
      <c r="AV230" s="656" t="s">
        <v>1125</v>
      </c>
    </row>
    <row r="231" spans="1:58" s="189" customFormat="1" ht="38.25" customHeight="1" x14ac:dyDescent="0.25">
      <c r="A231" s="168" t="s">
        <v>500</v>
      </c>
      <c r="B231" s="168" t="str">
        <f>VLOOKUP(D231,[1]LuongBC_T01!$B$9:$C$292,2,FALSE)</f>
        <v>0016100006778008</v>
      </c>
      <c r="C231" s="199" t="s">
        <v>1019</v>
      </c>
      <c r="D231" s="169" t="s">
        <v>739</v>
      </c>
      <c r="E231" s="263" t="s">
        <v>1251</v>
      </c>
      <c r="F231" s="169"/>
      <c r="G231" s="170" t="s">
        <v>25</v>
      </c>
      <c r="H231" s="170"/>
      <c r="I231" s="170"/>
      <c r="J231" s="169"/>
      <c r="K231" s="170" t="str">
        <f>VLOOKUP(D231,[2]T3!$B$2:$D$328,3,FALSE)</f>
        <v>025611151</v>
      </c>
      <c r="L231" s="253" t="s">
        <v>746</v>
      </c>
      <c r="M231" s="253" t="s">
        <v>1019</v>
      </c>
      <c r="N231" s="390" t="s">
        <v>1438</v>
      </c>
      <c r="O231" s="222" t="s">
        <v>692</v>
      </c>
      <c r="P231" s="172">
        <v>3</v>
      </c>
      <c r="Q231" s="174">
        <v>3.33</v>
      </c>
      <c r="R231" s="176">
        <f>T231+V231+X231</f>
        <v>0.36630000000000001</v>
      </c>
      <c r="S231" s="370"/>
      <c r="T231" s="176">
        <f>ROUND(Q231*S231/100,4)</f>
        <v>0</v>
      </c>
      <c r="U231" s="175">
        <f>Q231*S231*$D$8/100</f>
        <v>0</v>
      </c>
      <c r="V231" s="170"/>
      <c r="W231" s="179">
        <v>0.11</v>
      </c>
      <c r="X231" s="216">
        <f>ROUND((Q231+T231+V231)*W231,4)</f>
        <v>0.36630000000000001</v>
      </c>
      <c r="Y231" s="216">
        <f>Q231+T231+V231+X231</f>
        <v>3.6962999999999999</v>
      </c>
      <c r="Z231" s="180">
        <f>ROUND(Y231*$D$8,0)</f>
        <v>5507487</v>
      </c>
      <c r="AA231" s="180"/>
      <c r="AB231" s="180">
        <f>Z231/24*AA231</f>
        <v>0</v>
      </c>
      <c r="AC231" s="180">
        <v>0</v>
      </c>
      <c r="AD231" s="180">
        <f>ROUND(Z231-AB231+AC231,0)</f>
        <v>5507487</v>
      </c>
      <c r="AE231" s="178">
        <f t="shared" ref="AE231:AE281" si="102">Z231*8%</f>
        <v>440598.96</v>
      </c>
      <c r="AF231" s="178">
        <f t="shared" ref="AF231:AF281" si="103">Z231*1.5%</f>
        <v>82612.304999999993</v>
      </c>
      <c r="AG231" s="178">
        <f t="shared" ref="AG231:AG281" si="104">Z231*1%</f>
        <v>55074.87</v>
      </c>
      <c r="AH231" s="178"/>
      <c r="AI231" s="178">
        <f>SUM(AE231:AH231)</f>
        <v>578286.13500000001</v>
      </c>
      <c r="AJ231" s="192"/>
      <c r="AK231" s="182">
        <f>AJ231*$D$8</f>
        <v>0</v>
      </c>
      <c r="AL231" s="182"/>
      <c r="AM231" s="182"/>
      <c r="AN231" s="193">
        <f t="shared" si="95"/>
        <v>3.33</v>
      </c>
      <c r="AO231" s="246">
        <v>0.45</v>
      </c>
      <c r="AP231" s="194">
        <f>ROUND(AN231*AO231,4)</f>
        <v>1.4984999999999999</v>
      </c>
      <c r="AQ231" s="178">
        <f>ROUND(AP231*$D$8,0)</f>
        <v>2232765</v>
      </c>
      <c r="AR231" s="178"/>
      <c r="AS231" s="178">
        <f t="shared" si="96"/>
        <v>7161966</v>
      </c>
      <c r="AT231" s="469" t="str">
        <f t="shared" si="100"/>
        <v>213</v>
      </c>
      <c r="AU231" s="195"/>
      <c r="AV231" s="198"/>
    </row>
    <row r="232" spans="1:58" s="189" customFormat="1" ht="37.5" customHeight="1" x14ac:dyDescent="0.25">
      <c r="A232" s="168" t="s">
        <v>501</v>
      </c>
      <c r="B232" s="168" t="str">
        <f>VLOOKUP(D232,[1]LuongBC_T01!$B$9:$C$292,2,FALSE)</f>
        <v>0016100018936008</v>
      </c>
      <c r="C232" s="565" t="s">
        <v>1415</v>
      </c>
      <c r="D232" s="544" t="s">
        <v>1406</v>
      </c>
      <c r="E232" s="563" t="s">
        <v>1436</v>
      </c>
      <c r="F232" s="564"/>
      <c r="G232" s="564"/>
      <c r="H232" s="564"/>
      <c r="I232" s="564"/>
      <c r="J232" s="564"/>
      <c r="K232" s="565"/>
      <c r="L232" s="564"/>
      <c r="M232" s="545"/>
      <c r="N232" s="263" t="s">
        <v>807</v>
      </c>
      <c r="O232" s="566"/>
      <c r="P232" s="566"/>
      <c r="Q232" s="551">
        <v>3.33</v>
      </c>
      <c r="R232" s="546"/>
      <c r="S232" s="564"/>
      <c r="T232" s="546">
        <f>ROUND(Q232*S232/100,4)</f>
        <v>0</v>
      </c>
      <c r="U232" s="547"/>
      <c r="V232" s="545"/>
      <c r="W232" s="179">
        <f>VLOOKUP(D232,[3]BC!$D$14:$W$287,20,FALSE)</f>
        <v>0</v>
      </c>
      <c r="X232" s="548">
        <f>ROUND((Q232+T232+V232)*W232,4)</f>
        <v>0</v>
      </c>
      <c r="Y232" s="548">
        <f>Q232+T232+V232+X232</f>
        <v>3.33</v>
      </c>
      <c r="Z232" s="549">
        <f>ROUND(Y232*$D$8,0)</f>
        <v>4961700</v>
      </c>
      <c r="AA232" s="549"/>
      <c r="AB232" s="549">
        <f>Z232/24*AA232</f>
        <v>0</v>
      </c>
      <c r="AC232" s="549">
        <f>Z232/24*AA232*75%</f>
        <v>0</v>
      </c>
      <c r="AD232" s="549">
        <f>ROUND(Z232-AB232+AC232,0)</f>
        <v>4961700</v>
      </c>
      <c r="AE232" s="550">
        <f t="shared" si="102"/>
        <v>396936</v>
      </c>
      <c r="AF232" s="550">
        <f t="shared" si="103"/>
        <v>74425.5</v>
      </c>
      <c r="AG232" s="550">
        <f t="shared" si="104"/>
        <v>49617</v>
      </c>
      <c r="AH232" s="550"/>
      <c r="AI232" s="550">
        <f>SUM(AE232:AH232)</f>
        <v>520978.5</v>
      </c>
      <c r="AJ232" s="567"/>
      <c r="AK232" s="568"/>
      <c r="AL232" s="568"/>
      <c r="AM232" s="568"/>
      <c r="AN232" s="569">
        <f t="shared" si="95"/>
        <v>3.33</v>
      </c>
      <c r="AO232" s="640">
        <v>0.25</v>
      </c>
      <c r="AP232" s="185">
        <f>ROUND(AN232*AO232,4)</f>
        <v>0.83250000000000002</v>
      </c>
      <c r="AQ232" s="178">
        <f>ROUND(AP232*$D$8,0)</f>
        <v>1240425</v>
      </c>
      <c r="AR232" s="550"/>
      <c r="AS232" s="178">
        <f t="shared" si="96"/>
        <v>5681147</v>
      </c>
      <c r="AT232" s="562"/>
      <c r="AU232" s="195"/>
      <c r="AV232" s="485"/>
      <c r="AW232" s="29"/>
      <c r="AX232" s="29"/>
      <c r="AY232" s="29"/>
      <c r="AZ232" s="29"/>
      <c r="BA232" s="29"/>
      <c r="BB232" s="29"/>
      <c r="BC232" s="29"/>
      <c r="BD232" s="29"/>
      <c r="BE232" s="29"/>
      <c r="BF232" s="29"/>
    </row>
    <row r="233" spans="1:58" s="189" customFormat="1" ht="33.75" customHeight="1" x14ac:dyDescent="0.25">
      <c r="A233" s="168" t="s">
        <v>502</v>
      </c>
      <c r="B233" s="168" t="str">
        <f>VLOOKUP(D233,[1]LuongBC_T01!$B$9:$C$292,2,FALSE)</f>
        <v>0016100006584009</v>
      </c>
      <c r="C233" s="199" t="s">
        <v>1002</v>
      </c>
      <c r="D233" s="169" t="s">
        <v>669</v>
      </c>
      <c r="E233" s="263" t="s">
        <v>1392</v>
      </c>
      <c r="F233" s="169" t="s">
        <v>549</v>
      </c>
      <c r="G233" s="200"/>
      <c r="H233" s="200" t="s">
        <v>283</v>
      </c>
      <c r="I233" s="200" t="s">
        <v>283</v>
      </c>
      <c r="J233" s="200"/>
      <c r="K233" s="170" t="str">
        <f>VLOOKUP(D233,[2]T3!$B$2:$D$328,3,FALSE)</f>
        <v>025633696</v>
      </c>
      <c r="L233" s="201" t="s">
        <v>673</v>
      </c>
      <c r="M233" s="201" t="s">
        <v>1002</v>
      </c>
      <c r="N233" s="390" t="s">
        <v>1438</v>
      </c>
      <c r="O233" s="222" t="s">
        <v>692</v>
      </c>
      <c r="P233" s="172">
        <v>3</v>
      </c>
      <c r="Q233" s="430">
        <v>3.33</v>
      </c>
      <c r="R233" s="176">
        <f t="shared" ref="R233:R258" si="105">T233+V233+X233</f>
        <v>0.29970000000000002</v>
      </c>
      <c r="S233" s="220"/>
      <c r="T233" s="176">
        <f t="shared" ref="T233:T281" si="106">ROUND(Q233*S233/100,4)</f>
        <v>0</v>
      </c>
      <c r="U233" s="175">
        <f t="shared" si="101"/>
        <v>0</v>
      </c>
      <c r="V233" s="170"/>
      <c r="W233" s="179">
        <v>0.09</v>
      </c>
      <c r="X233" s="216">
        <f t="shared" ref="X233:X281" si="107">ROUND((Q233+T233+V233)*W233,4)</f>
        <v>0.29970000000000002</v>
      </c>
      <c r="Y233" s="216">
        <f t="shared" ref="Y233:Y281" si="108">Q233+T233+V233+X233</f>
        <v>3.6297000000000001</v>
      </c>
      <c r="Z233" s="180">
        <f t="shared" ref="Z233:Z281" si="109">ROUND(Y233*$D$8,0)</f>
        <v>5408253</v>
      </c>
      <c r="AA233" s="180"/>
      <c r="AB233" s="180">
        <f t="shared" ref="AB233:AB281" si="110">Z233/24*AA233</f>
        <v>0</v>
      </c>
      <c r="AC233" s="180">
        <v>0</v>
      </c>
      <c r="AD233" s="180">
        <f t="shared" ref="AD233:AD281" si="111">ROUND(Z233-AB233+AC233,0)</f>
        <v>5408253</v>
      </c>
      <c r="AE233" s="178">
        <f t="shared" si="102"/>
        <v>432660.24</v>
      </c>
      <c r="AF233" s="178">
        <f t="shared" si="103"/>
        <v>81123.794999999998</v>
      </c>
      <c r="AG233" s="178">
        <f t="shared" si="104"/>
        <v>54082.53</v>
      </c>
      <c r="AH233" s="178"/>
      <c r="AI233" s="178">
        <f t="shared" ref="AI233:AI281" si="112">SUM(AE233:AH233)</f>
        <v>567866.56499999994</v>
      </c>
      <c r="AJ233" s="192"/>
      <c r="AK233" s="182">
        <f t="shared" ref="AK233:AK281" si="113">AJ233*$D$8</f>
        <v>0</v>
      </c>
      <c r="AL233" s="182"/>
      <c r="AM233" s="182"/>
      <c r="AN233" s="193">
        <f t="shared" si="95"/>
        <v>3.33</v>
      </c>
      <c r="AO233" s="246">
        <v>0.25</v>
      </c>
      <c r="AP233" s="194">
        <f t="shared" ref="AP233:AP281" si="114">ROUND(AN233*AO233,4)</f>
        <v>0.83250000000000002</v>
      </c>
      <c r="AQ233" s="178">
        <f t="shared" si="91"/>
        <v>1240425</v>
      </c>
      <c r="AR233" s="178"/>
      <c r="AS233" s="178">
        <f t="shared" si="96"/>
        <v>6080811</v>
      </c>
      <c r="AT233" s="469" t="str">
        <f t="shared" ref="AT233:AT270" si="115">A233</f>
        <v>215</v>
      </c>
      <c r="AU233" s="195"/>
      <c r="AV233" s="198" t="s">
        <v>704</v>
      </c>
    </row>
    <row r="234" spans="1:58" s="189" customFormat="1" ht="39" customHeight="1" x14ac:dyDescent="0.25">
      <c r="A234" s="168" t="s">
        <v>503</v>
      </c>
      <c r="B234" s="168" t="str">
        <f>VLOOKUP(D234,[1]LuongBC_T01!$B$9:$C$292,2,FALSE)</f>
        <v>0016100006610007</v>
      </c>
      <c r="C234" s="512" t="s">
        <v>1004</v>
      </c>
      <c r="D234" s="169" t="s">
        <v>1230</v>
      </c>
      <c r="E234" s="263" t="s">
        <v>1392</v>
      </c>
      <c r="F234" s="169" t="s">
        <v>549</v>
      </c>
      <c r="G234" s="200"/>
      <c r="H234" s="200" t="s">
        <v>283</v>
      </c>
      <c r="I234" s="200" t="s">
        <v>283</v>
      </c>
      <c r="J234" s="200"/>
      <c r="K234" s="170" t="str">
        <f>VLOOKUP(D234,[2]T3!$B$2:$D$328,3,FALSE)</f>
        <v>025764174</v>
      </c>
      <c r="L234" s="213" t="s">
        <v>674</v>
      </c>
      <c r="M234" s="213" t="s">
        <v>1004</v>
      </c>
      <c r="N234" s="391" t="s">
        <v>807</v>
      </c>
      <c r="O234" s="222" t="s">
        <v>692</v>
      </c>
      <c r="P234" s="172">
        <v>3</v>
      </c>
      <c r="Q234" s="430">
        <v>3.33</v>
      </c>
      <c r="R234" s="176">
        <f t="shared" si="105"/>
        <v>0.29970000000000002</v>
      </c>
      <c r="S234" s="220"/>
      <c r="T234" s="176">
        <f t="shared" si="106"/>
        <v>0</v>
      </c>
      <c r="U234" s="175">
        <f t="shared" si="101"/>
        <v>0</v>
      </c>
      <c r="V234" s="170"/>
      <c r="W234" s="179">
        <v>0.09</v>
      </c>
      <c r="X234" s="216">
        <f t="shared" si="107"/>
        <v>0.29970000000000002</v>
      </c>
      <c r="Y234" s="216">
        <f t="shared" si="108"/>
        <v>3.6297000000000001</v>
      </c>
      <c r="Z234" s="180">
        <f t="shared" si="109"/>
        <v>5408253</v>
      </c>
      <c r="AA234" s="180"/>
      <c r="AB234" s="180">
        <f t="shared" si="110"/>
        <v>0</v>
      </c>
      <c r="AC234" s="180">
        <v>0</v>
      </c>
      <c r="AD234" s="180">
        <f t="shared" si="111"/>
        <v>5408253</v>
      </c>
      <c r="AE234" s="178">
        <f t="shared" si="102"/>
        <v>432660.24</v>
      </c>
      <c r="AF234" s="178">
        <f t="shared" si="103"/>
        <v>81123.794999999998</v>
      </c>
      <c r="AG234" s="178">
        <f t="shared" si="104"/>
        <v>54082.53</v>
      </c>
      <c r="AH234" s="178"/>
      <c r="AI234" s="178">
        <f t="shared" si="112"/>
        <v>567866.56499999994</v>
      </c>
      <c r="AJ234" s="192"/>
      <c r="AK234" s="182">
        <f t="shared" si="113"/>
        <v>0</v>
      </c>
      <c r="AL234" s="182"/>
      <c r="AM234" s="182"/>
      <c r="AN234" s="193">
        <f t="shared" si="95"/>
        <v>3.33</v>
      </c>
      <c r="AO234" s="246">
        <v>0.25</v>
      </c>
      <c r="AP234" s="194">
        <f t="shared" si="114"/>
        <v>0.83250000000000002</v>
      </c>
      <c r="AQ234" s="178">
        <f t="shared" ref="AQ234:AQ281" si="116">ROUND(AP234*$D$8,0)</f>
        <v>1240425</v>
      </c>
      <c r="AR234" s="178"/>
      <c r="AS234" s="178">
        <f t="shared" si="96"/>
        <v>6080811</v>
      </c>
      <c r="AT234" s="469" t="str">
        <f t="shared" si="115"/>
        <v>216</v>
      </c>
      <c r="AU234" s="195"/>
      <c r="AV234" s="198" t="s">
        <v>704</v>
      </c>
    </row>
    <row r="235" spans="1:58" s="189" customFormat="1" ht="39" customHeight="1" x14ac:dyDescent="0.25">
      <c r="A235" s="168" t="s">
        <v>504</v>
      </c>
      <c r="B235" s="168" t="str">
        <f>VLOOKUP(D235,[1]LuongBC_T01!$B$9:$C$292,2,FALSE)</f>
        <v>'0016100006821008</v>
      </c>
      <c r="C235" s="199" t="s">
        <v>1005</v>
      </c>
      <c r="D235" s="169" t="s">
        <v>670</v>
      </c>
      <c r="E235" s="263" t="s">
        <v>1375</v>
      </c>
      <c r="F235" s="169" t="s">
        <v>549</v>
      </c>
      <c r="G235" s="200"/>
      <c r="H235" s="200" t="s">
        <v>283</v>
      </c>
      <c r="I235" s="200" t="s">
        <v>283</v>
      </c>
      <c r="J235" s="200"/>
      <c r="K235" s="170" t="str">
        <f>VLOOKUP(D235,[2]T3!$B$2:$D$328,3,FALSE)</f>
        <v>023493630</v>
      </c>
      <c r="L235" s="201" t="s">
        <v>675</v>
      </c>
      <c r="M235" s="201" t="s">
        <v>1005</v>
      </c>
      <c r="N235" s="390" t="s">
        <v>1438</v>
      </c>
      <c r="O235" s="222" t="s">
        <v>692</v>
      </c>
      <c r="P235" s="172">
        <v>3</v>
      </c>
      <c r="Q235" s="430">
        <v>3.33</v>
      </c>
      <c r="R235" s="176">
        <f t="shared" si="105"/>
        <v>0.33300000000000002</v>
      </c>
      <c r="S235" s="220"/>
      <c r="T235" s="176">
        <f t="shared" si="106"/>
        <v>0</v>
      </c>
      <c r="U235" s="175">
        <f t="shared" si="101"/>
        <v>0</v>
      </c>
      <c r="V235" s="170"/>
      <c r="W235" s="179">
        <f>VLOOKUP(D235,[3]BC!$D$14:$W$287,20,FALSE)</f>
        <v>0.1</v>
      </c>
      <c r="X235" s="216">
        <f t="shared" si="107"/>
        <v>0.33300000000000002</v>
      </c>
      <c r="Y235" s="216">
        <f t="shared" si="108"/>
        <v>3.6630000000000003</v>
      </c>
      <c r="Z235" s="180">
        <f t="shared" si="109"/>
        <v>5457870</v>
      </c>
      <c r="AA235" s="180"/>
      <c r="AB235" s="180">
        <f t="shared" si="110"/>
        <v>0</v>
      </c>
      <c r="AC235" s="180">
        <v>0</v>
      </c>
      <c r="AD235" s="180">
        <f t="shared" si="111"/>
        <v>5457870</v>
      </c>
      <c r="AE235" s="178">
        <f t="shared" si="102"/>
        <v>436629.60000000003</v>
      </c>
      <c r="AF235" s="178">
        <f t="shared" si="103"/>
        <v>81868.05</v>
      </c>
      <c r="AG235" s="178">
        <f t="shared" si="104"/>
        <v>54578.700000000004</v>
      </c>
      <c r="AH235" s="178"/>
      <c r="AI235" s="178">
        <f t="shared" si="112"/>
        <v>573076.35</v>
      </c>
      <c r="AJ235" s="192"/>
      <c r="AK235" s="182">
        <f t="shared" si="113"/>
        <v>0</v>
      </c>
      <c r="AL235" s="182"/>
      <c r="AM235" s="182"/>
      <c r="AN235" s="193">
        <f t="shared" si="95"/>
        <v>3.33</v>
      </c>
      <c r="AO235" s="246">
        <v>0.25</v>
      </c>
      <c r="AP235" s="194">
        <f t="shared" si="114"/>
        <v>0.83250000000000002</v>
      </c>
      <c r="AQ235" s="178">
        <f t="shared" si="116"/>
        <v>1240425</v>
      </c>
      <c r="AR235" s="178"/>
      <c r="AS235" s="178">
        <f t="shared" si="96"/>
        <v>6125219</v>
      </c>
      <c r="AT235" s="469" t="str">
        <f t="shared" si="115"/>
        <v>217</v>
      </c>
      <c r="AU235" s="195"/>
      <c r="AV235" s="198" t="s">
        <v>714</v>
      </c>
      <c r="AW235" s="29"/>
      <c r="AX235" s="29"/>
      <c r="AY235" s="29"/>
      <c r="AZ235" s="29"/>
      <c r="BA235" s="29"/>
      <c r="BB235" s="29"/>
      <c r="BC235" s="29"/>
      <c r="BD235" s="29"/>
      <c r="BE235" s="29"/>
      <c r="BF235" s="29"/>
    </row>
    <row r="236" spans="1:58" s="189" customFormat="1" ht="36.75" customHeight="1" x14ac:dyDescent="0.25">
      <c r="A236" s="168" t="s">
        <v>505</v>
      </c>
      <c r="B236" s="168" t="str">
        <f>VLOOKUP(D236,[1]LuongBC_T01!$B$9:$C$292,2,FALSE)</f>
        <v>0016100006813008</v>
      </c>
      <c r="C236" s="199" t="s">
        <v>927</v>
      </c>
      <c r="D236" s="169" t="s">
        <v>554</v>
      </c>
      <c r="E236" s="263" t="s">
        <v>1374</v>
      </c>
      <c r="F236" s="169" t="s">
        <v>549</v>
      </c>
      <c r="G236" s="200"/>
      <c r="H236" s="200" t="s">
        <v>283</v>
      </c>
      <c r="I236" s="200" t="s">
        <v>283</v>
      </c>
      <c r="J236" s="200"/>
      <c r="K236" s="168" t="s">
        <v>1362</v>
      </c>
      <c r="L236" s="201" t="s">
        <v>677</v>
      </c>
      <c r="M236" s="201" t="s">
        <v>927</v>
      </c>
      <c r="N236" s="391" t="s">
        <v>807</v>
      </c>
      <c r="O236" s="222" t="s">
        <v>692</v>
      </c>
      <c r="P236" s="172">
        <v>3</v>
      </c>
      <c r="Q236" s="430">
        <v>3.33</v>
      </c>
      <c r="R236" s="176">
        <f>T236+V236+X236</f>
        <v>0.29970000000000002</v>
      </c>
      <c r="S236" s="220"/>
      <c r="T236" s="176">
        <f>ROUND(Q236*S236/100,4)</f>
        <v>0</v>
      </c>
      <c r="U236" s="175">
        <f>Q236*S236*$D$8/100</f>
        <v>0</v>
      </c>
      <c r="V236" s="170"/>
      <c r="W236" s="179">
        <v>0.09</v>
      </c>
      <c r="X236" s="216">
        <f>ROUND((Q236+T236+V236)*W236,4)</f>
        <v>0.29970000000000002</v>
      </c>
      <c r="Y236" s="216">
        <f>Q236+T236+V236+X236</f>
        <v>3.6297000000000001</v>
      </c>
      <c r="Z236" s="180">
        <f>ROUND(Y236*$D$8,0)</f>
        <v>5408253</v>
      </c>
      <c r="AA236" s="180"/>
      <c r="AB236" s="180">
        <f>Z236/24*AA236</f>
        <v>0</v>
      </c>
      <c r="AC236" s="180">
        <v>0</v>
      </c>
      <c r="AD236" s="180">
        <f>ROUND(Z236-AB236+AC236,0)</f>
        <v>5408253</v>
      </c>
      <c r="AE236" s="178">
        <f t="shared" si="102"/>
        <v>432660.24</v>
      </c>
      <c r="AF236" s="178">
        <f t="shared" si="103"/>
        <v>81123.794999999998</v>
      </c>
      <c r="AG236" s="178">
        <f t="shared" si="104"/>
        <v>54082.53</v>
      </c>
      <c r="AH236" s="178"/>
      <c r="AI236" s="178">
        <f>SUM(AE236:AH236)</f>
        <v>567866.56499999994</v>
      </c>
      <c r="AJ236" s="192"/>
      <c r="AK236" s="182">
        <f>AJ236*$D$8</f>
        <v>0</v>
      </c>
      <c r="AL236" s="182"/>
      <c r="AM236" s="182"/>
      <c r="AN236" s="193">
        <f t="shared" si="95"/>
        <v>3.33</v>
      </c>
      <c r="AO236" s="246">
        <v>0.25</v>
      </c>
      <c r="AP236" s="194">
        <f>ROUND(AN236*AO236,4)</f>
        <v>0.83250000000000002</v>
      </c>
      <c r="AQ236" s="178">
        <f>ROUND(AP236*$D$8,0)</f>
        <v>1240425</v>
      </c>
      <c r="AR236" s="178"/>
      <c r="AS236" s="178">
        <f t="shared" si="96"/>
        <v>6080811</v>
      </c>
      <c r="AT236" s="469" t="str">
        <f t="shared" si="115"/>
        <v>218</v>
      </c>
      <c r="AU236" s="195"/>
      <c r="AV236" s="252" t="s">
        <v>709</v>
      </c>
    </row>
    <row r="237" spans="1:58" s="189" customFormat="1" ht="39" customHeight="1" x14ac:dyDescent="0.25">
      <c r="A237" s="168" t="s">
        <v>506</v>
      </c>
      <c r="B237" s="168" t="str">
        <f>VLOOKUP(D237,[1]LuongBC_T01!$B$9:$C$292,2,FALSE)</f>
        <v>0016100006557001</v>
      </c>
      <c r="C237" s="199" t="s">
        <v>1006</v>
      </c>
      <c r="D237" s="169" t="s">
        <v>1231</v>
      </c>
      <c r="E237" s="263" t="s">
        <v>1393</v>
      </c>
      <c r="F237" s="169" t="s">
        <v>549</v>
      </c>
      <c r="G237" s="200"/>
      <c r="H237" s="200" t="s">
        <v>283</v>
      </c>
      <c r="I237" s="200"/>
      <c r="J237" s="200"/>
      <c r="K237" s="170" t="str">
        <f>VLOOKUP(D237,[2]T3!$B$2:$D$328,3,FALSE)</f>
        <v>046085000069</v>
      </c>
      <c r="L237" s="249" t="s">
        <v>1</v>
      </c>
      <c r="M237" s="249" t="s">
        <v>1006</v>
      </c>
      <c r="N237" s="391" t="s">
        <v>807</v>
      </c>
      <c r="O237" s="222" t="s">
        <v>692</v>
      </c>
      <c r="P237" s="172">
        <v>3</v>
      </c>
      <c r="Q237" s="430">
        <v>3.33</v>
      </c>
      <c r="R237" s="176">
        <f t="shared" si="105"/>
        <v>0.29970000000000002</v>
      </c>
      <c r="S237" s="220"/>
      <c r="T237" s="176">
        <f t="shared" si="106"/>
        <v>0</v>
      </c>
      <c r="U237" s="175">
        <f t="shared" si="101"/>
        <v>0</v>
      </c>
      <c r="V237" s="170"/>
      <c r="W237" s="179">
        <f>VLOOKUP(D237,[3]BC!$D$14:$W$287,20,FALSE)</f>
        <v>0.09</v>
      </c>
      <c r="X237" s="216">
        <f t="shared" si="107"/>
        <v>0.29970000000000002</v>
      </c>
      <c r="Y237" s="216">
        <f t="shared" si="108"/>
        <v>3.6297000000000001</v>
      </c>
      <c r="Z237" s="180">
        <f t="shared" si="109"/>
        <v>5408253</v>
      </c>
      <c r="AA237" s="180"/>
      <c r="AB237" s="180">
        <f t="shared" si="110"/>
        <v>0</v>
      </c>
      <c r="AC237" s="180">
        <f>Z237/24*AA237*75%</f>
        <v>0</v>
      </c>
      <c r="AD237" s="180">
        <f t="shared" si="111"/>
        <v>5408253</v>
      </c>
      <c r="AE237" s="178">
        <f t="shared" si="102"/>
        <v>432660.24</v>
      </c>
      <c r="AF237" s="178">
        <f t="shared" si="103"/>
        <v>81123.794999999998</v>
      </c>
      <c r="AG237" s="178">
        <f t="shared" si="104"/>
        <v>54082.53</v>
      </c>
      <c r="AH237" s="178"/>
      <c r="AI237" s="178">
        <f t="shared" si="112"/>
        <v>567866.56499999994</v>
      </c>
      <c r="AJ237" s="192"/>
      <c r="AK237" s="182">
        <f t="shared" si="113"/>
        <v>0</v>
      </c>
      <c r="AL237" s="182"/>
      <c r="AM237" s="182"/>
      <c r="AN237" s="193">
        <f t="shared" ref="AN237:AN281" si="117">Q237+T237+V237</f>
        <v>3.33</v>
      </c>
      <c r="AO237" s="246">
        <v>0.25</v>
      </c>
      <c r="AP237" s="194">
        <f t="shared" si="114"/>
        <v>0.83250000000000002</v>
      </c>
      <c r="AQ237" s="178">
        <f t="shared" si="116"/>
        <v>1240425</v>
      </c>
      <c r="AR237" s="178"/>
      <c r="AS237" s="178">
        <f t="shared" si="96"/>
        <v>6080811</v>
      </c>
      <c r="AT237" s="469" t="str">
        <f t="shared" si="115"/>
        <v>219</v>
      </c>
      <c r="AU237" s="195"/>
      <c r="AV237" s="198" t="s">
        <v>703</v>
      </c>
    </row>
    <row r="238" spans="1:58" s="189" customFormat="1" ht="39" customHeight="1" x14ac:dyDescent="0.25">
      <c r="A238" s="168" t="s">
        <v>507</v>
      </c>
      <c r="B238" s="168" t="str">
        <f>VLOOKUP(D238,[1]LuongBC_T01!$B$9:$C$292,2,FALSE)</f>
        <v>0016100006741007</v>
      </c>
      <c r="C238" s="199" t="s">
        <v>1008</v>
      </c>
      <c r="D238" s="169" t="s">
        <v>679</v>
      </c>
      <c r="E238" s="263" t="s">
        <v>1375</v>
      </c>
      <c r="F238" s="169" t="s">
        <v>549</v>
      </c>
      <c r="G238" s="200"/>
      <c r="H238" s="200" t="s">
        <v>283</v>
      </c>
      <c r="I238" s="200"/>
      <c r="J238" s="200"/>
      <c r="K238" s="170" t="str">
        <f>VLOOKUP(D238,[2]T3!$B$2:$D$328,3,FALSE)</f>
        <v>023841765</v>
      </c>
      <c r="L238" s="201" t="s">
        <v>680</v>
      </c>
      <c r="M238" s="201" t="s">
        <v>1008</v>
      </c>
      <c r="N238" s="390" t="s">
        <v>1438</v>
      </c>
      <c r="O238" s="222" t="s">
        <v>692</v>
      </c>
      <c r="P238" s="172">
        <v>2</v>
      </c>
      <c r="Q238" s="430">
        <v>3</v>
      </c>
      <c r="R238" s="176">
        <f t="shared" si="105"/>
        <v>0.24</v>
      </c>
      <c r="S238" s="220"/>
      <c r="T238" s="176">
        <f t="shared" si="106"/>
        <v>0</v>
      </c>
      <c r="U238" s="175">
        <f t="shared" si="101"/>
        <v>0</v>
      </c>
      <c r="V238" s="170"/>
      <c r="W238" s="179">
        <f>VLOOKUP(D238,[3]BC!$D$14:$W$287,20,FALSE)</f>
        <v>0.08</v>
      </c>
      <c r="X238" s="216">
        <f t="shared" si="107"/>
        <v>0.24</v>
      </c>
      <c r="Y238" s="216">
        <f t="shared" si="108"/>
        <v>3.24</v>
      </c>
      <c r="Z238" s="180">
        <f t="shared" si="109"/>
        <v>4827600</v>
      </c>
      <c r="AA238" s="180"/>
      <c r="AB238" s="180">
        <f t="shared" si="110"/>
        <v>0</v>
      </c>
      <c r="AC238" s="180">
        <f>Z238/24*AA238*75%</f>
        <v>0</v>
      </c>
      <c r="AD238" s="180">
        <f t="shared" si="111"/>
        <v>4827600</v>
      </c>
      <c r="AE238" s="178">
        <f t="shared" si="102"/>
        <v>386208</v>
      </c>
      <c r="AF238" s="178">
        <f t="shared" si="103"/>
        <v>72414</v>
      </c>
      <c r="AG238" s="178">
        <f t="shared" si="104"/>
        <v>48276</v>
      </c>
      <c r="AH238" s="178"/>
      <c r="AI238" s="178">
        <f t="shared" si="112"/>
        <v>506898</v>
      </c>
      <c r="AJ238" s="192"/>
      <c r="AK238" s="182">
        <f t="shared" si="113"/>
        <v>0</v>
      </c>
      <c r="AL238" s="182"/>
      <c r="AM238" s="182"/>
      <c r="AN238" s="193">
        <f t="shared" si="117"/>
        <v>3</v>
      </c>
      <c r="AO238" s="246">
        <v>0.25</v>
      </c>
      <c r="AP238" s="194">
        <f t="shared" si="114"/>
        <v>0.75</v>
      </c>
      <c r="AQ238" s="178">
        <f t="shared" si="116"/>
        <v>1117500</v>
      </c>
      <c r="AR238" s="178"/>
      <c r="AS238" s="178">
        <f t="shared" si="96"/>
        <v>5438202</v>
      </c>
      <c r="AT238" s="469" t="str">
        <f t="shared" si="115"/>
        <v>220</v>
      </c>
      <c r="AU238" s="195"/>
      <c r="AV238" s="198" t="s">
        <v>714</v>
      </c>
      <c r="AW238" s="29"/>
      <c r="AX238" s="29"/>
      <c r="AY238" s="29"/>
      <c r="AZ238" s="29"/>
      <c r="BA238" s="29"/>
      <c r="BB238" s="29"/>
      <c r="BC238" s="29"/>
      <c r="BD238" s="29"/>
      <c r="BE238" s="29"/>
      <c r="BF238" s="29"/>
    </row>
    <row r="239" spans="1:58" s="189" customFormat="1" ht="33.75" customHeight="1" x14ac:dyDescent="0.25">
      <c r="A239" s="168" t="s">
        <v>508</v>
      </c>
      <c r="B239" s="168" t="str">
        <f>VLOOKUP(D239,[1]LuongBC_T01!$B$9:$C$292,2,FALSE)</f>
        <v>0016100007758008</v>
      </c>
      <c r="C239" s="170" t="s">
        <v>1316</v>
      </c>
      <c r="D239" s="169" t="s">
        <v>1298</v>
      </c>
      <c r="E239" s="263" t="s">
        <v>1299</v>
      </c>
      <c r="F239" s="220"/>
      <c r="G239" s="220"/>
      <c r="H239" s="220"/>
      <c r="I239" s="220"/>
      <c r="J239" s="220"/>
      <c r="K239" s="168" t="s">
        <v>1461</v>
      </c>
      <c r="L239" s="220"/>
      <c r="M239" s="170"/>
      <c r="N239" s="390" t="s">
        <v>1438</v>
      </c>
      <c r="O239" s="251"/>
      <c r="P239" s="251"/>
      <c r="Q239" s="177">
        <v>3</v>
      </c>
      <c r="R239" s="176"/>
      <c r="S239" s="220"/>
      <c r="T239" s="176">
        <f>ROUND(Q239*S239/100,4)</f>
        <v>0</v>
      </c>
      <c r="U239" s="175"/>
      <c r="V239" s="170"/>
      <c r="W239" s="179">
        <f>VLOOKUP(D239,[3]BC!$D$14:$W$287,20,FALSE)</f>
        <v>0.08</v>
      </c>
      <c r="X239" s="216">
        <f>ROUND((Q239+T239+V239)*W239,4)</f>
        <v>0.24</v>
      </c>
      <c r="Y239" s="216">
        <f>Q239+T239+V239+X239</f>
        <v>3.24</v>
      </c>
      <c r="Z239" s="180">
        <f t="shared" si="109"/>
        <v>4827600</v>
      </c>
      <c r="AA239" s="180"/>
      <c r="AB239" s="180">
        <f>Z239/24*AA239</f>
        <v>0</v>
      </c>
      <c r="AC239" s="180">
        <f>Z239/24*AA239*75%</f>
        <v>0</v>
      </c>
      <c r="AD239" s="180">
        <f>ROUND(Z239-AB239+AC239,0)</f>
        <v>4827600</v>
      </c>
      <c r="AE239" s="178">
        <f t="shared" si="102"/>
        <v>386208</v>
      </c>
      <c r="AF239" s="178">
        <f t="shared" si="103"/>
        <v>72414</v>
      </c>
      <c r="AG239" s="178">
        <f t="shared" si="104"/>
        <v>48276</v>
      </c>
      <c r="AH239" s="178"/>
      <c r="AI239" s="178">
        <f>SUM(AE239:AH239)</f>
        <v>506898</v>
      </c>
      <c r="AJ239" s="192"/>
      <c r="AK239" s="182"/>
      <c r="AL239" s="182"/>
      <c r="AM239" s="182"/>
      <c r="AN239" s="183">
        <f t="shared" si="117"/>
        <v>3</v>
      </c>
      <c r="AO239" s="246">
        <v>0.25</v>
      </c>
      <c r="AP239" s="185">
        <f>ROUND(AN239*AO239,4)</f>
        <v>0.75</v>
      </c>
      <c r="AQ239" s="178">
        <f>ROUND(AP239*$D$8,0)</f>
        <v>1117500</v>
      </c>
      <c r="AR239" s="178"/>
      <c r="AS239" s="178">
        <f t="shared" si="96"/>
        <v>5438202</v>
      </c>
      <c r="AT239" s="469" t="str">
        <f t="shared" si="115"/>
        <v>221</v>
      </c>
      <c r="AU239" s="195"/>
      <c r="AV239" s="485"/>
      <c r="AW239" s="29"/>
      <c r="AX239" s="29"/>
      <c r="AY239" s="29"/>
      <c r="AZ239" s="29"/>
      <c r="BA239" s="29"/>
      <c r="BB239" s="29"/>
      <c r="BC239" s="29"/>
      <c r="BD239" s="29"/>
      <c r="BE239" s="29"/>
      <c r="BF239" s="29"/>
    </row>
    <row r="240" spans="1:58" s="189" customFormat="1" ht="30" customHeight="1" x14ac:dyDescent="0.25">
      <c r="A240" s="168" t="s">
        <v>509</v>
      </c>
      <c r="B240" s="168" t="s">
        <v>1264</v>
      </c>
      <c r="C240" s="199" t="s">
        <v>996</v>
      </c>
      <c r="D240" s="169" t="s">
        <v>48</v>
      </c>
      <c r="E240" s="263" t="s">
        <v>1094</v>
      </c>
      <c r="F240" s="169" t="s">
        <v>549</v>
      </c>
      <c r="G240" s="200" t="s">
        <v>25</v>
      </c>
      <c r="H240" s="200" t="s">
        <v>283</v>
      </c>
      <c r="I240" s="200" t="s">
        <v>283</v>
      </c>
      <c r="J240" s="200" t="s">
        <v>592</v>
      </c>
      <c r="K240" s="170" t="str">
        <f>VLOOKUP(D240,[2]T3!$B$2:$D$328,3,FALSE)</f>
        <v>024246529</v>
      </c>
      <c r="L240" s="201" t="s">
        <v>614</v>
      </c>
      <c r="M240" s="201" t="s">
        <v>996</v>
      </c>
      <c r="N240" s="390" t="s">
        <v>1438</v>
      </c>
      <c r="O240" s="170" t="s">
        <v>692</v>
      </c>
      <c r="P240" s="170">
        <v>3</v>
      </c>
      <c r="Q240" s="177">
        <v>3.33</v>
      </c>
      <c r="R240" s="176">
        <f>T240+V240+X240</f>
        <v>0.33300000000000002</v>
      </c>
      <c r="S240" s="220"/>
      <c r="T240" s="176">
        <f>ROUND(Q240*S240/100,4)</f>
        <v>0</v>
      </c>
      <c r="U240" s="175">
        <f>Q240*S240*$D$8/100</f>
        <v>0</v>
      </c>
      <c r="V240" s="170"/>
      <c r="W240" s="179">
        <v>0.1</v>
      </c>
      <c r="X240" s="216">
        <f>ROUND((Q240+T240+V240)*W240,4)</f>
        <v>0.33300000000000002</v>
      </c>
      <c r="Y240" s="216">
        <f>Q240+T240+V240+X240</f>
        <v>3.6630000000000003</v>
      </c>
      <c r="Z240" s="180">
        <f>ROUND(Y240*$D$8,0)</f>
        <v>5457870</v>
      </c>
      <c r="AA240" s="180"/>
      <c r="AB240" s="180">
        <f>Z240/24*AA240</f>
        <v>0</v>
      </c>
      <c r="AC240" s="180">
        <f>Z240/24*AA240*75%</f>
        <v>0</v>
      </c>
      <c r="AD240" s="180">
        <f>ROUND(Z240-AB240+AC240,0)</f>
        <v>5457870</v>
      </c>
      <c r="AE240" s="178">
        <f t="shared" si="102"/>
        <v>436629.60000000003</v>
      </c>
      <c r="AF240" s="178">
        <f t="shared" si="103"/>
        <v>81868.05</v>
      </c>
      <c r="AG240" s="178">
        <f t="shared" si="104"/>
        <v>54578.700000000004</v>
      </c>
      <c r="AH240" s="178"/>
      <c r="AI240" s="178">
        <f>SUM(AE240:AH240)</f>
        <v>573076.35</v>
      </c>
      <c r="AJ240" s="192"/>
      <c r="AK240" s="182">
        <f>AJ240*$D$8</f>
        <v>0</v>
      </c>
      <c r="AL240" s="182"/>
      <c r="AM240" s="182"/>
      <c r="AN240" s="193">
        <f t="shared" si="117"/>
        <v>3.33</v>
      </c>
      <c r="AO240" s="246">
        <v>0.25</v>
      </c>
      <c r="AP240" s="194">
        <f>ROUND(AN240*AO240,4)</f>
        <v>0.83250000000000002</v>
      </c>
      <c r="AQ240" s="178">
        <f>ROUND(AP240*$D$8,0)</f>
        <v>1240425</v>
      </c>
      <c r="AR240" s="178"/>
      <c r="AS240" s="178">
        <f t="shared" si="96"/>
        <v>6125219</v>
      </c>
      <c r="AT240" s="469" t="str">
        <f t="shared" si="115"/>
        <v>222</v>
      </c>
      <c r="AU240" s="195"/>
      <c r="AV240" s="198" t="s">
        <v>710</v>
      </c>
    </row>
    <row r="241" spans="1:58" s="189" customFormat="1" ht="37.5" customHeight="1" x14ac:dyDescent="0.25">
      <c r="A241" s="168" t="s">
        <v>510</v>
      </c>
      <c r="B241" s="168" t="str">
        <f>VLOOKUP(D241,[1]LuongBC_T01!$B$9:$C$292,2,FALSE)</f>
        <v>0016100006631007</v>
      </c>
      <c r="C241" s="199" t="s">
        <v>1007</v>
      </c>
      <c r="D241" s="230" t="s">
        <v>559</v>
      </c>
      <c r="E241" s="263" t="s">
        <v>1373</v>
      </c>
      <c r="F241" s="231"/>
      <c r="G241" s="251" t="s">
        <v>25</v>
      </c>
      <c r="H241" s="231"/>
      <c r="I241" s="231"/>
      <c r="J241" s="231"/>
      <c r="K241" s="170" t="str">
        <f>VLOOKUP(D241,[2]T3!$B$2:$D$328,3,FALSE)</f>
        <v>025695766</v>
      </c>
      <c r="L241" s="378">
        <v>1603205353742</v>
      </c>
      <c r="M241" s="378" t="s">
        <v>1007</v>
      </c>
      <c r="N241" s="390" t="s">
        <v>1438</v>
      </c>
      <c r="O241" s="170" t="s">
        <v>692</v>
      </c>
      <c r="P241" s="170">
        <v>2</v>
      </c>
      <c r="Q241" s="177">
        <v>3</v>
      </c>
      <c r="R241" s="176">
        <f t="shared" si="105"/>
        <v>0.21</v>
      </c>
      <c r="S241" s="169"/>
      <c r="T241" s="176">
        <f t="shared" si="106"/>
        <v>0</v>
      </c>
      <c r="U241" s="175">
        <f t="shared" si="101"/>
        <v>0</v>
      </c>
      <c r="V241" s="170"/>
      <c r="W241" s="179">
        <v>7.0000000000000007E-2</v>
      </c>
      <c r="X241" s="216">
        <f t="shared" si="107"/>
        <v>0.21</v>
      </c>
      <c r="Y241" s="216">
        <f t="shared" si="108"/>
        <v>3.21</v>
      </c>
      <c r="Z241" s="180">
        <f t="shared" si="109"/>
        <v>4782900</v>
      </c>
      <c r="AA241" s="180"/>
      <c r="AB241" s="180">
        <f t="shared" si="110"/>
        <v>0</v>
      </c>
      <c r="AC241" s="180">
        <v>0</v>
      </c>
      <c r="AD241" s="180">
        <f t="shared" si="111"/>
        <v>4782900</v>
      </c>
      <c r="AE241" s="178">
        <f t="shared" si="102"/>
        <v>382632</v>
      </c>
      <c r="AF241" s="178">
        <f t="shared" si="103"/>
        <v>71743.5</v>
      </c>
      <c r="AG241" s="178">
        <f t="shared" si="104"/>
        <v>47829</v>
      </c>
      <c r="AH241" s="178"/>
      <c r="AI241" s="178">
        <f t="shared" si="112"/>
        <v>502204.5</v>
      </c>
      <c r="AJ241" s="192"/>
      <c r="AK241" s="182">
        <f t="shared" si="113"/>
        <v>0</v>
      </c>
      <c r="AL241" s="182"/>
      <c r="AM241" s="182"/>
      <c r="AN241" s="183">
        <f t="shared" si="117"/>
        <v>3</v>
      </c>
      <c r="AO241" s="246">
        <v>0.25</v>
      </c>
      <c r="AP241" s="194">
        <f t="shared" si="114"/>
        <v>0.75</v>
      </c>
      <c r="AQ241" s="178">
        <f t="shared" si="116"/>
        <v>1117500</v>
      </c>
      <c r="AR241" s="178"/>
      <c r="AS241" s="178">
        <f t="shared" si="96"/>
        <v>5398196</v>
      </c>
      <c r="AT241" s="469" t="str">
        <f t="shared" si="115"/>
        <v>223</v>
      </c>
      <c r="AU241" s="195"/>
      <c r="AV241" s="198" t="s">
        <v>708</v>
      </c>
    </row>
    <row r="242" spans="1:58" s="189" customFormat="1" ht="27.75" customHeight="1" x14ac:dyDescent="0.25">
      <c r="A242" s="168" t="s">
        <v>511</v>
      </c>
      <c r="B242" s="168" t="str">
        <f>VLOOKUP(D242,[1]LuongBC_T01!$B$9:$C$292,2,FALSE)</f>
        <v>0016100006577002</v>
      </c>
      <c r="C242" s="199" t="s">
        <v>1009</v>
      </c>
      <c r="D242" s="230" t="s">
        <v>1232</v>
      </c>
      <c r="E242" s="263" t="s">
        <v>1377</v>
      </c>
      <c r="F242" s="231"/>
      <c r="G242" s="231"/>
      <c r="H242" s="231"/>
      <c r="I242" s="231"/>
      <c r="J242" s="231"/>
      <c r="K242" s="170" t="str">
        <f>VLOOKUP(D242,[2]T3!$B$2:$D$328,3,FALSE)</f>
        <v>024292308</v>
      </c>
      <c r="L242" s="543" t="s">
        <v>743</v>
      </c>
      <c r="M242" s="543" t="s">
        <v>1009</v>
      </c>
      <c r="N242" s="390" t="s">
        <v>1438</v>
      </c>
      <c r="O242" s="170" t="s">
        <v>692</v>
      </c>
      <c r="P242" s="170">
        <v>2</v>
      </c>
      <c r="Q242" s="177">
        <v>3</v>
      </c>
      <c r="R242" s="176">
        <f t="shared" si="105"/>
        <v>0.21</v>
      </c>
      <c r="S242" s="169"/>
      <c r="T242" s="176">
        <f t="shared" si="106"/>
        <v>0</v>
      </c>
      <c r="U242" s="175">
        <f t="shared" si="101"/>
        <v>0</v>
      </c>
      <c r="V242" s="170"/>
      <c r="W242" s="179">
        <v>7.0000000000000007E-2</v>
      </c>
      <c r="X242" s="216">
        <f t="shared" si="107"/>
        <v>0.21</v>
      </c>
      <c r="Y242" s="216">
        <f t="shared" si="108"/>
        <v>3.21</v>
      </c>
      <c r="Z242" s="180">
        <f t="shared" si="109"/>
        <v>4782900</v>
      </c>
      <c r="AA242" s="180"/>
      <c r="AB242" s="180">
        <f t="shared" si="110"/>
        <v>0</v>
      </c>
      <c r="AC242" s="180">
        <f t="shared" ref="AC242:AC264" si="118">Z242/24*AA242*75%</f>
        <v>0</v>
      </c>
      <c r="AD242" s="180">
        <f t="shared" si="111"/>
        <v>4782900</v>
      </c>
      <c r="AE242" s="178">
        <f t="shared" si="102"/>
        <v>382632</v>
      </c>
      <c r="AF242" s="178">
        <f t="shared" si="103"/>
        <v>71743.5</v>
      </c>
      <c r="AG242" s="178">
        <f t="shared" si="104"/>
        <v>47829</v>
      </c>
      <c r="AH242" s="178"/>
      <c r="AI242" s="178">
        <f t="shared" si="112"/>
        <v>502204.5</v>
      </c>
      <c r="AJ242" s="192"/>
      <c r="AK242" s="182">
        <f t="shared" si="113"/>
        <v>0</v>
      </c>
      <c r="AL242" s="182"/>
      <c r="AM242" s="182"/>
      <c r="AN242" s="183">
        <f t="shared" si="117"/>
        <v>3</v>
      </c>
      <c r="AO242" s="246">
        <v>0.25</v>
      </c>
      <c r="AP242" s="194">
        <f t="shared" si="114"/>
        <v>0.75</v>
      </c>
      <c r="AQ242" s="178">
        <f t="shared" si="116"/>
        <v>1117500</v>
      </c>
      <c r="AR242" s="178"/>
      <c r="AS242" s="178">
        <f t="shared" si="96"/>
        <v>5398196</v>
      </c>
      <c r="AT242" s="469" t="str">
        <f t="shared" si="115"/>
        <v>224</v>
      </c>
      <c r="AU242" s="186"/>
      <c r="AV242" s="198" t="s">
        <v>714</v>
      </c>
    </row>
    <row r="243" spans="1:58" s="189" customFormat="1" ht="27.75" customHeight="1" x14ac:dyDescent="0.25">
      <c r="A243" s="168" t="s">
        <v>512</v>
      </c>
      <c r="B243" s="168" t="str">
        <f>VLOOKUP(D243,[1]LuongBC_T01!$B$9:$C$292,2,FALSE)</f>
        <v>0016100006747005</v>
      </c>
      <c r="C243" s="199" t="s">
        <v>1010</v>
      </c>
      <c r="D243" s="230" t="s">
        <v>561</v>
      </c>
      <c r="E243" s="263" t="s">
        <v>1260</v>
      </c>
      <c r="F243" s="231"/>
      <c r="G243" s="231"/>
      <c r="H243" s="231"/>
      <c r="I243" s="231"/>
      <c r="J243" s="231"/>
      <c r="K243" s="170" t="str">
        <f>VLOOKUP(D243,[2]T3!$B$2:$D$328,3,FALSE)</f>
        <v>112163050</v>
      </c>
      <c r="L243" s="226">
        <v>1603205286594</v>
      </c>
      <c r="M243" s="226" t="s">
        <v>1010</v>
      </c>
      <c r="N243" s="393" t="s">
        <v>1438</v>
      </c>
      <c r="O243" s="170" t="s">
        <v>692</v>
      </c>
      <c r="P243" s="170">
        <v>2</v>
      </c>
      <c r="Q243" s="177">
        <v>3</v>
      </c>
      <c r="R243" s="176">
        <f t="shared" si="105"/>
        <v>0.21</v>
      </c>
      <c r="S243" s="169"/>
      <c r="T243" s="176">
        <f t="shared" si="106"/>
        <v>0</v>
      </c>
      <c r="U243" s="175">
        <f t="shared" si="101"/>
        <v>0</v>
      </c>
      <c r="V243" s="170"/>
      <c r="W243" s="179">
        <v>7.0000000000000007E-2</v>
      </c>
      <c r="X243" s="216">
        <f t="shared" si="107"/>
        <v>0.21</v>
      </c>
      <c r="Y243" s="216">
        <f t="shared" si="108"/>
        <v>3.21</v>
      </c>
      <c r="Z243" s="180">
        <f t="shared" si="109"/>
        <v>4782900</v>
      </c>
      <c r="AA243" s="180"/>
      <c r="AB243" s="180">
        <f t="shared" si="110"/>
        <v>0</v>
      </c>
      <c r="AC243" s="180">
        <f t="shared" si="118"/>
        <v>0</v>
      </c>
      <c r="AD243" s="180">
        <f t="shared" si="111"/>
        <v>4782900</v>
      </c>
      <c r="AE243" s="178">
        <f t="shared" si="102"/>
        <v>382632</v>
      </c>
      <c r="AF243" s="178">
        <f t="shared" si="103"/>
        <v>71743.5</v>
      </c>
      <c r="AG243" s="178">
        <f t="shared" si="104"/>
        <v>47829</v>
      </c>
      <c r="AH243" s="178"/>
      <c r="AI243" s="178">
        <f t="shared" si="112"/>
        <v>502204.5</v>
      </c>
      <c r="AJ243" s="192"/>
      <c r="AK243" s="182">
        <f t="shared" si="113"/>
        <v>0</v>
      </c>
      <c r="AL243" s="182"/>
      <c r="AM243" s="182"/>
      <c r="AN243" s="183">
        <f t="shared" si="117"/>
        <v>3</v>
      </c>
      <c r="AO243" s="246">
        <v>0.25</v>
      </c>
      <c r="AP243" s="194">
        <f t="shared" si="114"/>
        <v>0.75</v>
      </c>
      <c r="AQ243" s="178">
        <f t="shared" si="116"/>
        <v>1117500</v>
      </c>
      <c r="AR243" s="178"/>
      <c r="AS243" s="178">
        <f t="shared" si="96"/>
        <v>5398196</v>
      </c>
      <c r="AT243" s="469" t="str">
        <f t="shared" si="115"/>
        <v>225</v>
      </c>
      <c r="AU243" s="186"/>
      <c r="AV243" s="198" t="s">
        <v>711</v>
      </c>
    </row>
    <row r="244" spans="1:58" s="189" customFormat="1" ht="27.75" customHeight="1" x14ac:dyDescent="0.25">
      <c r="A244" s="168" t="s">
        <v>1302</v>
      </c>
      <c r="B244" s="168" t="str">
        <f>VLOOKUP(D244,[1]LuongBC_T01!$B$9:$C$292,2,FALSE)</f>
        <v>0016100006790008</v>
      </c>
      <c r="C244" s="199" t="s">
        <v>1012</v>
      </c>
      <c r="D244" s="230" t="s">
        <v>562</v>
      </c>
      <c r="E244" s="263" t="s">
        <v>1374</v>
      </c>
      <c r="F244" s="231"/>
      <c r="G244" s="231"/>
      <c r="H244" s="231"/>
      <c r="I244" s="231"/>
      <c r="J244" s="231"/>
      <c r="K244" s="170" t="str">
        <f>VLOOKUP(D244,[2]T3!$B$2:$D$328,3,FALSE)</f>
        <v>024221614</v>
      </c>
      <c r="L244" s="386">
        <v>1603205357120</v>
      </c>
      <c r="M244" s="386" t="s">
        <v>1012</v>
      </c>
      <c r="N244" s="393" t="s">
        <v>1438</v>
      </c>
      <c r="O244" s="170" t="s">
        <v>692</v>
      </c>
      <c r="P244" s="170">
        <v>2</v>
      </c>
      <c r="Q244" s="177">
        <v>3</v>
      </c>
      <c r="R244" s="176">
        <f t="shared" si="105"/>
        <v>0.21</v>
      </c>
      <c r="S244" s="169"/>
      <c r="T244" s="176">
        <f t="shared" si="106"/>
        <v>0</v>
      </c>
      <c r="U244" s="175">
        <f t="shared" si="101"/>
        <v>0</v>
      </c>
      <c r="V244" s="170"/>
      <c r="W244" s="179">
        <v>7.0000000000000007E-2</v>
      </c>
      <c r="X244" s="216">
        <f t="shared" si="107"/>
        <v>0.21</v>
      </c>
      <c r="Y244" s="216">
        <f t="shared" si="108"/>
        <v>3.21</v>
      </c>
      <c r="Z244" s="180">
        <f t="shared" si="109"/>
        <v>4782900</v>
      </c>
      <c r="AA244" s="180"/>
      <c r="AB244" s="180">
        <f t="shared" si="110"/>
        <v>0</v>
      </c>
      <c r="AC244" s="180">
        <f t="shared" si="118"/>
        <v>0</v>
      </c>
      <c r="AD244" s="180">
        <f t="shared" si="111"/>
        <v>4782900</v>
      </c>
      <c r="AE244" s="178">
        <f t="shared" si="102"/>
        <v>382632</v>
      </c>
      <c r="AF244" s="178">
        <f t="shared" si="103"/>
        <v>71743.5</v>
      </c>
      <c r="AG244" s="178">
        <f t="shared" si="104"/>
        <v>47829</v>
      </c>
      <c r="AH244" s="178"/>
      <c r="AI244" s="178">
        <f t="shared" si="112"/>
        <v>502204.5</v>
      </c>
      <c r="AJ244" s="192"/>
      <c r="AK244" s="182">
        <f t="shared" si="113"/>
        <v>0</v>
      </c>
      <c r="AL244" s="182"/>
      <c r="AM244" s="182"/>
      <c r="AN244" s="183">
        <f t="shared" si="117"/>
        <v>3</v>
      </c>
      <c r="AO244" s="246">
        <v>0.25</v>
      </c>
      <c r="AP244" s="194">
        <f t="shared" si="114"/>
        <v>0.75</v>
      </c>
      <c r="AQ244" s="178">
        <f t="shared" si="116"/>
        <v>1117500</v>
      </c>
      <c r="AR244" s="178"/>
      <c r="AS244" s="178">
        <f t="shared" si="96"/>
        <v>5398196</v>
      </c>
      <c r="AT244" s="469" t="str">
        <f t="shared" si="115"/>
        <v>226</v>
      </c>
      <c r="AU244" s="186"/>
      <c r="AV244" s="198" t="s">
        <v>709</v>
      </c>
    </row>
    <row r="245" spans="1:58" s="189" customFormat="1" ht="27.75" customHeight="1" x14ac:dyDescent="0.25">
      <c r="A245" s="168" t="s">
        <v>513</v>
      </c>
      <c r="B245" s="168" t="str">
        <f>VLOOKUP(D245,[1]LuongBC_T01!$B$9:$C$292,2,FALSE)</f>
        <v>0016100006697008</v>
      </c>
      <c r="C245" s="199" t="s">
        <v>1014</v>
      </c>
      <c r="D245" s="230" t="s">
        <v>563</v>
      </c>
      <c r="E245" s="263" t="s">
        <v>1375</v>
      </c>
      <c r="F245" s="231"/>
      <c r="G245" s="231"/>
      <c r="H245" s="231"/>
      <c r="I245" s="231"/>
      <c r="J245" s="231"/>
      <c r="K245" s="170" t="str">
        <f>VLOOKUP(D245,[2]T3!$B$2:$D$328,3,FALSE)</f>
        <v>079082002097</v>
      </c>
      <c r="L245" s="543" t="s">
        <v>745</v>
      </c>
      <c r="M245" s="543" t="s">
        <v>1014</v>
      </c>
      <c r="N245" s="390" t="s">
        <v>1438</v>
      </c>
      <c r="O245" s="170" t="s">
        <v>692</v>
      </c>
      <c r="P245" s="170">
        <v>2</v>
      </c>
      <c r="Q245" s="177">
        <v>3</v>
      </c>
      <c r="R245" s="176">
        <f t="shared" si="105"/>
        <v>0.21</v>
      </c>
      <c r="S245" s="169"/>
      <c r="T245" s="176">
        <f t="shared" si="106"/>
        <v>0</v>
      </c>
      <c r="U245" s="175">
        <f t="shared" si="101"/>
        <v>0</v>
      </c>
      <c r="V245" s="170"/>
      <c r="W245" s="179">
        <v>7.0000000000000007E-2</v>
      </c>
      <c r="X245" s="216">
        <f t="shared" si="107"/>
        <v>0.21</v>
      </c>
      <c r="Y245" s="216">
        <f t="shared" si="108"/>
        <v>3.21</v>
      </c>
      <c r="Z245" s="180">
        <f t="shared" si="109"/>
        <v>4782900</v>
      </c>
      <c r="AA245" s="180"/>
      <c r="AB245" s="180">
        <f t="shared" si="110"/>
        <v>0</v>
      </c>
      <c r="AC245" s="180">
        <f t="shared" si="118"/>
        <v>0</v>
      </c>
      <c r="AD245" s="180">
        <f t="shared" si="111"/>
        <v>4782900</v>
      </c>
      <c r="AE245" s="178">
        <f t="shared" si="102"/>
        <v>382632</v>
      </c>
      <c r="AF245" s="178">
        <f t="shared" si="103"/>
        <v>71743.5</v>
      </c>
      <c r="AG245" s="178">
        <f t="shared" si="104"/>
        <v>47829</v>
      </c>
      <c r="AH245" s="178"/>
      <c r="AI245" s="178">
        <f t="shared" si="112"/>
        <v>502204.5</v>
      </c>
      <c r="AJ245" s="192"/>
      <c r="AK245" s="182">
        <f t="shared" si="113"/>
        <v>0</v>
      </c>
      <c r="AL245" s="182"/>
      <c r="AM245" s="182"/>
      <c r="AN245" s="183">
        <f t="shared" si="117"/>
        <v>3</v>
      </c>
      <c r="AO245" s="246">
        <v>0.25</v>
      </c>
      <c r="AP245" s="194">
        <f t="shared" si="114"/>
        <v>0.75</v>
      </c>
      <c r="AQ245" s="178">
        <f t="shared" si="116"/>
        <v>1117500</v>
      </c>
      <c r="AR245" s="178"/>
      <c r="AS245" s="178">
        <f t="shared" si="96"/>
        <v>5398196</v>
      </c>
      <c r="AT245" s="469" t="str">
        <f t="shared" si="115"/>
        <v>227</v>
      </c>
      <c r="AU245" s="186"/>
      <c r="AV245" s="198" t="s">
        <v>714</v>
      </c>
    </row>
    <row r="246" spans="1:58" s="189" customFormat="1" ht="27.75" customHeight="1" x14ac:dyDescent="0.25">
      <c r="A246" s="168" t="s">
        <v>514</v>
      </c>
      <c r="B246" s="168" t="str">
        <f>VLOOKUP(D246,[1]LuongBC_T01!$B$9:$C$292,2,FALSE)</f>
        <v>0016100006572008</v>
      </c>
      <c r="C246" s="371" t="s">
        <v>1053</v>
      </c>
      <c r="D246" s="230" t="s">
        <v>1233</v>
      </c>
      <c r="E246" s="263" t="s">
        <v>1373</v>
      </c>
      <c r="F246" s="231"/>
      <c r="G246" s="251" t="s">
        <v>25</v>
      </c>
      <c r="H246" s="231"/>
      <c r="I246" s="231"/>
      <c r="J246" s="231"/>
      <c r="K246" s="170" t="str">
        <f>VLOOKUP(D246,[2]T3!$B$2:$D$328,3,FALSE)</f>
        <v>025121375</v>
      </c>
      <c r="L246" s="378">
        <v>1603205357136</v>
      </c>
      <c r="M246" s="378" t="s">
        <v>1053</v>
      </c>
      <c r="N246" s="390" t="s">
        <v>1438</v>
      </c>
      <c r="O246" s="170" t="s">
        <v>692</v>
      </c>
      <c r="P246" s="170">
        <v>2</v>
      </c>
      <c r="Q246" s="177">
        <v>3</v>
      </c>
      <c r="R246" s="176">
        <f t="shared" si="105"/>
        <v>0.21</v>
      </c>
      <c r="S246" s="169"/>
      <c r="T246" s="176">
        <f t="shared" si="106"/>
        <v>0</v>
      </c>
      <c r="U246" s="175">
        <f t="shared" si="101"/>
        <v>0</v>
      </c>
      <c r="V246" s="170"/>
      <c r="W246" s="179">
        <v>7.0000000000000007E-2</v>
      </c>
      <c r="X246" s="216">
        <f t="shared" si="107"/>
        <v>0.21</v>
      </c>
      <c r="Y246" s="216">
        <f t="shared" si="108"/>
        <v>3.21</v>
      </c>
      <c r="Z246" s="180">
        <f t="shared" si="109"/>
        <v>4782900</v>
      </c>
      <c r="AA246" s="180"/>
      <c r="AB246" s="180">
        <f t="shared" si="110"/>
        <v>0</v>
      </c>
      <c r="AC246" s="180">
        <f t="shared" si="118"/>
        <v>0</v>
      </c>
      <c r="AD246" s="180">
        <f t="shared" si="111"/>
        <v>4782900</v>
      </c>
      <c r="AE246" s="178">
        <f t="shared" si="102"/>
        <v>382632</v>
      </c>
      <c r="AF246" s="178">
        <f t="shared" si="103"/>
        <v>71743.5</v>
      </c>
      <c r="AG246" s="178">
        <f t="shared" si="104"/>
        <v>47829</v>
      </c>
      <c r="AH246" s="178"/>
      <c r="AI246" s="178">
        <f t="shared" si="112"/>
        <v>502204.5</v>
      </c>
      <c r="AJ246" s="192"/>
      <c r="AK246" s="182">
        <f t="shared" si="113"/>
        <v>0</v>
      </c>
      <c r="AL246" s="182"/>
      <c r="AM246" s="182"/>
      <c r="AN246" s="183">
        <f t="shared" si="117"/>
        <v>3</v>
      </c>
      <c r="AO246" s="246">
        <v>0.25</v>
      </c>
      <c r="AP246" s="194">
        <f t="shared" si="114"/>
        <v>0.75</v>
      </c>
      <c r="AQ246" s="178">
        <f t="shared" si="116"/>
        <v>1117500</v>
      </c>
      <c r="AR246" s="178"/>
      <c r="AS246" s="178">
        <f t="shared" si="96"/>
        <v>5398196</v>
      </c>
      <c r="AT246" s="469" t="str">
        <f t="shared" si="115"/>
        <v>228</v>
      </c>
      <c r="AU246" s="186"/>
      <c r="AV246" s="198" t="s">
        <v>708</v>
      </c>
    </row>
    <row r="247" spans="1:58" s="189" customFormat="1" ht="31.5" customHeight="1" x14ac:dyDescent="0.25">
      <c r="A247" s="168" t="s">
        <v>515</v>
      </c>
      <c r="B247" s="168" t="str">
        <f>VLOOKUP(D247,[1]LuongBC_T01!$B$9:$C$292,2,FALSE)</f>
        <v>0016100006606002</v>
      </c>
      <c r="C247" s="387" t="s">
        <v>900</v>
      </c>
      <c r="D247" s="169" t="s">
        <v>808</v>
      </c>
      <c r="E247" s="263" t="s">
        <v>1259</v>
      </c>
      <c r="F247" s="220"/>
      <c r="G247" s="220" t="s">
        <v>25</v>
      </c>
      <c r="H247" s="220"/>
      <c r="I247" s="220"/>
      <c r="J247" s="220"/>
      <c r="K247" s="170" t="str">
        <f>VLOOKUP(D247,[2]T3!$B$2:$D$328,3,FALSE)</f>
        <v>285085296</v>
      </c>
      <c r="L247" s="220"/>
      <c r="M247" s="170" t="s">
        <v>900</v>
      </c>
      <c r="N247" s="390" t="s">
        <v>1438</v>
      </c>
      <c r="O247" s="170" t="s">
        <v>692</v>
      </c>
      <c r="P247" s="170">
        <v>2</v>
      </c>
      <c r="Q247" s="177">
        <v>3</v>
      </c>
      <c r="R247" s="176">
        <f>T247+V247+X247</f>
        <v>0</v>
      </c>
      <c r="S247" s="220"/>
      <c r="T247" s="176">
        <f>ROUND(Q247*S247/100,4)</f>
        <v>0</v>
      </c>
      <c r="U247" s="175">
        <f>Q247*S247*$D$8/100</f>
        <v>0</v>
      </c>
      <c r="V247" s="170"/>
      <c r="W247" s="179">
        <f>VLOOKUP(D247,[3]BC!$D$14:$W$287,20,FALSE)</f>
        <v>0</v>
      </c>
      <c r="X247" s="216">
        <f>ROUND((Q247+T247+V247)*W247,4)</f>
        <v>0</v>
      </c>
      <c r="Y247" s="216">
        <f>Q247+T247+V247+X247</f>
        <v>3</v>
      </c>
      <c r="Z247" s="180">
        <f t="shared" si="109"/>
        <v>4470000</v>
      </c>
      <c r="AA247" s="180"/>
      <c r="AB247" s="180">
        <f t="shared" si="110"/>
        <v>0</v>
      </c>
      <c r="AC247" s="180">
        <f t="shared" si="118"/>
        <v>0</v>
      </c>
      <c r="AD247" s="180">
        <f t="shared" si="111"/>
        <v>4470000</v>
      </c>
      <c r="AE247" s="178">
        <f t="shared" si="102"/>
        <v>357600</v>
      </c>
      <c r="AF247" s="178">
        <f t="shared" si="103"/>
        <v>67050</v>
      </c>
      <c r="AG247" s="178">
        <f t="shared" si="104"/>
        <v>44700</v>
      </c>
      <c r="AH247" s="178"/>
      <c r="AI247" s="178">
        <f>SUM(AE247:AH247)</f>
        <v>469350</v>
      </c>
      <c r="AJ247" s="192"/>
      <c r="AK247" s="182">
        <f t="shared" si="113"/>
        <v>0</v>
      </c>
      <c r="AL247" s="182"/>
      <c r="AM247" s="182"/>
      <c r="AN247" s="183">
        <f t="shared" si="117"/>
        <v>3</v>
      </c>
      <c r="AO247" s="246">
        <v>0.25</v>
      </c>
      <c r="AP247" s="185">
        <f>ROUND(AN247*AO247,4)</f>
        <v>0.75</v>
      </c>
      <c r="AQ247" s="178">
        <f t="shared" si="116"/>
        <v>1117500</v>
      </c>
      <c r="AR247" s="178"/>
      <c r="AS247" s="178">
        <f t="shared" si="96"/>
        <v>5118150</v>
      </c>
      <c r="AT247" s="469" t="str">
        <f t="shared" si="115"/>
        <v>229</v>
      </c>
      <c r="AU247" s="195"/>
      <c r="AV247" s="198"/>
      <c r="AW247" s="29"/>
      <c r="AX247" s="29"/>
      <c r="AY247" s="29"/>
      <c r="AZ247" s="29"/>
      <c r="BA247" s="29"/>
      <c r="BB247" s="29"/>
      <c r="BC247" s="29"/>
      <c r="BD247" s="29"/>
      <c r="BE247" s="29"/>
      <c r="BF247" s="29"/>
    </row>
    <row r="248" spans="1:58" s="189" customFormat="1" ht="31.5" customHeight="1" x14ac:dyDescent="0.25">
      <c r="A248" s="168" t="s">
        <v>516</v>
      </c>
      <c r="B248" s="168" t="str">
        <f>VLOOKUP(D248,[1]LuongBC_T01!$B$9:$C$292,2,FALSE)</f>
        <v>0016100006554002</v>
      </c>
      <c r="C248" s="387" t="s">
        <v>903</v>
      </c>
      <c r="D248" s="169" t="s">
        <v>813</v>
      </c>
      <c r="E248" s="263" t="s">
        <v>1259</v>
      </c>
      <c r="F248" s="220"/>
      <c r="G248" s="220" t="s">
        <v>25</v>
      </c>
      <c r="H248" s="220"/>
      <c r="I248" s="220"/>
      <c r="J248" s="220"/>
      <c r="K248" s="168" t="s">
        <v>1350</v>
      </c>
      <c r="L248" s="220"/>
      <c r="M248" s="170" t="s">
        <v>903</v>
      </c>
      <c r="N248" s="390" t="s">
        <v>1438</v>
      </c>
      <c r="O248" s="170" t="s">
        <v>692</v>
      </c>
      <c r="P248" s="170">
        <v>2</v>
      </c>
      <c r="Q248" s="177">
        <v>3</v>
      </c>
      <c r="R248" s="176">
        <f>T248+V248+X248</f>
        <v>0.18</v>
      </c>
      <c r="S248" s="220"/>
      <c r="T248" s="176">
        <f>ROUND(Q248*S248/100,4)</f>
        <v>0</v>
      </c>
      <c r="U248" s="175">
        <f>Q248*S248*$D$8/100</f>
        <v>0</v>
      </c>
      <c r="V248" s="170"/>
      <c r="W248" s="179">
        <v>0.06</v>
      </c>
      <c r="X248" s="216">
        <f>ROUND((Q248+T248+V248)*W248,4)</f>
        <v>0.18</v>
      </c>
      <c r="Y248" s="216">
        <f>Q248+T248+V248+X248</f>
        <v>3.18</v>
      </c>
      <c r="Z248" s="180">
        <f t="shared" si="109"/>
        <v>4738200</v>
      </c>
      <c r="AA248" s="180"/>
      <c r="AB248" s="180">
        <f>Z248/24*AA248</f>
        <v>0</v>
      </c>
      <c r="AC248" s="180">
        <v>0</v>
      </c>
      <c r="AD248" s="180">
        <f t="shared" si="111"/>
        <v>4738200</v>
      </c>
      <c r="AE248" s="178">
        <f t="shared" si="102"/>
        <v>379056</v>
      </c>
      <c r="AF248" s="178">
        <f t="shared" si="103"/>
        <v>71073</v>
      </c>
      <c r="AG248" s="178">
        <f t="shared" si="104"/>
        <v>47382</v>
      </c>
      <c r="AH248" s="178"/>
      <c r="AI248" s="178">
        <f>SUM(AE248:AH248)</f>
        <v>497511</v>
      </c>
      <c r="AJ248" s="192"/>
      <c r="AK248" s="182">
        <f t="shared" si="113"/>
        <v>0</v>
      </c>
      <c r="AL248" s="182"/>
      <c r="AM248" s="182"/>
      <c r="AN248" s="183">
        <f t="shared" si="117"/>
        <v>3</v>
      </c>
      <c r="AO248" s="246">
        <v>0.25</v>
      </c>
      <c r="AP248" s="185">
        <f>ROUND(AN248*AO248,4)</f>
        <v>0.75</v>
      </c>
      <c r="AQ248" s="178">
        <f t="shared" si="116"/>
        <v>1117500</v>
      </c>
      <c r="AR248" s="178"/>
      <c r="AS248" s="178">
        <f t="shared" si="96"/>
        <v>5358189</v>
      </c>
      <c r="AT248" s="469" t="str">
        <f t="shared" si="115"/>
        <v>230</v>
      </c>
      <c r="AU248" s="195"/>
      <c r="AV248" s="259" t="e">
        <f>#REF!-#REF!-#REF!-#REF!</f>
        <v>#REF!</v>
      </c>
    </row>
    <row r="249" spans="1:58" s="189" customFormat="1" ht="30" customHeight="1" x14ac:dyDescent="0.25">
      <c r="A249" s="168" t="s">
        <v>517</v>
      </c>
      <c r="B249" s="168" t="str">
        <f>VLOOKUP(D249,[1]LuongBC_T01!$B$9:$C$292,2,FALSE)</f>
        <v>0016100006646004</v>
      </c>
      <c r="C249" s="387" t="s">
        <v>902</v>
      </c>
      <c r="D249" s="169" t="s">
        <v>814</v>
      </c>
      <c r="E249" s="263" t="s">
        <v>1251</v>
      </c>
      <c r="F249" s="220"/>
      <c r="G249" s="220" t="s">
        <v>25</v>
      </c>
      <c r="H249" s="220"/>
      <c r="I249" s="220"/>
      <c r="J249" s="220"/>
      <c r="K249" s="170">
        <v>186057737</v>
      </c>
      <c r="L249" s="220"/>
      <c r="M249" s="170" t="s">
        <v>902</v>
      </c>
      <c r="N249" s="390" t="s">
        <v>1438</v>
      </c>
      <c r="O249" s="170" t="s">
        <v>692</v>
      </c>
      <c r="P249" s="170">
        <v>2</v>
      </c>
      <c r="Q249" s="177">
        <v>3</v>
      </c>
      <c r="R249" s="176">
        <f>T249+V249+X249</f>
        <v>0</v>
      </c>
      <c r="S249" s="220"/>
      <c r="T249" s="176">
        <f>ROUND(Q249*S249/100,4)</f>
        <v>0</v>
      </c>
      <c r="U249" s="175">
        <f>Q249*S249*$D$8/100</f>
        <v>0</v>
      </c>
      <c r="V249" s="170"/>
      <c r="W249" s="179">
        <f>VLOOKUP(D249,[3]BC!$D$14:$W$287,20,FALSE)</f>
        <v>0</v>
      </c>
      <c r="X249" s="216">
        <f>ROUND((Q249+T249+V249)*W249,4)</f>
        <v>0</v>
      </c>
      <c r="Y249" s="216">
        <f>Q249+T249+V249+X249</f>
        <v>3</v>
      </c>
      <c r="Z249" s="180">
        <f t="shared" si="109"/>
        <v>4470000</v>
      </c>
      <c r="AA249" s="180"/>
      <c r="AB249" s="180">
        <f t="shared" si="110"/>
        <v>0</v>
      </c>
      <c r="AC249" s="180">
        <f t="shared" si="118"/>
        <v>0</v>
      </c>
      <c r="AD249" s="180">
        <f t="shared" si="111"/>
        <v>4470000</v>
      </c>
      <c r="AE249" s="178">
        <f t="shared" si="102"/>
        <v>357600</v>
      </c>
      <c r="AF249" s="178">
        <f t="shared" si="103"/>
        <v>67050</v>
      </c>
      <c r="AG249" s="178">
        <f t="shared" si="104"/>
        <v>44700</v>
      </c>
      <c r="AH249" s="178"/>
      <c r="AI249" s="178">
        <f>SUM(AE249:AH249)</f>
        <v>469350</v>
      </c>
      <c r="AJ249" s="192"/>
      <c r="AK249" s="182">
        <f t="shared" si="113"/>
        <v>0</v>
      </c>
      <c r="AL249" s="182"/>
      <c r="AM249" s="182"/>
      <c r="AN249" s="183">
        <f t="shared" si="117"/>
        <v>3</v>
      </c>
      <c r="AO249" s="638">
        <v>0.45</v>
      </c>
      <c r="AP249" s="637">
        <f>ROUND(AN249*AO249,4)</f>
        <v>1.35</v>
      </c>
      <c r="AQ249" s="178">
        <f t="shared" si="116"/>
        <v>2011500</v>
      </c>
      <c r="AR249" s="178"/>
      <c r="AS249" s="178">
        <f t="shared" si="96"/>
        <v>6012150</v>
      </c>
      <c r="AT249" s="469" t="str">
        <f t="shared" si="115"/>
        <v>231</v>
      </c>
      <c r="AU249" s="195"/>
      <c r="AV249" s="198" t="e">
        <f>AV248/24</f>
        <v>#REF!</v>
      </c>
      <c r="AW249" s="29"/>
      <c r="AX249" s="29"/>
      <c r="AY249" s="29"/>
      <c r="AZ249" s="29"/>
      <c r="BA249" s="29"/>
      <c r="BB249" s="29"/>
      <c r="BC249" s="29"/>
      <c r="BD249" s="29"/>
      <c r="BE249" s="29"/>
      <c r="BF249" s="29"/>
    </row>
    <row r="250" spans="1:58" s="189" customFormat="1" ht="31.5" customHeight="1" x14ac:dyDescent="0.25">
      <c r="A250" s="168" t="s">
        <v>518</v>
      </c>
      <c r="B250" s="168" t="str">
        <f>VLOOKUP(D250,[1]LuongBC_T01!$B$9:$C$292,2,FALSE)</f>
        <v>0016100006597003</v>
      </c>
      <c r="C250" s="387" t="s">
        <v>899</v>
      </c>
      <c r="D250" s="169" t="s">
        <v>806</v>
      </c>
      <c r="E250" s="263" t="s">
        <v>1380</v>
      </c>
      <c r="F250" s="220"/>
      <c r="G250" s="220" t="s">
        <v>25</v>
      </c>
      <c r="H250" s="220"/>
      <c r="I250" s="220"/>
      <c r="J250" s="220"/>
      <c r="K250" s="168" t="s">
        <v>1361</v>
      </c>
      <c r="L250" s="220"/>
      <c r="M250" s="170" t="s">
        <v>899</v>
      </c>
      <c r="N250" s="263" t="s">
        <v>1438</v>
      </c>
      <c r="O250" s="170" t="s">
        <v>692</v>
      </c>
      <c r="P250" s="170">
        <v>2</v>
      </c>
      <c r="Q250" s="177">
        <v>3</v>
      </c>
      <c r="R250" s="176">
        <f>T250+V250+X250</f>
        <v>0</v>
      </c>
      <c r="S250" s="220"/>
      <c r="T250" s="176">
        <f>ROUND(Q250*S250/100,4)</f>
        <v>0</v>
      </c>
      <c r="U250" s="175">
        <f>Q250*S250*$D$8/100</f>
        <v>0</v>
      </c>
      <c r="V250" s="170"/>
      <c r="W250" s="179">
        <f>VLOOKUP(D250,[3]BC!$D$14:$W$287,20,FALSE)</f>
        <v>0</v>
      </c>
      <c r="X250" s="216">
        <f>ROUND((Q250+T250+V250)*W250,4)</f>
        <v>0</v>
      </c>
      <c r="Y250" s="216">
        <f>Q250+T250+V250+X250</f>
        <v>3</v>
      </c>
      <c r="Z250" s="180">
        <f t="shared" si="109"/>
        <v>4470000</v>
      </c>
      <c r="AA250" s="180"/>
      <c r="AB250" s="180">
        <f t="shared" si="110"/>
        <v>0</v>
      </c>
      <c r="AC250" s="180">
        <f t="shared" si="118"/>
        <v>0</v>
      </c>
      <c r="AD250" s="180">
        <f t="shared" si="111"/>
        <v>4470000</v>
      </c>
      <c r="AE250" s="178">
        <f t="shared" si="102"/>
        <v>357600</v>
      </c>
      <c r="AF250" s="178">
        <f t="shared" si="103"/>
        <v>67050</v>
      </c>
      <c r="AG250" s="178">
        <f t="shared" si="104"/>
        <v>44700</v>
      </c>
      <c r="AH250" s="178"/>
      <c r="AI250" s="178">
        <f>SUM(AE250:AH250)</f>
        <v>469350</v>
      </c>
      <c r="AJ250" s="192"/>
      <c r="AK250" s="182">
        <f t="shared" si="113"/>
        <v>0</v>
      </c>
      <c r="AL250" s="182"/>
      <c r="AM250" s="182"/>
      <c r="AN250" s="183">
        <f t="shared" si="117"/>
        <v>3</v>
      </c>
      <c r="AO250" s="246">
        <v>0.25</v>
      </c>
      <c r="AP250" s="185">
        <f>ROUND(AN250*AO250,4)</f>
        <v>0.75</v>
      </c>
      <c r="AQ250" s="178">
        <f t="shared" si="116"/>
        <v>1117500</v>
      </c>
      <c r="AR250" s="178"/>
      <c r="AS250" s="178">
        <f t="shared" ref="AS250:AS281" si="119">ROUND(AD250-AI250+AK250+AM250+AQ250,0)</f>
        <v>5118150</v>
      </c>
      <c r="AT250" s="469" t="str">
        <f t="shared" si="115"/>
        <v>232</v>
      </c>
      <c r="AU250" s="195"/>
      <c r="AV250" s="198"/>
      <c r="AW250" s="29"/>
      <c r="AX250" s="29"/>
      <c r="AY250" s="29"/>
      <c r="AZ250" s="29"/>
      <c r="BA250" s="29"/>
      <c r="BB250" s="29"/>
      <c r="BC250" s="29"/>
      <c r="BD250" s="29"/>
      <c r="BE250" s="29"/>
      <c r="BF250" s="29"/>
    </row>
    <row r="251" spans="1:58" s="189" customFormat="1" ht="32.25" customHeight="1" x14ac:dyDescent="0.25">
      <c r="A251" s="168" t="s">
        <v>519</v>
      </c>
      <c r="B251" s="168" t="str">
        <f>VLOOKUP(D251,[1]LuongBC_T01!$B$9:$C$292,2,FALSE)</f>
        <v>0016100006729007</v>
      </c>
      <c r="C251" s="371" t="s">
        <v>1052</v>
      </c>
      <c r="D251" s="169" t="s">
        <v>1228</v>
      </c>
      <c r="E251" s="263" t="s">
        <v>1251</v>
      </c>
      <c r="F251" s="169" t="s">
        <v>549</v>
      </c>
      <c r="G251" s="200"/>
      <c r="H251" s="200" t="s">
        <v>283</v>
      </c>
      <c r="I251" s="200" t="s">
        <v>283</v>
      </c>
      <c r="J251" s="200" t="s">
        <v>589</v>
      </c>
      <c r="K251" s="170" t="str">
        <f>VLOOKUP(D251,[2]T3!$B$2:$D$328,3,FALSE)</f>
        <v>022472262</v>
      </c>
      <c r="L251" s="201" t="s">
        <v>611</v>
      </c>
      <c r="M251" s="201" t="s">
        <v>1052</v>
      </c>
      <c r="N251" s="390" t="s">
        <v>1438</v>
      </c>
      <c r="O251" s="170" t="s">
        <v>692</v>
      </c>
      <c r="P251" s="170">
        <v>3</v>
      </c>
      <c r="Q251" s="177">
        <v>3.33</v>
      </c>
      <c r="R251" s="176">
        <f>T251+V251+X251</f>
        <v>0.33300000000000002</v>
      </c>
      <c r="S251" s="220"/>
      <c r="T251" s="176">
        <f>ROUND(Q251*S251/100,4)</f>
        <v>0</v>
      </c>
      <c r="U251" s="175">
        <f>Q251*S251*$D$8/100</f>
        <v>0</v>
      </c>
      <c r="V251" s="170"/>
      <c r="W251" s="179">
        <v>0.1</v>
      </c>
      <c r="X251" s="216">
        <f>ROUND((Q251+T251+V251)*W251,4)</f>
        <v>0.33300000000000002</v>
      </c>
      <c r="Y251" s="216">
        <f>Q251+T251+V251+X251</f>
        <v>3.6630000000000003</v>
      </c>
      <c r="Z251" s="180">
        <f>ROUND(Y251*$D$8,0)</f>
        <v>5457870</v>
      </c>
      <c r="AA251" s="180">
        <v>0</v>
      </c>
      <c r="AB251" s="180">
        <f>Z251/24*AA251</f>
        <v>0</v>
      </c>
      <c r="AC251" s="180">
        <v>0</v>
      </c>
      <c r="AD251" s="180">
        <f>ROUND(Z251-AB251+AC251,0)</f>
        <v>5457870</v>
      </c>
      <c r="AE251" s="178">
        <f t="shared" si="102"/>
        <v>436629.60000000003</v>
      </c>
      <c r="AF251" s="178">
        <f t="shared" si="103"/>
        <v>81868.05</v>
      </c>
      <c r="AG251" s="178">
        <f t="shared" si="104"/>
        <v>54578.700000000004</v>
      </c>
      <c r="AH251" s="178"/>
      <c r="AI251" s="178">
        <f>SUM(AE251:AH251)</f>
        <v>573076.35</v>
      </c>
      <c r="AJ251" s="192"/>
      <c r="AK251" s="182">
        <f>AJ251*$D$8</f>
        <v>0</v>
      </c>
      <c r="AL251" s="182"/>
      <c r="AM251" s="182"/>
      <c r="AN251" s="193">
        <f t="shared" si="117"/>
        <v>3.33</v>
      </c>
      <c r="AO251" s="246">
        <v>0.25</v>
      </c>
      <c r="AP251" s="194">
        <f>ROUND(AN251*AO251,4)</f>
        <v>0.83250000000000002</v>
      </c>
      <c r="AQ251" s="178">
        <f>ROUND(AP251*$D$8,0)</f>
        <v>1240425</v>
      </c>
      <c r="AR251" s="178"/>
      <c r="AS251" s="178">
        <f t="shared" si="119"/>
        <v>6125219</v>
      </c>
      <c r="AT251" s="469" t="str">
        <f t="shared" si="115"/>
        <v>233</v>
      </c>
      <c r="AU251" s="195"/>
      <c r="AV251" s="198" t="s">
        <v>710</v>
      </c>
    </row>
    <row r="252" spans="1:58" s="189" customFormat="1" ht="27.75" customHeight="1" x14ac:dyDescent="0.25">
      <c r="A252" s="168" t="s">
        <v>520</v>
      </c>
      <c r="B252" s="168" t="str">
        <f>VLOOKUP(D252,[1]LuongBC_T01!$B$9:$C$292,2,FALSE)</f>
        <v>0016100006559004</v>
      </c>
      <c r="C252" s="199" t="s">
        <v>1013</v>
      </c>
      <c r="D252" s="230" t="s">
        <v>748</v>
      </c>
      <c r="E252" s="263" t="s">
        <v>1377</v>
      </c>
      <c r="F252" s="231"/>
      <c r="G252" s="251"/>
      <c r="H252" s="231"/>
      <c r="I252" s="231"/>
      <c r="J252" s="231"/>
      <c r="K252" s="170" t="str">
        <f>VLOOKUP(D252,[2]T3!$B$2:$D$328,3,FALSE)</f>
        <v>024157475</v>
      </c>
      <c r="L252" s="253" t="s">
        <v>762</v>
      </c>
      <c r="M252" s="253" t="s">
        <v>1013</v>
      </c>
      <c r="N252" s="390" t="s">
        <v>1438</v>
      </c>
      <c r="O252" s="170" t="s">
        <v>692</v>
      </c>
      <c r="P252" s="170">
        <v>2</v>
      </c>
      <c r="Q252" s="177">
        <v>3</v>
      </c>
      <c r="R252" s="176">
        <f t="shared" si="105"/>
        <v>0.18</v>
      </c>
      <c r="S252" s="169"/>
      <c r="T252" s="176">
        <f t="shared" si="106"/>
        <v>0</v>
      </c>
      <c r="U252" s="175"/>
      <c r="V252" s="170"/>
      <c r="W252" s="179">
        <v>0.06</v>
      </c>
      <c r="X252" s="216">
        <f t="shared" si="107"/>
        <v>0.18</v>
      </c>
      <c r="Y252" s="216">
        <f t="shared" si="108"/>
        <v>3.18</v>
      </c>
      <c r="Z252" s="180">
        <f t="shared" si="109"/>
        <v>4738200</v>
      </c>
      <c r="AA252" s="180"/>
      <c r="AB252" s="180">
        <f t="shared" si="110"/>
        <v>0</v>
      </c>
      <c r="AC252" s="180">
        <f t="shared" si="118"/>
        <v>0</v>
      </c>
      <c r="AD252" s="180">
        <f t="shared" si="111"/>
        <v>4738200</v>
      </c>
      <c r="AE252" s="178">
        <f t="shared" si="102"/>
        <v>379056</v>
      </c>
      <c r="AF252" s="178">
        <f t="shared" si="103"/>
        <v>71073</v>
      </c>
      <c r="AG252" s="178">
        <f t="shared" si="104"/>
        <v>47382</v>
      </c>
      <c r="AH252" s="178"/>
      <c r="AI252" s="178">
        <f t="shared" si="112"/>
        <v>497511</v>
      </c>
      <c r="AJ252" s="192"/>
      <c r="AK252" s="182">
        <f t="shared" si="113"/>
        <v>0</v>
      </c>
      <c r="AL252" s="182"/>
      <c r="AM252" s="182"/>
      <c r="AN252" s="183">
        <f t="shared" si="117"/>
        <v>3</v>
      </c>
      <c r="AO252" s="246">
        <v>0.25</v>
      </c>
      <c r="AP252" s="194">
        <f t="shared" si="114"/>
        <v>0.75</v>
      </c>
      <c r="AQ252" s="178">
        <f t="shared" si="116"/>
        <v>1117500</v>
      </c>
      <c r="AR252" s="178"/>
      <c r="AS252" s="178">
        <f t="shared" si="119"/>
        <v>5358189</v>
      </c>
      <c r="AT252" s="469" t="str">
        <f t="shared" si="115"/>
        <v>234</v>
      </c>
      <c r="AU252" s="195"/>
      <c r="AV252" s="196" t="e">
        <f>#REF!*10</f>
        <v>#REF!</v>
      </c>
    </row>
    <row r="253" spans="1:58" s="189" customFormat="1" ht="25.5" x14ac:dyDescent="0.25">
      <c r="A253" s="168" t="s">
        <v>617</v>
      </c>
      <c r="B253" s="168" t="str">
        <f>VLOOKUP(D253,[1]LuongBC_T01!$B$9:$C$292,2,FALSE)</f>
        <v>0016100006683007</v>
      </c>
      <c r="C253" s="199" t="s">
        <v>949</v>
      </c>
      <c r="D253" s="169" t="s">
        <v>821</v>
      </c>
      <c r="E253" s="263" t="s">
        <v>1094</v>
      </c>
      <c r="F253" s="169"/>
      <c r="G253" s="170" t="s">
        <v>25</v>
      </c>
      <c r="H253" s="170"/>
      <c r="I253" s="170"/>
      <c r="J253" s="169"/>
      <c r="K253" s="168" t="s">
        <v>1341</v>
      </c>
      <c r="L253" s="249"/>
      <c r="M253" s="249" t="s">
        <v>949</v>
      </c>
      <c r="N253" s="390" t="s">
        <v>1438</v>
      </c>
      <c r="O253" s="222" t="s">
        <v>692</v>
      </c>
      <c r="P253" s="172">
        <v>3</v>
      </c>
      <c r="Q253" s="174">
        <v>3</v>
      </c>
      <c r="R253" s="176">
        <f>T253+V253+X253</f>
        <v>0</v>
      </c>
      <c r="S253" s="370"/>
      <c r="T253" s="176">
        <f>ROUND(Q253*S253/100,4)</f>
        <v>0</v>
      </c>
      <c r="U253" s="175">
        <f>Q253*S253*$D$8/100</f>
        <v>0</v>
      </c>
      <c r="V253" s="170"/>
      <c r="W253" s="179">
        <f>VLOOKUP(D253,[3]BC!$D$14:$W$287,20,FALSE)</f>
        <v>0</v>
      </c>
      <c r="X253" s="216">
        <f>ROUND((Q253+T253+V253)*W253,4)</f>
        <v>0</v>
      </c>
      <c r="Y253" s="216">
        <f>Q253+T253+V253+X253</f>
        <v>3</v>
      </c>
      <c r="Z253" s="180">
        <f>ROUND(Y253*$D$8,0)</f>
        <v>4470000</v>
      </c>
      <c r="AA253" s="180">
        <v>0</v>
      </c>
      <c r="AB253" s="180">
        <f>Z253/24*AA253</f>
        <v>0</v>
      </c>
      <c r="AC253" s="180"/>
      <c r="AD253" s="180">
        <f>ROUND(Z253-AB253+AC253,0)</f>
        <v>4470000</v>
      </c>
      <c r="AE253" s="178">
        <f t="shared" si="102"/>
        <v>357600</v>
      </c>
      <c r="AF253" s="178">
        <f t="shared" si="103"/>
        <v>67050</v>
      </c>
      <c r="AG253" s="178">
        <f t="shared" si="104"/>
        <v>44700</v>
      </c>
      <c r="AH253" s="178"/>
      <c r="AI253" s="178">
        <f>SUM(AE253:AH253)</f>
        <v>469350</v>
      </c>
      <c r="AJ253" s="192"/>
      <c r="AK253" s="182">
        <f>AJ253*$D$8</f>
        <v>0</v>
      </c>
      <c r="AL253" s="182"/>
      <c r="AM253" s="182"/>
      <c r="AN253" s="193">
        <f t="shared" si="117"/>
        <v>3</v>
      </c>
      <c r="AO253" s="246">
        <v>0.25</v>
      </c>
      <c r="AP253" s="194">
        <f>ROUND(AN253*AO253,4)</f>
        <v>0.75</v>
      </c>
      <c r="AQ253" s="178">
        <f>ROUND(AP253*$D$8,0)</f>
        <v>1117500</v>
      </c>
      <c r="AR253" s="178"/>
      <c r="AS253" s="178">
        <f t="shared" si="119"/>
        <v>5118150</v>
      </c>
      <c r="AT253" s="469" t="str">
        <f t="shared" si="115"/>
        <v>235</v>
      </c>
      <c r="AU253" s="244"/>
      <c r="AV253" s="242"/>
      <c r="AW253" s="29"/>
      <c r="AX253" s="29"/>
      <c r="AY253" s="29"/>
      <c r="AZ253" s="29"/>
      <c r="BA253" s="29"/>
      <c r="BB253" s="29"/>
      <c r="BC253" s="29"/>
      <c r="BD253" s="29"/>
      <c r="BE253" s="29"/>
      <c r="BF253" s="29"/>
    </row>
    <row r="254" spans="1:58" s="189" customFormat="1" ht="29.25" customHeight="1" x14ac:dyDescent="0.25">
      <c r="A254" s="168" t="s">
        <v>618</v>
      </c>
      <c r="B254" s="168" t="str">
        <f>VLOOKUP(D254,[1]LuongBC_T01!$B$9:$C$292,2,FALSE)</f>
        <v>0016100006655003</v>
      </c>
      <c r="C254" s="199" t="s">
        <v>1081</v>
      </c>
      <c r="D254" s="169" t="s">
        <v>1234</v>
      </c>
      <c r="E254" s="263" t="s">
        <v>1094</v>
      </c>
      <c r="F254" s="169" t="s">
        <v>549</v>
      </c>
      <c r="G254" s="200"/>
      <c r="H254" s="200"/>
      <c r="I254" s="200" t="s">
        <v>283</v>
      </c>
      <c r="J254" s="200" t="s">
        <v>593</v>
      </c>
      <c r="K254" s="170" t="str">
        <f>VLOOKUP(D254,[2]T3!$B$2:$D$328,3,FALSE)</f>
        <v>024941650</v>
      </c>
      <c r="L254" s="655" t="s">
        <v>615</v>
      </c>
      <c r="M254" s="655" t="s">
        <v>1081</v>
      </c>
      <c r="N254" s="263" t="s">
        <v>807</v>
      </c>
      <c r="O254" s="170" t="s">
        <v>692</v>
      </c>
      <c r="P254" s="170">
        <v>3</v>
      </c>
      <c r="Q254" s="177">
        <v>3.33</v>
      </c>
      <c r="R254" s="176">
        <f>T254+V254+X254</f>
        <v>0</v>
      </c>
      <c r="S254" s="220"/>
      <c r="T254" s="176">
        <f>ROUND(Q254*S254/100,4)</f>
        <v>0</v>
      </c>
      <c r="U254" s="175">
        <f>Q254*S254*$D$8/100</f>
        <v>0</v>
      </c>
      <c r="V254" s="170"/>
      <c r="W254" s="179">
        <f>VLOOKUP(D254,[3]BC!$D$14:$W$287,20,FALSE)</f>
        <v>0</v>
      </c>
      <c r="X254" s="216">
        <f>ROUND((Q254+T254+V254)*W254,4)</f>
        <v>0</v>
      </c>
      <c r="Y254" s="216">
        <f>Q254+T254+V254+X254</f>
        <v>3.33</v>
      </c>
      <c r="Z254" s="180">
        <f>ROUND(Y254*$D$8,0)</f>
        <v>4961700</v>
      </c>
      <c r="AA254" s="180"/>
      <c r="AB254" s="180">
        <f>Z254/24*AA254</f>
        <v>0</v>
      </c>
      <c r="AC254" s="180">
        <f>Z254/24*AA254*75%</f>
        <v>0</v>
      </c>
      <c r="AD254" s="180">
        <f>ROUND(Z254-AB254+AC254,0)</f>
        <v>4961700</v>
      </c>
      <c r="AE254" s="178">
        <f t="shared" si="102"/>
        <v>396936</v>
      </c>
      <c r="AF254" s="178">
        <f t="shared" si="103"/>
        <v>74425.5</v>
      </c>
      <c r="AG254" s="178">
        <f t="shared" si="104"/>
        <v>49617</v>
      </c>
      <c r="AH254" s="178"/>
      <c r="AI254" s="178">
        <f>SUM(AE254:AH254)</f>
        <v>520978.5</v>
      </c>
      <c r="AJ254" s="192"/>
      <c r="AK254" s="182">
        <f>AJ254*$D$8</f>
        <v>0</v>
      </c>
      <c r="AL254" s="182"/>
      <c r="AM254" s="182"/>
      <c r="AN254" s="193">
        <f t="shared" si="117"/>
        <v>3.33</v>
      </c>
      <c r="AO254" s="179">
        <v>0.25</v>
      </c>
      <c r="AP254" s="194">
        <f>ROUND(AN254*AO254,4)</f>
        <v>0.83250000000000002</v>
      </c>
      <c r="AQ254" s="178">
        <f>ROUND(AP254*$D$8,0)</f>
        <v>1240425</v>
      </c>
      <c r="AR254" s="178"/>
      <c r="AS254" s="178">
        <f t="shared" si="119"/>
        <v>5681147</v>
      </c>
      <c r="AT254" s="469" t="str">
        <f t="shared" si="115"/>
        <v>236</v>
      </c>
      <c r="AU254" s="195"/>
      <c r="AV254" s="198"/>
      <c r="AW254" s="29"/>
      <c r="AX254" s="29"/>
      <c r="AY254" s="29"/>
      <c r="AZ254" s="29"/>
      <c r="BA254" s="29"/>
      <c r="BB254" s="29"/>
      <c r="BC254" s="29"/>
      <c r="BD254" s="29"/>
      <c r="BE254" s="29"/>
      <c r="BF254" s="29"/>
    </row>
    <row r="255" spans="1:58" s="189" customFormat="1" ht="25.5" x14ac:dyDescent="0.25">
      <c r="A255" s="168" t="s">
        <v>619</v>
      </c>
      <c r="B255" s="168" t="str">
        <f>VLOOKUP(D255,[1]LuongBC_T01!$B$9:$C$292,2,FALSE)</f>
        <v>0016100006573007</v>
      </c>
      <c r="C255" s="199" t="s">
        <v>1016</v>
      </c>
      <c r="D255" s="230" t="s">
        <v>750</v>
      </c>
      <c r="E255" s="263" t="s">
        <v>1373</v>
      </c>
      <c r="F255" s="427"/>
      <c r="G255" s="428" t="s">
        <v>25</v>
      </c>
      <c r="H255" s="427"/>
      <c r="I255" s="427"/>
      <c r="J255" s="427"/>
      <c r="K255" s="170" t="str">
        <f>VLOOKUP(D255,[2]T3!$B$2:$D$328,3,FALSE)</f>
        <v>025537038</v>
      </c>
      <c r="L255" s="429" t="s">
        <v>757</v>
      </c>
      <c r="M255" s="429" t="s">
        <v>1016</v>
      </c>
      <c r="N255" s="390" t="s">
        <v>1438</v>
      </c>
      <c r="O255" s="170" t="s">
        <v>692</v>
      </c>
      <c r="P255" s="170">
        <v>2</v>
      </c>
      <c r="Q255" s="170">
        <v>2.67</v>
      </c>
      <c r="R255" s="176">
        <f t="shared" si="105"/>
        <v>0</v>
      </c>
      <c r="S255" s="169"/>
      <c r="T255" s="176">
        <f t="shared" si="106"/>
        <v>0</v>
      </c>
      <c r="U255" s="175"/>
      <c r="V255" s="170"/>
      <c r="W255" s="179">
        <f>VLOOKUP(D255,[3]BC!$D$14:$W$287,20,FALSE)</f>
        <v>0</v>
      </c>
      <c r="X255" s="216">
        <f t="shared" si="107"/>
        <v>0</v>
      </c>
      <c r="Y255" s="216">
        <f t="shared" si="108"/>
        <v>2.67</v>
      </c>
      <c r="Z255" s="180">
        <f t="shared" si="109"/>
        <v>3978300</v>
      </c>
      <c r="AA255" s="180"/>
      <c r="AB255" s="180">
        <f t="shared" si="110"/>
        <v>0</v>
      </c>
      <c r="AC255" s="180">
        <f t="shared" si="118"/>
        <v>0</v>
      </c>
      <c r="AD255" s="180">
        <f t="shared" si="111"/>
        <v>3978300</v>
      </c>
      <c r="AE255" s="178">
        <f t="shared" si="102"/>
        <v>318264</v>
      </c>
      <c r="AF255" s="178">
        <f t="shared" si="103"/>
        <v>59674.5</v>
      </c>
      <c r="AG255" s="178">
        <f t="shared" si="104"/>
        <v>39783</v>
      </c>
      <c r="AH255" s="178"/>
      <c r="AI255" s="178">
        <f t="shared" si="112"/>
        <v>417721.5</v>
      </c>
      <c r="AJ255" s="192"/>
      <c r="AK255" s="182">
        <f t="shared" si="113"/>
        <v>0</v>
      </c>
      <c r="AL255" s="182"/>
      <c r="AM255" s="182"/>
      <c r="AN255" s="504">
        <f t="shared" si="117"/>
        <v>2.67</v>
      </c>
      <c r="AO255" s="246">
        <v>0.25</v>
      </c>
      <c r="AP255" s="194">
        <f t="shared" si="114"/>
        <v>0.66749999999999998</v>
      </c>
      <c r="AQ255" s="178">
        <f t="shared" si="116"/>
        <v>994575</v>
      </c>
      <c r="AR255" s="426"/>
      <c r="AS255" s="178">
        <f t="shared" si="119"/>
        <v>4555154</v>
      </c>
      <c r="AT255" s="469" t="str">
        <f t="shared" si="115"/>
        <v>237</v>
      </c>
      <c r="AU255" s="195"/>
      <c r="AV255" s="196">
        <f>AS252/20</f>
        <v>267909.45</v>
      </c>
      <c r="AW255" s="29"/>
      <c r="AX255" s="29"/>
      <c r="AY255" s="29"/>
      <c r="AZ255" s="29"/>
      <c r="BA255" s="29"/>
      <c r="BB255" s="29"/>
      <c r="BC255" s="29"/>
      <c r="BD255" s="29"/>
      <c r="BE255" s="29"/>
      <c r="BF255" s="29"/>
    </row>
    <row r="256" spans="1:58" s="189" customFormat="1" ht="30" customHeight="1" x14ac:dyDescent="0.25">
      <c r="A256" s="168" t="s">
        <v>620</v>
      </c>
      <c r="B256" s="168" t="str">
        <f>VLOOKUP(D256,[1]LuongBC_T01!$B$9:$C$292,2,FALSE)</f>
        <v>0016100006700009</v>
      </c>
      <c r="C256" s="199" t="s">
        <v>1017</v>
      </c>
      <c r="D256" s="230" t="s">
        <v>751</v>
      </c>
      <c r="E256" s="263" t="s">
        <v>1094</v>
      </c>
      <c r="F256" s="231"/>
      <c r="G256" s="251"/>
      <c r="H256" s="231"/>
      <c r="I256" s="231"/>
      <c r="J256" s="231"/>
      <c r="K256" s="170" t="str">
        <f>VLOOKUP(D256,[2]T3!$B$2:$D$328,3,FALSE)</f>
        <v>025583771</v>
      </c>
      <c r="L256" s="725" t="s">
        <v>758</v>
      </c>
      <c r="M256" s="725" t="s">
        <v>1017</v>
      </c>
      <c r="N256" s="393" t="s">
        <v>807</v>
      </c>
      <c r="O256" s="170" t="s">
        <v>692</v>
      </c>
      <c r="P256" s="170">
        <v>2</v>
      </c>
      <c r="Q256" s="177">
        <v>3</v>
      </c>
      <c r="R256" s="176">
        <f t="shared" si="105"/>
        <v>0.18</v>
      </c>
      <c r="S256" s="169"/>
      <c r="T256" s="176">
        <f t="shared" si="106"/>
        <v>0</v>
      </c>
      <c r="U256" s="175"/>
      <c r="V256" s="170"/>
      <c r="W256" s="179">
        <v>0.06</v>
      </c>
      <c r="X256" s="216">
        <f t="shared" si="107"/>
        <v>0.18</v>
      </c>
      <c r="Y256" s="216">
        <f t="shared" si="108"/>
        <v>3.18</v>
      </c>
      <c r="Z256" s="180">
        <f t="shared" si="109"/>
        <v>4738200</v>
      </c>
      <c r="AA256" s="180"/>
      <c r="AB256" s="180">
        <f t="shared" si="110"/>
        <v>0</v>
      </c>
      <c r="AC256" s="180">
        <f t="shared" si="118"/>
        <v>0</v>
      </c>
      <c r="AD256" s="180">
        <f t="shared" si="111"/>
        <v>4738200</v>
      </c>
      <c r="AE256" s="178">
        <f t="shared" si="102"/>
        <v>379056</v>
      </c>
      <c r="AF256" s="178">
        <f t="shared" si="103"/>
        <v>71073</v>
      </c>
      <c r="AG256" s="178">
        <f t="shared" si="104"/>
        <v>47382</v>
      </c>
      <c r="AH256" s="178"/>
      <c r="AI256" s="178">
        <f t="shared" si="112"/>
        <v>497511</v>
      </c>
      <c r="AJ256" s="192"/>
      <c r="AK256" s="182">
        <f t="shared" si="113"/>
        <v>0</v>
      </c>
      <c r="AL256" s="182"/>
      <c r="AM256" s="182"/>
      <c r="AN256" s="183">
        <f t="shared" si="117"/>
        <v>3</v>
      </c>
      <c r="AO256" s="246">
        <v>0.25</v>
      </c>
      <c r="AP256" s="194">
        <f t="shared" si="114"/>
        <v>0.75</v>
      </c>
      <c r="AQ256" s="178">
        <f t="shared" si="116"/>
        <v>1117500</v>
      </c>
      <c r="AR256" s="178"/>
      <c r="AS256" s="178">
        <f t="shared" si="119"/>
        <v>5358189</v>
      </c>
      <c r="AT256" s="469" t="str">
        <f t="shared" si="115"/>
        <v>238</v>
      </c>
      <c r="AU256" s="195"/>
      <c r="AV256" s="196">
        <f>AV255*9</f>
        <v>2411185.0500000003</v>
      </c>
    </row>
    <row r="257" spans="1:58" s="189" customFormat="1" ht="39.75" customHeight="1" x14ac:dyDescent="0.25">
      <c r="A257" s="168" t="s">
        <v>621</v>
      </c>
      <c r="B257" s="168" t="str">
        <f>VLOOKUP(D257,[1]LuongBC_T01!$B$9:$C$292,2,FALSE)</f>
        <v>0016100006722002</v>
      </c>
      <c r="C257" s="199" t="s">
        <v>1018</v>
      </c>
      <c r="D257" s="230" t="s">
        <v>752</v>
      </c>
      <c r="E257" s="263" t="s">
        <v>1094</v>
      </c>
      <c r="F257" s="231"/>
      <c r="G257" s="231"/>
      <c r="H257" s="231"/>
      <c r="I257" s="231"/>
      <c r="J257" s="231"/>
      <c r="K257" s="170" t="str">
        <f>VLOOKUP(D257,[2]T3!$B$2:$D$328,3,FALSE)</f>
        <v>046069000174</v>
      </c>
      <c r="L257" s="253" t="s">
        <v>759</v>
      </c>
      <c r="M257" s="253" t="s">
        <v>1018</v>
      </c>
      <c r="N257" s="393" t="s">
        <v>807</v>
      </c>
      <c r="O257" s="170" t="s">
        <v>692</v>
      </c>
      <c r="P257" s="170">
        <v>2</v>
      </c>
      <c r="Q257" s="177">
        <v>3</v>
      </c>
      <c r="R257" s="176">
        <f t="shared" si="105"/>
        <v>0.3</v>
      </c>
      <c r="S257" s="169"/>
      <c r="T257" s="176">
        <f t="shared" si="106"/>
        <v>0</v>
      </c>
      <c r="U257" s="175"/>
      <c r="V257" s="170"/>
      <c r="W257" s="179">
        <f>VLOOKUP(D257,[3]BC!$D$14:$W$287,20,FALSE)</f>
        <v>0.1</v>
      </c>
      <c r="X257" s="216">
        <f t="shared" si="107"/>
        <v>0.3</v>
      </c>
      <c r="Y257" s="216">
        <f t="shared" si="108"/>
        <v>3.3</v>
      </c>
      <c r="Z257" s="180">
        <f t="shared" si="109"/>
        <v>4917000</v>
      </c>
      <c r="AA257" s="180"/>
      <c r="AB257" s="180">
        <f t="shared" si="110"/>
        <v>0</v>
      </c>
      <c r="AC257" s="180">
        <f t="shared" si="118"/>
        <v>0</v>
      </c>
      <c r="AD257" s="180">
        <f t="shared" si="111"/>
        <v>4917000</v>
      </c>
      <c r="AE257" s="178">
        <f t="shared" si="102"/>
        <v>393360</v>
      </c>
      <c r="AF257" s="178">
        <f t="shared" si="103"/>
        <v>73755</v>
      </c>
      <c r="AG257" s="178">
        <f t="shared" si="104"/>
        <v>49170</v>
      </c>
      <c r="AH257" s="178"/>
      <c r="AI257" s="178">
        <f t="shared" si="112"/>
        <v>516285</v>
      </c>
      <c r="AJ257" s="192"/>
      <c r="AK257" s="182">
        <f t="shared" si="113"/>
        <v>0</v>
      </c>
      <c r="AL257" s="182"/>
      <c r="AM257" s="182"/>
      <c r="AN257" s="183">
        <f t="shared" si="117"/>
        <v>3</v>
      </c>
      <c r="AO257" s="246">
        <v>0.25</v>
      </c>
      <c r="AP257" s="194">
        <f t="shared" si="114"/>
        <v>0.75</v>
      </c>
      <c r="AQ257" s="178">
        <f t="shared" si="116"/>
        <v>1117500</v>
      </c>
      <c r="AR257" s="178"/>
      <c r="AS257" s="178">
        <f t="shared" si="119"/>
        <v>5518215</v>
      </c>
      <c r="AT257" s="469" t="str">
        <f t="shared" si="115"/>
        <v>239</v>
      </c>
      <c r="AU257" s="195"/>
      <c r="AV257" s="196" t="e">
        <f>#REF!/28</f>
        <v>#REF!</v>
      </c>
    </row>
    <row r="258" spans="1:58" s="189" customFormat="1" ht="26.25" customHeight="1" x14ac:dyDescent="0.25">
      <c r="A258" s="168" t="s">
        <v>622</v>
      </c>
      <c r="B258" s="168" t="str">
        <f>VLOOKUP(D258,[1]LuongBC_T01!$B$9:$C$292,2,FALSE)</f>
        <v>'0016100006822007</v>
      </c>
      <c r="C258" s="199" t="s">
        <v>1020</v>
      </c>
      <c r="D258" s="230" t="s">
        <v>753</v>
      </c>
      <c r="E258" s="263" t="s">
        <v>1251</v>
      </c>
      <c r="F258" s="231"/>
      <c r="G258" s="231"/>
      <c r="H258" s="231"/>
      <c r="I258" s="231"/>
      <c r="J258" s="231"/>
      <c r="K258" s="170" t="str">
        <f>VLOOKUP(D258,[2]T3!$B$2:$D$328,3,FALSE)</f>
        <v>024947914</v>
      </c>
      <c r="L258" s="253" t="s">
        <v>760</v>
      </c>
      <c r="M258" s="253" t="s">
        <v>1020</v>
      </c>
      <c r="N258" s="393" t="s">
        <v>807</v>
      </c>
      <c r="O258" s="170" t="s">
        <v>692</v>
      </c>
      <c r="P258" s="170">
        <v>2</v>
      </c>
      <c r="Q258" s="177">
        <v>3</v>
      </c>
      <c r="R258" s="176">
        <f t="shared" si="105"/>
        <v>0.18</v>
      </c>
      <c r="S258" s="169"/>
      <c r="T258" s="176">
        <f t="shared" si="106"/>
        <v>0</v>
      </c>
      <c r="U258" s="175"/>
      <c r="V258" s="170"/>
      <c r="W258" s="179">
        <v>0.06</v>
      </c>
      <c r="X258" s="216">
        <f t="shared" si="107"/>
        <v>0.18</v>
      </c>
      <c r="Y258" s="216">
        <f t="shared" si="108"/>
        <v>3.18</v>
      </c>
      <c r="Z258" s="180">
        <f t="shared" si="109"/>
        <v>4738200</v>
      </c>
      <c r="AA258" s="180"/>
      <c r="AB258" s="180">
        <f t="shared" si="110"/>
        <v>0</v>
      </c>
      <c r="AC258" s="180">
        <v>0</v>
      </c>
      <c r="AD258" s="180">
        <f t="shared" si="111"/>
        <v>4738200</v>
      </c>
      <c r="AE258" s="178">
        <f t="shared" si="102"/>
        <v>379056</v>
      </c>
      <c r="AF258" s="178">
        <f t="shared" si="103"/>
        <v>71073</v>
      </c>
      <c r="AG258" s="178">
        <f t="shared" si="104"/>
        <v>47382</v>
      </c>
      <c r="AH258" s="178"/>
      <c r="AI258" s="178">
        <f t="shared" si="112"/>
        <v>497511</v>
      </c>
      <c r="AJ258" s="192"/>
      <c r="AK258" s="182">
        <f>AJ258*$D$8</f>
        <v>0</v>
      </c>
      <c r="AL258" s="182"/>
      <c r="AM258" s="182"/>
      <c r="AN258" s="183">
        <f t="shared" si="117"/>
        <v>3</v>
      </c>
      <c r="AO258" s="246">
        <v>0.25</v>
      </c>
      <c r="AP258" s="194">
        <f t="shared" si="114"/>
        <v>0.75</v>
      </c>
      <c r="AQ258" s="178">
        <f t="shared" si="116"/>
        <v>1117500</v>
      </c>
      <c r="AR258" s="178"/>
      <c r="AS258" s="178">
        <f t="shared" si="119"/>
        <v>5358189</v>
      </c>
      <c r="AT258" s="469" t="str">
        <f t="shared" si="115"/>
        <v>240</v>
      </c>
      <c r="AU258" s="195"/>
      <c r="AV258" s="196" t="e">
        <f>AV257*11</f>
        <v>#REF!</v>
      </c>
    </row>
    <row r="259" spans="1:58" s="189" customFormat="1" ht="33.75" customHeight="1" x14ac:dyDescent="0.25">
      <c r="A259" s="168" t="s">
        <v>623</v>
      </c>
      <c r="B259" s="168" t="str">
        <f>VLOOKUP(D259,[1]LuongBC_T01!$B$9:$C$292,2,FALSE)</f>
        <v>0016100006570008</v>
      </c>
      <c r="C259" s="511" t="s">
        <v>1314</v>
      </c>
      <c r="D259" s="169" t="s">
        <v>1134</v>
      </c>
      <c r="E259" s="263" t="s">
        <v>1378</v>
      </c>
      <c r="F259" s="220"/>
      <c r="G259" s="220"/>
      <c r="H259" s="220"/>
      <c r="I259" s="220"/>
      <c r="J259" s="220"/>
      <c r="K259" s="170">
        <f>VLOOKUP(D259,[2]T3!$B$2:$D$328,3,FALSE)</f>
        <v>381574642</v>
      </c>
      <c r="L259" s="220"/>
      <c r="M259" s="170"/>
      <c r="N259" s="390" t="s">
        <v>1438</v>
      </c>
      <c r="O259" s="251"/>
      <c r="P259" s="251">
        <v>2</v>
      </c>
      <c r="Q259" s="170">
        <v>2.67</v>
      </c>
      <c r="R259" s="176"/>
      <c r="S259" s="220"/>
      <c r="T259" s="176">
        <f t="shared" si="106"/>
        <v>0</v>
      </c>
      <c r="U259" s="175"/>
      <c r="V259" s="170"/>
      <c r="W259" s="179">
        <f>VLOOKUP(D259,[3]BC!$D$14:$W$287,20,FALSE)</f>
        <v>0</v>
      </c>
      <c r="X259" s="216">
        <f t="shared" si="107"/>
        <v>0</v>
      </c>
      <c r="Y259" s="216">
        <f t="shared" si="108"/>
        <v>2.67</v>
      </c>
      <c r="Z259" s="180">
        <f t="shared" si="109"/>
        <v>3978300</v>
      </c>
      <c r="AA259" s="180"/>
      <c r="AB259" s="180">
        <f>Z259/24*AA259</f>
        <v>0</v>
      </c>
      <c r="AC259" s="180">
        <f>Z259/24*AA259*75%</f>
        <v>0</v>
      </c>
      <c r="AD259" s="180">
        <f>ROUND(Z259-AB259+AC259,0)</f>
        <v>3978300</v>
      </c>
      <c r="AE259" s="178">
        <f t="shared" si="102"/>
        <v>318264</v>
      </c>
      <c r="AF259" s="178">
        <f t="shared" si="103"/>
        <v>59674.5</v>
      </c>
      <c r="AG259" s="178">
        <f t="shared" si="104"/>
        <v>39783</v>
      </c>
      <c r="AH259" s="178"/>
      <c r="AI259" s="178">
        <f t="shared" si="112"/>
        <v>417721.5</v>
      </c>
      <c r="AJ259" s="192"/>
      <c r="AK259" s="182">
        <f t="shared" ref="AK259:AK264" si="120">AJ259*$D$8</f>
        <v>0</v>
      </c>
      <c r="AL259" s="182"/>
      <c r="AM259" s="182"/>
      <c r="AN259" s="183">
        <f t="shared" si="117"/>
        <v>2.67</v>
      </c>
      <c r="AO259" s="246">
        <v>0.25</v>
      </c>
      <c r="AP259" s="185">
        <f t="shared" si="114"/>
        <v>0.66749999999999998</v>
      </c>
      <c r="AQ259" s="178">
        <f>ROUND(AP259*$D$8,0)</f>
        <v>994575</v>
      </c>
      <c r="AR259" s="178"/>
      <c r="AS259" s="178">
        <f t="shared" si="119"/>
        <v>4555154</v>
      </c>
      <c r="AT259" s="469" t="str">
        <f t="shared" si="115"/>
        <v>241</v>
      </c>
      <c r="AU259" s="195"/>
      <c r="AV259" s="485" t="s">
        <v>1139</v>
      </c>
      <c r="AW259" s="29"/>
      <c r="AX259" s="29"/>
      <c r="AY259" s="29"/>
      <c r="AZ259" s="29"/>
      <c r="BA259" s="29"/>
      <c r="BB259" s="29"/>
      <c r="BC259" s="29"/>
      <c r="BD259" s="29"/>
      <c r="BE259" s="29"/>
      <c r="BF259" s="29"/>
    </row>
    <row r="260" spans="1:58" s="189" customFormat="1" ht="32.25" customHeight="1" x14ac:dyDescent="0.25">
      <c r="A260" s="168" t="s">
        <v>624</v>
      </c>
      <c r="B260" s="168" t="str">
        <f>VLOOKUP(D260,[1]LuongBC_T01!$B$9:$C$292,2,FALSE)</f>
        <v>0016100006638001</v>
      </c>
      <c r="C260" s="511" t="s">
        <v>1313</v>
      </c>
      <c r="D260" s="169" t="s">
        <v>1135</v>
      </c>
      <c r="E260" s="263" t="s">
        <v>1136</v>
      </c>
      <c r="F260" s="220"/>
      <c r="G260" s="220"/>
      <c r="H260" s="220"/>
      <c r="I260" s="220"/>
      <c r="J260" s="220"/>
      <c r="K260" s="170" t="str">
        <f>VLOOKUP(D260,[2]T3!$B$2:$D$328,3,FALSE)</f>
        <v>385523828</v>
      </c>
      <c r="L260" s="220"/>
      <c r="M260" s="170"/>
      <c r="N260" s="390" t="s">
        <v>1438</v>
      </c>
      <c r="O260" s="251"/>
      <c r="P260" s="251">
        <v>2</v>
      </c>
      <c r="Q260" s="170">
        <v>2.67</v>
      </c>
      <c r="R260" s="176"/>
      <c r="S260" s="220"/>
      <c r="T260" s="176">
        <f t="shared" si="106"/>
        <v>0</v>
      </c>
      <c r="U260" s="175"/>
      <c r="V260" s="170"/>
      <c r="W260" s="179">
        <f>VLOOKUP(D260,[3]BC!$D$14:$W$287,20,FALSE)</f>
        <v>0</v>
      </c>
      <c r="X260" s="216">
        <f t="shared" si="107"/>
        <v>0</v>
      </c>
      <c r="Y260" s="216">
        <f t="shared" si="108"/>
        <v>2.67</v>
      </c>
      <c r="Z260" s="180">
        <f t="shared" si="109"/>
        <v>3978300</v>
      </c>
      <c r="AA260" s="180"/>
      <c r="AB260" s="180">
        <f>Z260/24*AA260</f>
        <v>0</v>
      </c>
      <c r="AC260" s="180">
        <f>Z260/24*AA260*75%</f>
        <v>0</v>
      </c>
      <c r="AD260" s="180">
        <f>ROUND(Z260-AB260+AC260,0)</f>
        <v>3978300</v>
      </c>
      <c r="AE260" s="178">
        <f t="shared" si="102"/>
        <v>318264</v>
      </c>
      <c r="AF260" s="178">
        <f t="shared" si="103"/>
        <v>59674.5</v>
      </c>
      <c r="AG260" s="178">
        <f t="shared" si="104"/>
        <v>39783</v>
      </c>
      <c r="AH260" s="178"/>
      <c r="AI260" s="178">
        <f t="shared" si="112"/>
        <v>417721.5</v>
      </c>
      <c r="AJ260" s="192"/>
      <c r="AK260" s="182">
        <f t="shared" si="120"/>
        <v>0</v>
      </c>
      <c r="AL260" s="182"/>
      <c r="AM260" s="182"/>
      <c r="AN260" s="183">
        <f t="shared" si="117"/>
        <v>2.67</v>
      </c>
      <c r="AO260" s="246">
        <v>0.25</v>
      </c>
      <c r="AP260" s="185">
        <f t="shared" si="114"/>
        <v>0.66749999999999998</v>
      </c>
      <c r="AQ260" s="178">
        <f>ROUND(AP260*$D$8,0)</f>
        <v>994575</v>
      </c>
      <c r="AR260" s="178"/>
      <c r="AS260" s="178">
        <f t="shared" si="119"/>
        <v>4555154</v>
      </c>
      <c r="AT260" s="469" t="str">
        <f t="shared" si="115"/>
        <v>242</v>
      </c>
      <c r="AU260" s="195"/>
      <c r="AV260" s="485" t="s">
        <v>1139</v>
      </c>
      <c r="AW260" s="29"/>
      <c r="AX260" s="29"/>
      <c r="AY260" s="29"/>
      <c r="AZ260" s="29"/>
      <c r="BA260" s="29"/>
      <c r="BB260" s="29"/>
      <c r="BC260" s="29"/>
      <c r="BD260" s="29"/>
      <c r="BE260" s="29"/>
      <c r="BF260" s="29"/>
    </row>
    <row r="261" spans="1:58" s="189" customFormat="1" ht="32.25" customHeight="1" x14ac:dyDescent="0.25">
      <c r="A261" s="168" t="s">
        <v>625</v>
      </c>
      <c r="B261" s="168" t="str">
        <f>VLOOKUP(D261,[1]LuongBC_T01!$B$9:$C$292,2,FALSE)</f>
        <v>0016100006602007</v>
      </c>
      <c r="C261" s="511" t="s">
        <v>1312</v>
      </c>
      <c r="D261" s="169" t="s">
        <v>1137</v>
      </c>
      <c r="E261" s="263" t="s">
        <v>1136</v>
      </c>
      <c r="F261" s="220"/>
      <c r="G261" s="220"/>
      <c r="H261" s="220"/>
      <c r="I261" s="220"/>
      <c r="J261" s="220"/>
      <c r="K261" s="170" t="str">
        <f>VLOOKUP(D261,[2]T3!$B$2:$D$328,3,FALSE)</f>
        <v>025522918</v>
      </c>
      <c r="L261" s="220"/>
      <c r="M261" s="170"/>
      <c r="N261" s="390" t="s">
        <v>1438</v>
      </c>
      <c r="O261" s="251"/>
      <c r="P261" s="251">
        <v>2</v>
      </c>
      <c r="Q261" s="170">
        <v>2.67</v>
      </c>
      <c r="R261" s="176"/>
      <c r="S261" s="220"/>
      <c r="T261" s="176">
        <f t="shared" si="106"/>
        <v>0</v>
      </c>
      <c r="U261" s="175"/>
      <c r="V261" s="170"/>
      <c r="W261" s="179">
        <f>VLOOKUP(D261,[3]BC!$D$14:$W$287,20,FALSE)</f>
        <v>0</v>
      </c>
      <c r="X261" s="216">
        <f t="shared" si="107"/>
        <v>0</v>
      </c>
      <c r="Y261" s="216">
        <f t="shared" si="108"/>
        <v>2.67</v>
      </c>
      <c r="Z261" s="180">
        <f t="shared" si="109"/>
        <v>3978300</v>
      </c>
      <c r="AA261" s="180"/>
      <c r="AB261" s="180">
        <f>Z261/24*AA261</f>
        <v>0</v>
      </c>
      <c r="AC261" s="180">
        <f>Z261/24*AA261*75%</f>
        <v>0</v>
      </c>
      <c r="AD261" s="180">
        <f>ROUND(Z261-AB261+AC261,0)</f>
        <v>3978300</v>
      </c>
      <c r="AE261" s="178">
        <f t="shared" si="102"/>
        <v>318264</v>
      </c>
      <c r="AF261" s="178">
        <f t="shared" si="103"/>
        <v>59674.5</v>
      </c>
      <c r="AG261" s="178">
        <f t="shared" si="104"/>
        <v>39783</v>
      </c>
      <c r="AH261" s="178"/>
      <c r="AI261" s="178">
        <f t="shared" si="112"/>
        <v>417721.5</v>
      </c>
      <c r="AJ261" s="192"/>
      <c r="AK261" s="182">
        <f t="shared" si="120"/>
        <v>0</v>
      </c>
      <c r="AL261" s="182"/>
      <c r="AM261" s="182"/>
      <c r="AN261" s="183">
        <f t="shared" si="117"/>
        <v>2.67</v>
      </c>
      <c r="AO261" s="246">
        <v>0.25</v>
      </c>
      <c r="AP261" s="185">
        <f t="shared" si="114"/>
        <v>0.66749999999999998</v>
      </c>
      <c r="AQ261" s="178">
        <f>ROUND(AP261*$D$8,0)</f>
        <v>994575</v>
      </c>
      <c r="AR261" s="178"/>
      <c r="AS261" s="178">
        <f t="shared" si="119"/>
        <v>4555154</v>
      </c>
      <c r="AT261" s="469" t="str">
        <f t="shared" si="115"/>
        <v>243</v>
      </c>
      <c r="AU261" s="195"/>
      <c r="AV261" s="485" t="s">
        <v>1139</v>
      </c>
      <c r="AW261" s="29"/>
      <c r="AX261" s="29"/>
      <c r="AY261" s="29"/>
      <c r="AZ261" s="29"/>
      <c r="BA261" s="29"/>
      <c r="BB261" s="29"/>
      <c r="BC261" s="29"/>
      <c r="BD261" s="29"/>
      <c r="BE261" s="29"/>
      <c r="BF261" s="29"/>
    </row>
    <row r="262" spans="1:58" s="189" customFormat="1" ht="29.25" customHeight="1" x14ac:dyDescent="0.25">
      <c r="A262" s="168" t="s">
        <v>626</v>
      </c>
      <c r="B262" s="168" t="str">
        <f>VLOOKUP(D262,[1]LuongBC_T01!$B$9:$C$292,2,FALSE)</f>
        <v>0016100007189006</v>
      </c>
      <c r="C262" s="170" t="s">
        <v>1322</v>
      </c>
      <c r="D262" s="169" t="s">
        <v>1271</v>
      </c>
      <c r="E262" s="263" t="s">
        <v>1379</v>
      </c>
      <c r="F262" s="220"/>
      <c r="G262" s="220"/>
      <c r="H262" s="220"/>
      <c r="I262" s="220"/>
      <c r="J262" s="220"/>
      <c r="K262" s="456" t="str">
        <f>VLOOKUP(D262,[2]T3!$B$2:$D$328,3,FALSE)</f>
        <v>051088000077</v>
      </c>
      <c r="L262" s="220"/>
      <c r="M262" s="170"/>
      <c r="N262" s="390" t="s">
        <v>1438</v>
      </c>
      <c r="O262" s="251" t="s">
        <v>1267</v>
      </c>
      <c r="P262" s="251">
        <v>2</v>
      </c>
      <c r="Q262" s="170">
        <v>2.67</v>
      </c>
      <c r="R262" s="176"/>
      <c r="S262" s="220"/>
      <c r="T262" s="176">
        <f>ROUND(Q262*S262/100,4)</f>
        <v>0</v>
      </c>
      <c r="U262" s="175"/>
      <c r="V262" s="170"/>
      <c r="W262" s="179">
        <f>VLOOKUP(D262,[3]BC!$D$14:$W$287,20,FALSE)</f>
        <v>0</v>
      </c>
      <c r="X262" s="216">
        <f>ROUND((Q262+T262+V262)*W262,4)</f>
        <v>0</v>
      </c>
      <c r="Y262" s="216">
        <f>Q262+T262+V262+X262</f>
        <v>2.67</v>
      </c>
      <c r="Z262" s="180">
        <f t="shared" si="109"/>
        <v>3978300</v>
      </c>
      <c r="AA262" s="180"/>
      <c r="AB262" s="180">
        <f>Z262/24*AA262</f>
        <v>0</v>
      </c>
      <c r="AC262" s="180">
        <f>Z262/24*AA262*75%</f>
        <v>0</v>
      </c>
      <c r="AD262" s="180">
        <f>ROUND(Z262-AB262+AC262,0)</f>
        <v>3978300</v>
      </c>
      <c r="AE262" s="178">
        <f t="shared" si="102"/>
        <v>318264</v>
      </c>
      <c r="AF262" s="178">
        <f t="shared" si="103"/>
        <v>59674.5</v>
      </c>
      <c r="AG262" s="178">
        <f t="shared" si="104"/>
        <v>39783</v>
      </c>
      <c r="AH262" s="178"/>
      <c r="AI262" s="178">
        <f>SUM(AE262:AH262)</f>
        <v>417721.5</v>
      </c>
      <c r="AJ262" s="192"/>
      <c r="AK262" s="182">
        <f t="shared" si="120"/>
        <v>0</v>
      </c>
      <c r="AL262" s="182"/>
      <c r="AM262" s="182"/>
      <c r="AN262" s="183">
        <f t="shared" si="117"/>
        <v>2.67</v>
      </c>
      <c r="AO262" s="246">
        <v>0.25</v>
      </c>
      <c r="AP262" s="185">
        <f>ROUND(AN262*AO262,4)</f>
        <v>0.66749999999999998</v>
      </c>
      <c r="AQ262" s="178">
        <f>ROUND(AP262*$D$8,0)</f>
        <v>994575</v>
      </c>
      <c r="AR262" s="178"/>
      <c r="AS262" s="178">
        <f t="shared" si="119"/>
        <v>4555154</v>
      </c>
      <c r="AT262" s="469" t="str">
        <f t="shared" si="115"/>
        <v>244</v>
      </c>
      <c r="AU262" s="195"/>
      <c r="AV262" s="485" t="s">
        <v>1272</v>
      </c>
      <c r="AW262" s="29"/>
      <c r="AX262" s="29"/>
      <c r="AY262" s="29"/>
      <c r="AZ262" s="29"/>
      <c r="BA262" s="29"/>
      <c r="BB262" s="29"/>
      <c r="BC262" s="29"/>
      <c r="BD262" s="29"/>
      <c r="BE262" s="29"/>
      <c r="BF262" s="29"/>
    </row>
    <row r="263" spans="1:58" s="189" customFormat="1" ht="29.25" customHeight="1" x14ac:dyDescent="0.25">
      <c r="A263" s="682" t="s">
        <v>627</v>
      </c>
      <c r="B263" s="682" t="str">
        <f>VLOOKUP(D263,[1]LuongBC_T01!$B$9:$C$292,2,FALSE)</f>
        <v>0016100007212008</v>
      </c>
      <c r="C263" s="685" t="s">
        <v>1328</v>
      </c>
      <c r="D263" s="683" t="s">
        <v>1282</v>
      </c>
      <c r="E263" s="684" t="s">
        <v>1380</v>
      </c>
      <c r="F263" s="716"/>
      <c r="G263" s="716"/>
      <c r="H263" s="716"/>
      <c r="I263" s="716"/>
      <c r="J263" s="716"/>
      <c r="K263" s="685">
        <f>VLOOKUP(D263,[2]T3!$B$2:$D$328,3,FALSE)</f>
        <v>331950060</v>
      </c>
      <c r="L263" s="716"/>
      <c r="M263" s="685"/>
      <c r="N263" s="684" t="s">
        <v>1438</v>
      </c>
      <c r="O263" s="768"/>
      <c r="P263" s="768"/>
      <c r="Q263" s="685">
        <v>2.67</v>
      </c>
      <c r="R263" s="690"/>
      <c r="S263" s="716"/>
      <c r="T263" s="690">
        <f>ROUND(Q263*S263/100,4)</f>
        <v>0</v>
      </c>
      <c r="U263" s="692"/>
      <c r="V263" s="685"/>
      <c r="W263" s="693">
        <v>0.08</v>
      </c>
      <c r="X263" s="694">
        <f>ROUND((Q263+T263+V263)*W263,4)</f>
        <v>0.21360000000000001</v>
      </c>
      <c r="Y263" s="694">
        <f>Q263+T263+V263+X263</f>
        <v>2.8835999999999999</v>
      </c>
      <c r="Z263" s="695">
        <f t="shared" si="109"/>
        <v>4296564</v>
      </c>
      <c r="AA263" s="695"/>
      <c r="AB263" s="695">
        <f>Z263/24*AA263</f>
        <v>0</v>
      </c>
      <c r="AC263" s="695">
        <f>Z263/24*AA263*75%</f>
        <v>0</v>
      </c>
      <c r="AD263" s="695">
        <f>ROUND(Z263-AB263+AC263,0)</f>
        <v>4296564</v>
      </c>
      <c r="AE263" s="696">
        <f t="shared" si="102"/>
        <v>343725.12</v>
      </c>
      <c r="AF263" s="696">
        <f t="shared" si="103"/>
        <v>64448.46</v>
      </c>
      <c r="AG263" s="696">
        <f t="shared" si="104"/>
        <v>42965.64</v>
      </c>
      <c r="AH263" s="696"/>
      <c r="AI263" s="696">
        <f>SUM(AE263:AH263)</f>
        <v>451139.22000000003</v>
      </c>
      <c r="AJ263" s="701"/>
      <c r="AK263" s="697">
        <f t="shared" si="120"/>
        <v>0</v>
      </c>
      <c r="AL263" s="697"/>
      <c r="AM263" s="697"/>
      <c r="AN263" s="764">
        <f t="shared" si="117"/>
        <v>2.67</v>
      </c>
      <c r="AO263" s="702">
        <v>0.25</v>
      </c>
      <c r="AP263" s="766">
        <f>ROUND(AN263*AO263,4)</f>
        <v>0.66749999999999998</v>
      </c>
      <c r="AQ263" s="696">
        <f>ROUND(AP263*$D$8,0)</f>
        <v>994575</v>
      </c>
      <c r="AR263" s="696"/>
      <c r="AS263" s="696">
        <f t="shared" si="119"/>
        <v>4840000</v>
      </c>
      <c r="AT263" s="698" t="str">
        <f t="shared" si="115"/>
        <v>245</v>
      </c>
      <c r="AU263" s="699"/>
      <c r="AV263" s="485"/>
      <c r="AW263" s="29"/>
      <c r="AX263" s="29"/>
      <c r="AY263" s="29"/>
      <c r="AZ263" s="29"/>
      <c r="BA263" s="29"/>
      <c r="BB263" s="29"/>
      <c r="BC263" s="29"/>
      <c r="BD263" s="29"/>
      <c r="BE263" s="29"/>
      <c r="BF263" s="29"/>
    </row>
    <row r="264" spans="1:58" s="189" customFormat="1" ht="27.75" customHeight="1" x14ac:dyDescent="0.25">
      <c r="A264" s="168" t="s">
        <v>628</v>
      </c>
      <c r="B264" s="168" t="str">
        <f>VLOOKUP(D264,[1]LuongBC_T01!$B$9:$C$292,2,FALSE)</f>
        <v>0016100006601008</v>
      </c>
      <c r="C264" s="199" t="s">
        <v>904</v>
      </c>
      <c r="D264" s="169" t="s">
        <v>810</v>
      </c>
      <c r="E264" s="263" t="s">
        <v>1259</v>
      </c>
      <c r="F264" s="220"/>
      <c r="G264" s="220"/>
      <c r="H264" s="220"/>
      <c r="I264" s="220"/>
      <c r="J264" s="220"/>
      <c r="K264" s="168" t="s">
        <v>1351</v>
      </c>
      <c r="L264" s="220"/>
      <c r="M264" s="170" t="s">
        <v>904</v>
      </c>
      <c r="N264" s="390" t="s">
        <v>1438</v>
      </c>
      <c r="O264" s="170" t="s">
        <v>692</v>
      </c>
      <c r="P264" s="170">
        <v>1</v>
      </c>
      <c r="Q264" s="170">
        <v>2.67</v>
      </c>
      <c r="R264" s="176">
        <f>T264+V264+X264</f>
        <v>0</v>
      </c>
      <c r="S264" s="220"/>
      <c r="T264" s="176">
        <f t="shared" si="106"/>
        <v>0</v>
      </c>
      <c r="U264" s="175">
        <f>Q264*S264*$D$8/100</f>
        <v>0</v>
      </c>
      <c r="V264" s="170"/>
      <c r="W264" s="179">
        <f>VLOOKUP(D264,[3]BC!$D$14:$W$287,20,FALSE)</f>
        <v>0</v>
      </c>
      <c r="X264" s="216">
        <f t="shared" si="107"/>
        <v>0</v>
      </c>
      <c r="Y264" s="216">
        <f t="shared" si="108"/>
        <v>2.67</v>
      </c>
      <c r="Z264" s="180">
        <f t="shared" si="109"/>
        <v>3978300</v>
      </c>
      <c r="AA264" s="180"/>
      <c r="AB264" s="180">
        <f t="shared" si="110"/>
        <v>0</v>
      </c>
      <c r="AC264" s="180">
        <f t="shared" si="118"/>
        <v>0</v>
      </c>
      <c r="AD264" s="180">
        <f t="shared" si="111"/>
        <v>3978300</v>
      </c>
      <c r="AE264" s="178">
        <f t="shared" si="102"/>
        <v>318264</v>
      </c>
      <c r="AF264" s="178">
        <f t="shared" si="103"/>
        <v>59674.5</v>
      </c>
      <c r="AG264" s="178">
        <f t="shared" si="104"/>
        <v>39783</v>
      </c>
      <c r="AH264" s="178"/>
      <c r="AI264" s="178">
        <f t="shared" si="112"/>
        <v>417721.5</v>
      </c>
      <c r="AJ264" s="192"/>
      <c r="AK264" s="182">
        <f t="shared" si="120"/>
        <v>0</v>
      </c>
      <c r="AL264" s="182"/>
      <c r="AM264" s="182"/>
      <c r="AN264" s="183">
        <f t="shared" si="117"/>
        <v>2.67</v>
      </c>
      <c r="AO264" s="246">
        <v>0.25</v>
      </c>
      <c r="AP264" s="185">
        <f t="shared" si="114"/>
        <v>0.66749999999999998</v>
      </c>
      <c r="AQ264" s="178">
        <f t="shared" si="116"/>
        <v>994575</v>
      </c>
      <c r="AR264" s="178"/>
      <c r="AS264" s="178">
        <f t="shared" si="119"/>
        <v>4555154</v>
      </c>
      <c r="AT264" s="469" t="str">
        <f t="shared" si="115"/>
        <v>246</v>
      </c>
      <c r="AU264" s="195"/>
      <c r="AV264" s="198"/>
      <c r="AW264" s="29"/>
      <c r="AX264" s="29"/>
      <c r="AY264" s="29"/>
      <c r="AZ264" s="29"/>
      <c r="BA264" s="29"/>
      <c r="BB264" s="29"/>
      <c r="BC264" s="29"/>
      <c r="BD264" s="29"/>
      <c r="BE264" s="29"/>
      <c r="BF264" s="29"/>
    </row>
    <row r="265" spans="1:58" s="189" customFormat="1" ht="25.5" x14ac:dyDescent="0.25">
      <c r="A265" s="168" t="s">
        <v>629</v>
      </c>
      <c r="B265" s="168" t="str">
        <f>VLOOKUP(D265,[1]LuongBC_T01!$B$9:$C$292,2,FALSE)</f>
        <v>0016100006637005</v>
      </c>
      <c r="C265" s="199">
        <v>51200000905</v>
      </c>
      <c r="D265" s="169" t="s">
        <v>811</v>
      </c>
      <c r="E265" s="263" t="s">
        <v>1259</v>
      </c>
      <c r="F265" s="220"/>
      <c r="G265" s="220" t="s">
        <v>25</v>
      </c>
      <c r="H265" s="220"/>
      <c r="I265" s="220"/>
      <c r="J265" s="220"/>
      <c r="K265" s="170" t="str">
        <f>VLOOKUP(D265,[2]T3!$B$2:$D$328,3,FALSE)</f>
        <v>024383666</v>
      </c>
      <c r="L265" s="220"/>
      <c r="M265" s="170">
        <v>51200000905</v>
      </c>
      <c r="N265" s="390" t="s">
        <v>1438</v>
      </c>
      <c r="O265" s="170" t="s">
        <v>692</v>
      </c>
      <c r="P265" s="170">
        <v>1</v>
      </c>
      <c r="Q265" s="170">
        <v>2.67</v>
      </c>
      <c r="R265" s="176">
        <f>T265+V265+X265</f>
        <v>0</v>
      </c>
      <c r="S265" s="220"/>
      <c r="T265" s="176">
        <f t="shared" si="106"/>
        <v>0</v>
      </c>
      <c r="U265" s="175">
        <f>Q265*S265*$D$8/100</f>
        <v>0</v>
      </c>
      <c r="V265" s="170"/>
      <c r="W265" s="179">
        <f>VLOOKUP(D265,[3]BC!$D$14:$W$287,20,FALSE)</f>
        <v>0</v>
      </c>
      <c r="X265" s="216">
        <f t="shared" si="107"/>
        <v>0</v>
      </c>
      <c r="Y265" s="216">
        <f t="shared" si="108"/>
        <v>2.67</v>
      </c>
      <c r="Z265" s="180">
        <f t="shared" si="109"/>
        <v>3978300</v>
      </c>
      <c r="AA265" s="180"/>
      <c r="AB265" s="180">
        <f t="shared" si="110"/>
        <v>0</v>
      </c>
      <c r="AC265" s="180">
        <v>0</v>
      </c>
      <c r="AD265" s="180">
        <f t="shared" si="111"/>
        <v>3978300</v>
      </c>
      <c r="AE265" s="178">
        <f t="shared" si="102"/>
        <v>318264</v>
      </c>
      <c r="AF265" s="178">
        <f t="shared" si="103"/>
        <v>59674.5</v>
      </c>
      <c r="AG265" s="178">
        <f t="shared" si="104"/>
        <v>39783</v>
      </c>
      <c r="AH265" s="178"/>
      <c r="AI265" s="178">
        <f t="shared" si="112"/>
        <v>417721.5</v>
      </c>
      <c r="AJ265" s="192"/>
      <c r="AK265" s="182">
        <f t="shared" si="113"/>
        <v>0</v>
      </c>
      <c r="AL265" s="182"/>
      <c r="AM265" s="182"/>
      <c r="AN265" s="183">
        <f t="shared" si="117"/>
        <v>2.67</v>
      </c>
      <c r="AO265" s="246">
        <v>0.25</v>
      </c>
      <c r="AP265" s="185">
        <f t="shared" si="114"/>
        <v>0.66749999999999998</v>
      </c>
      <c r="AQ265" s="178">
        <f t="shared" si="116"/>
        <v>994575</v>
      </c>
      <c r="AR265" s="178"/>
      <c r="AS265" s="178">
        <f t="shared" si="119"/>
        <v>4555154</v>
      </c>
      <c r="AT265" s="469" t="str">
        <f t="shared" si="115"/>
        <v>247</v>
      </c>
      <c r="AU265" s="195"/>
      <c r="AV265" s="198"/>
      <c r="AW265" s="29"/>
      <c r="AX265" s="29"/>
      <c r="AY265" s="29"/>
      <c r="AZ265" s="29"/>
      <c r="BA265" s="29"/>
      <c r="BB265" s="29"/>
      <c r="BC265" s="29"/>
      <c r="BD265" s="29"/>
      <c r="BE265" s="29"/>
      <c r="BF265" s="29"/>
    </row>
    <row r="266" spans="1:58" s="189" customFormat="1" ht="40.5" customHeight="1" x14ac:dyDescent="0.25">
      <c r="A266" s="168" t="s">
        <v>630</v>
      </c>
      <c r="B266" s="672" t="str">
        <f>VLOOKUP(D266,[1]LuongBC_T01!$B$9:$C$292,2,FALSE)</f>
        <v>0016100006589008</v>
      </c>
      <c r="C266" s="714" t="s">
        <v>906</v>
      </c>
      <c r="D266" s="372" t="s">
        <v>812</v>
      </c>
      <c r="E266" s="673" t="s">
        <v>1094</v>
      </c>
      <c r="F266" s="717"/>
      <c r="G266" s="717" t="s">
        <v>25</v>
      </c>
      <c r="H266" s="717"/>
      <c r="I266" s="717"/>
      <c r="J266" s="717"/>
      <c r="K266" s="373" t="str">
        <f>VLOOKUP(D266,[2]T3!$B$2:$D$328,3,FALSE)</f>
        <v>024327951</v>
      </c>
      <c r="L266" s="717"/>
      <c r="M266" s="373" t="s">
        <v>906</v>
      </c>
      <c r="N266" s="712" t="s">
        <v>1438</v>
      </c>
      <c r="O266" s="373" t="s">
        <v>692</v>
      </c>
      <c r="P266" s="373">
        <v>1</v>
      </c>
      <c r="Q266" s="373">
        <v>2.67</v>
      </c>
      <c r="R266" s="674">
        <f>T266+V266+X266</f>
        <v>0</v>
      </c>
      <c r="S266" s="717"/>
      <c r="T266" s="674">
        <f t="shared" si="106"/>
        <v>0</v>
      </c>
      <c r="U266" s="374">
        <f>Q266*S266*$D$8/100</f>
        <v>0</v>
      </c>
      <c r="V266" s="373"/>
      <c r="W266" s="675">
        <f>VLOOKUP(D266,[3]BC!$D$14:$W$287,20,FALSE)</f>
        <v>0</v>
      </c>
      <c r="X266" s="676">
        <f t="shared" si="107"/>
        <v>0</v>
      </c>
      <c r="Y266" s="676">
        <f t="shared" si="108"/>
        <v>2.67</v>
      </c>
      <c r="Z266" s="677">
        <f t="shared" si="109"/>
        <v>3978300</v>
      </c>
      <c r="AA266" s="677">
        <v>0</v>
      </c>
      <c r="AB266" s="677">
        <f t="shared" si="110"/>
        <v>0</v>
      </c>
      <c r="AC266" s="677">
        <v>0</v>
      </c>
      <c r="AD266" s="677">
        <f t="shared" si="111"/>
        <v>3978300</v>
      </c>
      <c r="AE266" s="375">
        <f t="shared" si="102"/>
        <v>318264</v>
      </c>
      <c r="AF266" s="375">
        <f t="shared" si="103"/>
        <v>59674.5</v>
      </c>
      <c r="AG266" s="375">
        <f t="shared" si="104"/>
        <v>39783</v>
      </c>
      <c r="AH266" s="375"/>
      <c r="AI266" s="375">
        <f t="shared" si="112"/>
        <v>417721.5</v>
      </c>
      <c r="AJ266" s="678"/>
      <c r="AK266" s="679">
        <f t="shared" si="113"/>
        <v>0</v>
      </c>
      <c r="AL266" s="679"/>
      <c r="AM266" s="679"/>
      <c r="AN266" s="680">
        <f t="shared" si="117"/>
        <v>2.67</v>
      </c>
      <c r="AO266" s="715">
        <v>0.25</v>
      </c>
      <c r="AP266" s="710">
        <f t="shared" si="114"/>
        <v>0.66749999999999998</v>
      </c>
      <c r="AQ266" s="375">
        <f t="shared" si="116"/>
        <v>994575</v>
      </c>
      <c r="AR266" s="375"/>
      <c r="AS266" s="375">
        <f t="shared" si="119"/>
        <v>4555154</v>
      </c>
      <c r="AT266" s="681" t="str">
        <f t="shared" si="115"/>
        <v>248</v>
      </c>
      <c r="AU266" s="713" t="s">
        <v>1473</v>
      </c>
      <c r="AV266" s="198"/>
    </row>
    <row r="267" spans="1:58" s="189" customFormat="1" ht="25.5" x14ac:dyDescent="0.25">
      <c r="A267" s="168" t="s">
        <v>631</v>
      </c>
      <c r="B267" s="168" t="str">
        <f>VLOOKUP(D267,[1]LuongBC_T01!$B$9:$C$292,2,FALSE)</f>
        <v>0016100006702001</v>
      </c>
      <c r="C267" s="199" t="s">
        <v>905</v>
      </c>
      <c r="D267" s="169" t="s">
        <v>820</v>
      </c>
      <c r="E267" s="263" t="s">
        <v>1094</v>
      </c>
      <c r="F267" s="220"/>
      <c r="G267" s="220"/>
      <c r="H267" s="220"/>
      <c r="I267" s="220"/>
      <c r="J267" s="220"/>
      <c r="K267" s="170" t="str">
        <f>VLOOKUP(D267,[2]T3!$B$2:$D$328,3,FALSE)</f>
        <v>024104165</v>
      </c>
      <c r="L267" s="220"/>
      <c r="M267" s="170" t="s">
        <v>905</v>
      </c>
      <c r="N267" s="390" t="s">
        <v>1438</v>
      </c>
      <c r="O267" s="170" t="s">
        <v>692</v>
      </c>
      <c r="P267" s="170">
        <v>1</v>
      </c>
      <c r="Q267" s="170">
        <v>2.67</v>
      </c>
      <c r="R267" s="176">
        <f>T267+V267+X267</f>
        <v>0</v>
      </c>
      <c r="S267" s="220"/>
      <c r="T267" s="176">
        <f t="shared" si="106"/>
        <v>0</v>
      </c>
      <c r="U267" s="175">
        <f>Q267*S267*$D$8/100</f>
        <v>0</v>
      </c>
      <c r="V267" s="170"/>
      <c r="W267" s="179">
        <f>VLOOKUP(D267,[3]BC!$D$14:$W$287,20,FALSE)</f>
        <v>0</v>
      </c>
      <c r="X267" s="216">
        <f t="shared" si="107"/>
        <v>0</v>
      </c>
      <c r="Y267" s="216">
        <f t="shared" si="108"/>
        <v>2.67</v>
      </c>
      <c r="Z267" s="180">
        <f t="shared" si="109"/>
        <v>3978300</v>
      </c>
      <c r="AA267" s="180">
        <v>0</v>
      </c>
      <c r="AB267" s="180">
        <f t="shared" si="110"/>
        <v>0</v>
      </c>
      <c r="AC267" s="180">
        <v>0</v>
      </c>
      <c r="AD267" s="180">
        <f t="shared" si="111"/>
        <v>3978300</v>
      </c>
      <c r="AE267" s="178">
        <f t="shared" si="102"/>
        <v>318264</v>
      </c>
      <c r="AF267" s="178">
        <f t="shared" si="103"/>
        <v>59674.5</v>
      </c>
      <c r="AG267" s="178">
        <f t="shared" si="104"/>
        <v>39783</v>
      </c>
      <c r="AH267" s="178"/>
      <c r="AI267" s="178">
        <f t="shared" si="112"/>
        <v>417721.5</v>
      </c>
      <c r="AJ267" s="192"/>
      <c r="AK267" s="182">
        <f t="shared" si="113"/>
        <v>0</v>
      </c>
      <c r="AL267" s="182"/>
      <c r="AM267" s="182"/>
      <c r="AN267" s="183">
        <f t="shared" si="117"/>
        <v>2.67</v>
      </c>
      <c r="AO267" s="246">
        <v>0.25</v>
      </c>
      <c r="AP267" s="185">
        <f t="shared" si="114"/>
        <v>0.66749999999999998</v>
      </c>
      <c r="AQ267" s="178">
        <f t="shared" si="116"/>
        <v>994575</v>
      </c>
      <c r="AR267" s="178"/>
      <c r="AS267" s="178">
        <f t="shared" si="119"/>
        <v>4555154</v>
      </c>
      <c r="AT267" s="469" t="str">
        <f t="shared" si="115"/>
        <v>249</v>
      </c>
      <c r="AU267" s="195"/>
      <c r="AV267" s="198"/>
      <c r="AW267" s="29"/>
      <c r="AX267" s="29"/>
      <c r="AY267" s="29"/>
      <c r="AZ267" s="29"/>
      <c r="BA267" s="29"/>
      <c r="BB267" s="29"/>
      <c r="BC267" s="29"/>
      <c r="BD267" s="29"/>
      <c r="BE267" s="29"/>
      <c r="BF267" s="29"/>
    </row>
    <row r="268" spans="1:58" s="189" customFormat="1" ht="42.75" customHeight="1" x14ac:dyDescent="0.25">
      <c r="A268" s="168" t="s">
        <v>632</v>
      </c>
      <c r="B268" s="168" t="str">
        <f>VLOOKUP(D268,[1]LuongBC_T01!$B$9:$C$292,2,FALSE)</f>
        <v>0016100007698008</v>
      </c>
      <c r="C268" s="170" t="s">
        <v>1326</v>
      </c>
      <c r="D268" s="169" t="s">
        <v>1289</v>
      </c>
      <c r="E268" s="263" t="s">
        <v>1284</v>
      </c>
      <c r="F268" s="220"/>
      <c r="G268" s="220"/>
      <c r="H268" s="220"/>
      <c r="I268" s="220"/>
      <c r="J268" s="220"/>
      <c r="K268" s="170" t="str">
        <f>VLOOKUP(D268,[2]T3!$B$2:$D$328,3,FALSE)</f>
        <v>079089004197</v>
      </c>
      <c r="L268" s="490" t="s">
        <v>1295</v>
      </c>
      <c r="M268" s="170"/>
      <c r="N268" s="390" t="s">
        <v>1438</v>
      </c>
      <c r="O268" s="251"/>
      <c r="P268" s="251"/>
      <c r="Q268" s="170">
        <v>2.67</v>
      </c>
      <c r="R268" s="176"/>
      <c r="S268" s="220"/>
      <c r="T268" s="176">
        <f t="shared" si="106"/>
        <v>0</v>
      </c>
      <c r="U268" s="175"/>
      <c r="V268" s="170"/>
      <c r="W268" s="179">
        <f>VLOOKUP(D268,[3]BC!$D$14:$W$287,20,FALSE)</f>
        <v>0</v>
      </c>
      <c r="X268" s="216">
        <f t="shared" si="107"/>
        <v>0</v>
      </c>
      <c r="Y268" s="216">
        <f t="shared" si="108"/>
        <v>2.67</v>
      </c>
      <c r="Z268" s="180">
        <f t="shared" si="109"/>
        <v>3978300</v>
      </c>
      <c r="AA268" s="180"/>
      <c r="AB268" s="180">
        <f t="shared" si="110"/>
        <v>0</v>
      </c>
      <c r="AC268" s="180">
        <f t="shared" ref="AC268:AC281" si="121">Z268/24*AA268*75%</f>
        <v>0</v>
      </c>
      <c r="AD268" s="180">
        <f t="shared" si="111"/>
        <v>3978300</v>
      </c>
      <c r="AE268" s="178">
        <f t="shared" si="102"/>
        <v>318264</v>
      </c>
      <c r="AF268" s="178">
        <f t="shared" si="103"/>
        <v>59674.5</v>
      </c>
      <c r="AG268" s="178">
        <f t="shared" si="104"/>
        <v>39783</v>
      </c>
      <c r="AH268" s="178"/>
      <c r="AI268" s="178">
        <f t="shared" si="112"/>
        <v>417721.5</v>
      </c>
      <c r="AJ268" s="192"/>
      <c r="AK268" s="182"/>
      <c r="AL268" s="182"/>
      <c r="AM268" s="182"/>
      <c r="AN268" s="183">
        <f t="shared" si="117"/>
        <v>2.67</v>
      </c>
      <c r="AO268" s="246">
        <v>0.25</v>
      </c>
      <c r="AP268" s="185">
        <f t="shared" si="114"/>
        <v>0.66749999999999998</v>
      </c>
      <c r="AQ268" s="178">
        <f t="shared" si="116"/>
        <v>994575</v>
      </c>
      <c r="AR268" s="178"/>
      <c r="AS268" s="178">
        <f t="shared" si="119"/>
        <v>4555154</v>
      </c>
      <c r="AT268" s="469" t="str">
        <f t="shared" si="115"/>
        <v>250</v>
      </c>
      <c r="AU268" s="195"/>
      <c r="AV268" s="485"/>
      <c r="AW268" s="29"/>
      <c r="AX268" s="29"/>
      <c r="AY268" s="29"/>
      <c r="AZ268" s="29"/>
      <c r="BA268" s="29"/>
      <c r="BB268" s="29"/>
      <c r="BC268" s="29"/>
      <c r="BD268" s="29"/>
      <c r="BE268" s="29"/>
      <c r="BF268" s="29"/>
    </row>
    <row r="269" spans="1:58" s="189" customFormat="1" ht="42.75" customHeight="1" x14ac:dyDescent="0.25">
      <c r="A269" s="168" t="s">
        <v>633</v>
      </c>
      <c r="B269" s="168" t="str">
        <f>VLOOKUP(D269,[1]LuongBC_T01!$B$9:$C$292,2,FALSE)</f>
        <v>0016100007755001</v>
      </c>
      <c r="C269" s="170" t="s">
        <v>1323</v>
      </c>
      <c r="D269" s="169" t="s">
        <v>1290</v>
      </c>
      <c r="E269" s="263" t="s">
        <v>1300</v>
      </c>
      <c r="F269" s="220"/>
      <c r="G269" s="220"/>
      <c r="H269" s="220"/>
      <c r="I269" s="220"/>
      <c r="J269" s="220"/>
      <c r="K269" s="170" t="str">
        <f>VLOOKUP(D269,[2]T3!$B$2:$D$328,3,FALSE)</f>
        <v>072089003417</v>
      </c>
      <c r="L269" s="220"/>
      <c r="M269" s="170"/>
      <c r="N269" s="390" t="s">
        <v>1438</v>
      </c>
      <c r="O269" s="251"/>
      <c r="P269" s="251"/>
      <c r="Q269" s="170">
        <v>2.67</v>
      </c>
      <c r="R269" s="176"/>
      <c r="S269" s="220"/>
      <c r="T269" s="176">
        <f t="shared" si="106"/>
        <v>0</v>
      </c>
      <c r="U269" s="175"/>
      <c r="V269" s="170"/>
      <c r="W269" s="179">
        <f>VLOOKUP(D269,[3]BC!$D$14:$W$287,20,FALSE)</f>
        <v>0</v>
      </c>
      <c r="X269" s="216">
        <f t="shared" si="107"/>
        <v>0</v>
      </c>
      <c r="Y269" s="216">
        <f t="shared" si="108"/>
        <v>2.67</v>
      </c>
      <c r="Z269" s="180">
        <f t="shared" si="109"/>
        <v>3978300</v>
      </c>
      <c r="AA269" s="180"/>
      <c r="AB269" s="180">
        <f t="shared" si="110"/>
        <v>0</v>
      </c>
      <c r="AC269" s="180">
        <f t="shared" si="121"/>
        <v>0</v>
      </c>
      <c r="AD269" s="180">
        <f t="shared" si="111"/>
        <v>3978300</v>
      </c>
      <c r="AE269" s="178">
        <f t="shared" si="102"/>
        <v>318264</v>
      </c>
      <c r="AF269" s="178">
        <f t="shared" si="103"/>
        <v>59674.5</v>
      </c>
      <c r="AG269" s="178">
        <f t="shared" si="104"/>
        <v>39783</v>
      </c>
      <c r="AH269" s="178"/>
      <c r="AI269" s="178">
        <f t="shared" si="112"/>
        <v>417721.5</v>
      </c>
      <c r="AJ269" s="192"/>
      <c r="AK269" s="182"/>
      <c r="AL269" s="182"/>
      <c r="AM269" s="182"/>
      <c r="AN269" s="183">
        <f t="shared" si="117"/>
        <v>2.67</v>
      </c>
      <c r="AO269" s="246">
        <v>0.25</v>
      </c>
      <c r="AP269" s="185">
        <f t="shared" si="114"/>
        <v>0.66749999999999998</v>
      </c>
      <c r="AQ269" s="178">
        <f t="shared" si="116"/>
        <v>994575</v>
      </c>
      <c r="AR269" s="178"/>
      <c r="AS269" s="178">
        <f t="shared" si="119"/>
        <v>4555154</v>
      </c>
      <c r="AT269" s="469" t="str">
        <f t="shared" si="115"/>
        <v>251</v>
      </c>
      <c r="AU269" s="195"/>
      <c r="AV269" s="485"/>
      <c r="AW269" s="29"/>
      <c r="AX269" s="29"/>
      <c r="AY269" s="29"/>
      <c r="AZ269" s="29"/>
      <c r="BA269" s="29"/>
      <c r="BB269" s="29"/>
      <c r="BC269" s="29"/>
      <c r="BD269" s="29"/>
      <c r="BE269" s="29"/>
      <c r="BF269" s="29"/>
    </row>
    <row r="270" spans="1:58" s="189" customFormat="1" ht="42.75" customHeight="1" x14ac:dyDescent="0.25">
      <c r="A270" s="168" t="s">
        <v>634</v>
      </c>
      <c r="B270" s="168" t="str">
        <f>VLOOKUP(D270,[1]LuongBC_T01!$B$9:$C$292,2,FALSE)</f>
        <v>0016100007787008</v>
      </c>
      <c r="C270" s="170" t="s">
        <v>1324</v>
      </c>
      <c r="D270" s="169" t="s">
        <v>1291</v>
      </c>
      <c r="E270" s="263" t="s">
        <v>1408</v>
      </c>
      <c r="F270" s="220"/>
      <c r="G270" s="220"/>
      <c r="H270" s="220"/>
      <c r="I270" s="220"/>
      <c r="J270" s="220"/>
      <c r="K270" s="170" t="str">
        <f>VLOOKUP(D270,[2]T3!$B$2:$D$328,3,FALSE)</f>
        <v>024058374</v>
      </c>
      <c r="L270" s="220"/>
      <c r="M270" s="170"/>
      <c r="N270" s="390" t="s">
        <v>1438</v>
      </c>
      <c r="O270" s="251"/>
      <c r="P270" s="251"/>
      <c r="Q270" s="170">
        <v>2.67</v>
      </c>
      <c r="R270" s="176"/>
      <c r="S270" s="220"/>
      <c r="T270" s="176">
        <f t="shared" si="106"/>
        <v>0</v>
      </c>
      <c r="U270" s="175"/>
      <c r="V270" s="170"/>
      <c r="W270" s="179">
        <f>VLOOKUP(D270,[3]BC!$D$14:$W$287,20,FALSE)</f>
        <v>0</v>
      </c>
      <c r="X270" s="216">
        <f t="shared" si="107"/>
        <v>0</v>
      </c>
      <c r="Y270" s="216">
        <f t="shared" si="108"/>
        <v>2.67</v>
      </c>
      <c r="Z270" s="180">
        <f t="shared" si="109"/>
        <v>3978300</v>
      </c>
      <c r="AA270" s="180"/>
      <c r="AB270" s="180">
        <f t="shared" si="110"/>
        <v>0</v>
      </c>
      <c r="AC270" s="180">
        <f t="shared" si="121"/>
        <v>0</v>
      </c>
      <c r="AD270" s="180">
        <f t="shared" si="111"/>
        <v>3978300</v>
      </c>
      <c r="AE270" s="178">
        <f t="shared" si="102"/>
        <v>318264</v>
      </c>
      <c r="AF270" s="178">
        <f t="shared" si="103"/>
        <v>59674.5</v>
      </c>
      <c r="AG270" s="178">
        <f t="shared" si="104"/>
        <v>39783</v>
      </c>
      <c r="AH270" s="178"/>
      <c r="AI270" s="178">
        <f t="shared" si="112"/>
        <v>417721.5</v>
      </c>
      <c r="AJ270" s="192"/>
      <c r="AK270" s="182"/>
      <c r="AL270" s="182"/>
      <c r="AM270" s="182"/>
      <c r="AN270" s="183">
        <f t="shared" si="117"/>
        <v>2.67</v>
      </c>
      <c r="AO270" s="246">
        <v>0.25</v>
      </c>
      <c r="AP270" s="185">
        <f t="shared" si="114"/>
        <v>0.66749999999999998</v>
      </c>
      <c r="AQ270" s="178">
        <f t="shared" si="116"/>
        <v>994575</v>
      </c>
      <c r="AR270" s="178"/>
      <c r="AS270" s="178">
        <f t="shared" si="119"/>
        <v>4555154</v>
      </c>
      <c r="AT270" s="469" t="str">
        <f t="shared" si="115"/>
        <v>252</v>
      </c>
      <c r="AU270" s="195"/>
      <c r="AV270" s="485"/>
      <c r="AW270" s="29"/>
      <c r="AX270" s="29"/>
      <c r="AY270" s="29"/>
      <c r="AZ270" s="29"/>
      <c r="BA270" s="29"/>
      <c r="BB270" s="29"/>
      <c r="BC270" s="29"/>
      <c r="BD270" s="29"/>
      <c r="BE270" s="29"/>
      <c r="BF270" s="29"/>
    </row>
    <row r="271" spans="1:58" s="189" customFormat="1" ht="37.5" customHeight="1" x14ac:dyDescent="0.25">
      <c r="A271" s="168" t="s">
        <v>635</v>
      </c>
      <c r="B271" s="168" t="str">
        <f>VLOOKUP(D271,[1]LuongBC_T01!$B$9:$C$292,2,FALSE)</f>
        <v>0016100012092002</v>
      </c>
      <c r="C271" s="170" t="s">
        <v>1332</v>
      </c>
      <c r="D271" s="169" t="s">
        <v>1305</v>
      </c>
      <c r="E271" s="263" t="s">
        <v>1436</v>
      </c>
      <c r="F271" s="220"/>
      <c r="G271" s="220"/>
      <c r="H271" s="220"/>
      <c r="I271" s="220"/>
      <c r="J271" s="220"/>
      <c r="K271" s="170" t="str">
        <f>VLOOKUP(D271,[2]T3!$B$2:$D$328,3,FALSE)</f>
        <v>215223184</v>
      </c>
      <c r="L271" s="220"/>
      <c r="M271" s="170"/>
      <c r="N271" s="263" t="s">
        <v>807</v>
      </c>
      <c r="O271" s="251"/>
      <c r="P271" s="251"/>
      <c r="Q271" s="170">
        <v>2.67</v>
      </c>
      <c r="R271" s="176"/>
      <c r="S271" s="220"/>
      <c r="T271" s="176">
        <f t="shared" si="106"/>
        <v>0</v>
      </c>
      <c r="U271" s="175"/>
      <c r="V271" s="170"/>
      <c r="W271" s="179">
        <f>VLOOKUP(D271,[3]BC!$D$14:$W$287,20,FALSE)</f>
        <v>0</v>
      </c>
      <c r="X271" s="216">
        <f t="shared" si="107"/>
        <v>0</v>
      </c>
      <c r="Y271" s="216">
        <f t="shared" si="108"/>
        <v>2.67</v>
      </c>
      <c r="Z271" s="180">
        <f t="shared" si="109"/>
        <v>3978300</v>
      </c>
      <c r="AA271" s="180"/>
      <c r="AB271" s="180">
        <f t="shared" si="110"/>
        <v>0</v>
      </c>
      <c r="AC271" s="180">
        <f t="shared" si="121"/>
        <v>0</v>
      </c>
      <c r="AD271" s="180">
        <f t="shared" si="111"/>
        <v>3978300</v>
      </c>
      <c r="AE271" s="178">
        <f t="shared" si="102"/>
        <v>318264</v>
      </c>
      <c r="AF271" s="178">
        <f t="shared" si="103"/>
        <v>59674.5</v>
      </c>
      <c r="AG271" s="178">
        <f t="shared" si="104"/>
        <v>39783</v>
      </c>
      <c r="AH271" s="178"/>
      <c r="AI271" s="178">
        <f t="shared" si="112"/>
        <v>417721.5</v>
      </c>
      <c r="AJ271" s="192"/>
      <c r="AK271" s="182"/>
      <c r="AL271" s="182"/>
      <c r="AM271" s="182"/>
      <c r="AN271" s="183">
        <f t="shared" si="117"/>
        <v>2.67</v>
      </c>
      <c r="AO271" s="246">
        <v>0.25</v>
      </c>
      <c r="AP271" s="185">
        <f t="shared" si="114"/>
        <v>0.66749999999999998</v>
      </c>
      <c r="AQ271" s="178">
        <f t="shared" si="116"/>
        <v>994575</v>
      </c>
      <c r="AR271" s="178"/>
      <c r="AS271" s="178">
        <f t="shared" si="119"/>
        <v>4555154</v>
      </c>
      <c r="AT271" s="469"/>
      <c r="AU271" s="195"/>
      <c r="AV271" s="485"/>
      <c r="AW271" s="29"/>
      <c r="AX271" s="29"/>
      <c r="AY271" s="29"/>
      <c r="AZ271" s="29"/>
      <c r="BA271" s="29"/>
      <c r="BB271" s="29"/>
      <c r="BC271" s="29"/>
      <c r="BD271" s="29"/>
      <c r="BE271" s="29"/>
      <c r="BF271" s="29"/>
    </row>
    <row r="272" spans="1:58" s="189" customFormat="1" ht="37.5" customHeight="1" x14ac:dyDescent="0.25">
      <c r="A272" s="168" t="s">
        <v>636</v>
      </c>
      <c r="B272" s="168" t="str">
        <f>VLOOKUP(D272,[1]LuongBC_T01!$B$9:$C$292,2,FALSE)</f>
        <v>0016100012450006</v>
      </c>
      <c r="C272" s="170" t="s">
        <v>1334</v>
      </c>
      <c r="D272" s="169" t="s">
        <v>1306</v>
      </c>
      <c r="E272" s="263" t="s">
        <v>1370</v>
      </c>
      <c r="F272" s="220"/>
      <c r="G272" s="220"/>
      <c r="H272" s="220"/>
      <c r="I272" s="220"/>
      <c r="J272" s="220"/>
      <c r="K272" s="168" t="s">
        <v>1309</v>
      </c>
      <c r="L272" s="220"/>
      <c r="M272" s="170"/>
      <c r="N272" s="263" t="s">
        <v>1438</v>
      </c>
      <c r="O272" s="251"/>
      <c r="P272" s="251"/>
      <c r="Q272" s="170">
        <v>2.67</v>
      </c>
      <c r="R272" s="176"/>
      <c r="S272" s="220"/>
      <c r="T272" s="176">
        <f>ROUND(Q272*S272/100,4)</f>
        <v>0</v>
      </c>
      <c r="U272" s="175"/>
      <c r="V272" s="170"/>
      <c r="W272" s="179">
        <f>VLOOKUP(D272,[3]BC!$D$14:$W$287,20,FALSE)</f>
        <v>0</v>
      </c>
      <c r="X272" s="216">
        <f>ROUND((Q272+T272+V272)*W272,4)</f>
        <v>0</v>
      </c>
      <c r="Y272" s="216">
        <f>Q272+T272+V272+X272</f>
        <v>2.67</v>
      </c>
      <c r="Z272" s="180">
        <f>ROUND(Y272*$D$8,0)</f>
        <v>3978300</v>
      </c>
      <c r="AA272" s="180"/>
      <c r="AB272" s="180">
        <f>Z272/24*AA272</f>
        <v>0</v>
      </c>
      <c r="AC272" s="180">
        <f>Z272/24*AA272*75%</f>
        <v>0</v>
      </c>
      <c r="AD272" s="180">
        <f>ROUND(Z272-AB272+AC272,0)</f>
        <v>3978300</v>
      </c>
      <c r="AE272" s="178">
        <f>Z272*8%</f>
        <v>318264</v>
      </c>
      <c r="AF272" s="178">
        <f>Z272*1.5%</f>
        <v>59674.5</v>
      </c>
      <c r="AG272" s="178">
        <f>Z272*1%</f>
        <v>39783</v>
      </c>
      <c r="AH272" s="178"/>
      <c r="AI272" s="178">
        <f>SUM(AE272:AH272)</f>
        <v>417721.5</v>
      </c>
      <c r="AJ272" s="192"/>
      <c r="AK272" s="182"/>
      <c r="AL272" s="182"/>
      <c r="AM272" s="182"/>
      <c r="AN272" s="183">
        <f>Q272+T272+V272</f>
        <v>2.67</v>
      </c>
      <c r="AO272" s="246">
        <v>0.25</v>
      </c>
      <c r="AP272" s="185">
        <f>ROUND(AN272*AO272,4)</f>
        <v>0.66749999999999998</v>
      </c>
      <c r="AQ272" s="178">
        <f>ROUND(AP272*$D$8,0)</f>
        <v>994575</v>
      </c>
      <c r="AR272" s="178"/>
      <c r="AS272" s="178">
        <f>ROUND(AD272-AI272+AK272+AM272+AQ272,0)</f>
        <v>4555154</v>
      </c>
      <c r="AT272" s="469"/>
      <c r="AU272" s="195" t="s">
        <v>1449</v>
      </c>
      <c r="AV272" s="485"/>
      <c r="AW272" s="29"/>
      <c r="AX272" s="29"/>
      <c r="AY272" s="29"/>
      <c r="AZ272" s="29"/>
      <c r="BA272" s="29"/>
      <c r="BB272" s="29"/>
      <c r="BC272" s="29"/>
      <c r="BD272" s="29"/>
      <c r="BE272" s="29"/>
      <c r="BF272" s="29"/>
    </row>
    <row r="273" spans="1:58" s="189" customFormat="1" ht="37.5" customHeight="1" x14ac:dyDescent="0.25">
      <c r="A273" s="168" t="s">
        <v>637</v>
      </c>
      <c r="B273" s="168"/>
      <c r="C273" s="660"/>
      <c r="D273" s="169" t="s">
        <v>1437</v>
      </c>
      <c r="E273" s="263" t="s">
        <v>1259</v>
      </c>
      <c r="F273" s="220"/>
      <c r="G273" s="220"/>
      <c r="H273" s="220"/>
      <c r="I273" s="220"/>
      <c r="J273" s="220"/>
      <c r="K273" s="168"/>
      <c r="L273" s="490" t="s">
        <v>1447</v>
      </c>
      <c r="M273" s="170"/>
      <c r="N273" s="662" t="s">
        <v>1438</v>
      </c>
      <c r="O273" s="251"/>
      <c r="P273" s="251"/>
      <c r="Q273" s="170">
        <v>2.67</v>
      </c>
      <c r="R273" s="176"/>
      <c r="S273" s="220"/>
      <c r="T273" s="176">
        <f>ROUND(Q273*S273/100,4)</f>
        <v>0</v>
      </c>
      <c r="U273" s="175"/>
      <c r="V273" s="170"/>
      <c r="W273" s="179">
        <f>VLOOKUP(D273,[3]BC!$D$14:$X$294,20,FALSE)</f>
        <v>0</v>
      </c>
      <c r="X273" s="216">
        <f>ROUND((Q273+T273+V273)*W273,4)</f>
        <v>0</v>
      </c>
      <c r="Y273" s="216">
        <f>Q273+T273+V273+X273</f>
        <v>2.67</v>
      </c>
      <c r="Z273" s="180">
        <f>ROUND(Y273*$D$8,0)</f>
        <v>3978300</v>
      </c>
      <c r="AA273" s="180"/>
      <c r="AB273" s="180">
        <f>Z273/24*AA273</f>
        <v>0</v>
      </c>
      <c r="AC273" s="180">
        <f>Z273/24*AA273*75%</f>
        <v>0</v>
      </c>
      <c r="AD273" s="180">
        <f>ROUND(Z273-AB273+AC273,0)</f>
        <v>3978300</v>
      </c>
      <c r="AE273" s="178">
        <f>Z273*8%</f>
        <v>318264</v>
      </c>
      <c r="AF273" s="178">
        <f>Z273*1.5%</f>
        <v>59674.5</v>
      </c>
      <c r="AG273" s="178">
        <f>Z273*1%</f>
        <v>39783</v>
      </c>
      <c r="AH273" s="178"/>
      <c r="AI273" s="178">
        <f>SUM(AE273:AH273)</f>
        <v>417721.5</v>
      </c>
      <c r="AJ273" s="192"/>
      <c r="AK273" s="182"/>
      <c r="AL273" s="182"/>
      <c r="AM273" s="182"/>
      <c r="AN273" s="183">
        <f>Q273+T273+V273</f>
        <v>2.67</v>
      </c>
      <c r="AO273" s="640">
        <v>0.25</v>
      </c>
      <c r="AP273" s="185">
        <f>ROUND(AN273*AO273,4)</f>
        <v>0.66749999999999998</v>
      </c>
      <c r="AQ273" s="178">
        <f>ROUND(AP273*$D$8,0)</f>
        <v>994575</v>
      </c>
      <c r="AR273" s="178"/>
      <c r="AS273" s="178">
        <f>ROUND(AD273-AI273+AK273+AM273+AQ273,0)</f>
        <v>4555154</v>
      </c>
      <c r="AT273" s="469"/>
      <c r="AU273" s="195"/>
      <c r="AV273" s="659"/>
    </row>
    <row r="274" spans="1:58" s="189" customFormat="1" ht="42.75" customHeight="1" x14ac:dyDescent="0.25">
      <c r="A274" s="168" t="s">
        <v>1268</v>
      </c>
      <c r="B274" s="168" t="str">
        <f>VLOOKUP(D274,[1]LuongBC_T01!$B$9:$C$292,2,FALSE)</f>
        <v>0016100007188007</v>
      </c>
      <c r="C274" s="170" t="s">
        <v>1330</v>
      </c>
      <c r="D274" s="169" t="s">
        <v>1273</v>
      </c>
      <c r="E274" s="263" t="s">
        <v>1379</v>
      </c>
      <c r="F274" s="220"/>
      <c r="G274" s="220"/>
      <c r="H274" s="220"/>
      <c r="I274" s="220"/>
      <c r="J274" s="220"/>
      <c r="K274" s="170" t="str">
        <f>VLOOKUP(D274,[2]T3!$B$2:$D$328,3,FALSE)</f>
        <v>024255580</v>
      </c>
      <c r="L274" s="220"/>
      <c r="M274" s="170"/>
      <c r="N274" s="390" t="s">
        <v>1438</v>
      </c>
      <c r="O274" s="251" t="s">
        <v>1267</v>
      </c>
      <c r="P274" s="251">
        <v>1</v>
      </c>
      <c r="Q274" s="170">
        <v>2.34</v>
      </c>
      <c r="R274" s="176"/>
      <c r="S274" s="220"/>
      <c r="T274" s="176">
        <f t="shared" si="106"/>
        <v>0</v>
      </c>
      <c r="U274" s="175"/>
      <c r="V274" s="170"/>
      <c r="W274" s="179">
        <f>VLOOKUP(D274,[3]BC!$D$14:$W$287,20,FALSE)</f>
        <v>0</v>
      </c>
      <c r="X274" s="216">
        <f t="shared" si="107"/>
        <v>0</v>
      </c>
      <c r="Y274" s="216">
        <f t="shared" si="108"/>
        <v>2.34</v>
      </c>
      <c r="Z274" s="180">
        <f t="shared" si="109"/>
        <v>3486600</v>
      </c>
      <c r="AA274" s="180"/>
      <c r="AB274" s="180">
        <f t="shared" si="110"/>
        <v>0</v>
      </c>
      <c r="AC274" s="180">
        <f t="shared" si="121"/>
        <v>0</v>
      </c>
      <c r="AD274" s="180">
        <f t="shared" si="111"/>
        <v>3486600</v>
      </c>
      <c r="AE274" s="178">
        <f t="shared" si="102"/>
        <v>278928</v>
      </c>
      <c r="AF274" s="178">
        <f t="shared" si="103"/>
        <v>52299</v>
      </c>
      <c r="AG274" s="178">
        <f t="shared" si="104"/>
        <v>34866</v>
      </c>
      <c r="AH274" s="178"/>
      <c r="AI274" s="178">
        <f t="shared" si="112"/>
        <v>366093</v>
      </c>
      <c r="AJ274" s="192"/>
      <c r="AK274" s="182"/>
      <c r="AL274" s="182"/>
      <c r="AM274" s="182"/>
      <c r="AN274" s="183">
        <f t="shared" si="117"/>
        <v>2.34</v>
      </c>
      <c r="AO274" s="246">
        <v>0.25</v>
      </c>
      <c r="AP274" s="185">
        <f t="shared" si="114"/>
        <v>0.58499999999999996</v>
      </c>
      <c r="AQ274" s="178">
        <f t="shared" si="116"/>
        <v>871650</v>
      </c>
      <c r="AR274" s="178"/>
      <c r="AS274" s="178">
        <f t="shared" si="119"/>
        <v>3992157</v>
      </c>
      <c r="AT274" s="469" t="str">
        <f t="shared" ref="AT274:AT281" si="122">A274</f>
        <v>256</v>
      </c>
      <c r="AU274" s="195"/>
      <c r="AV274" s="485" t="s">
        <v>1139</v>
      </c>
      <c r="AW274" s="29"/>
      <c r="AX274" s="29"/>
      <c r="AY274" s="29"/>
      <c r="AZ274" s="29"/>
      <c r="BA274" s="29"/>
      <c r="BB274" s="29"/>
      <c r="BC274" s="29"/>
      <c r="BD274" s="29"/>
      <c r="BE274" s="29"/>
      <c r="BF274" s="29"/>
    </row>
    <row r="275" spans="1:58" s="189" customFormat="1" ht="35.25" customHeight="1" x14ac:dyDescent="0.25">
      <c r="A275" s="168" t="s">
        <v>638</v>
      </c>
      <c r="B275" s="168" t="str">
        <f>VLOOKUP(D275,[1]LuongBC_T01!$B$9:$C$292,2,FALSE)</f>
        <v>0016100007699004</v>
      </c>
      <c r="C275" s="170" t="s">
        <v>1327</v>
      </c>
      <c r="D275" s="169" t="s">
        <v>1292</v>
      </c>
      <c r="E275" s="263" t="s">
        <v>1407</v>
      </c>
      <c r="F275" s="220"/>
      <c r="G275" s="220"/>
      <c r="H275" s="220"/>
      <c r="I275" s="220"/>
      <c r="J275" s="220"/>
      <c r="K275" s="170" t="str">
        <f>VLOOKUP(D275,[2]T3!$B$2:$D$328,3,FALSE)</f>
        <v>022093185</v>
      </c>
      <c r="L275" s="220"/>
      <c r="M275" s="170"/>
      <c r="N275" s="390" t="s">
        <v>1438</v>
      </c>
      <c r="O275" s="251"/>
      <c r="P275" s="251"/>
      <c r="Q275" s="170">
        <v>2.34</v>
      </c>
      <c r="R275" s="176"/>
      <c r="S275" s="220"/>
      <c r="T275" s="176">
        <f t="shared" si="106"/>
        <v>0</v>
      </c>
      <c r="U275" s="175"/>
      <c r="V275" s="170"/>
      <c r="W275" s="179">
        <f>VLOOKUP(D275,[3]BC!$D$14:$W$287,20,FALSE)</f>
        <v>0</v>
      </c>
      <c r="X275" s="216">
        <f t="shared" si="107"/>
        <v>0</v>
      </c>
      <c r="Y275" s="216">
        <f t="shared" si="108"/>
        <v>2.34</v>
      </c>
      <c r="Z275" s="180">
        <f t="shared" si="109"/>
        <v>3486600</v>
      </c>
      <c r="AA275" s="180"/>
      <c r="AB275" s="180">
        <f t="shared" si="110"/>
        <v>0</v>
      </c>
      <c r="AC275" s="180">
        <f t="shared" si="121"/>
        <v>0</v>
      </c>
      <c r="AD275" s="180">
        <f t="shared" si="111"/>
        <v>3486600</v>
      </c>
      <c r="AE275" s="178">
        <f t="shared" si="102"/>
        <v>278928</v>
      </c>
      <c r="AF275" s="178">
        <f t="shared" si="103"/>
        <v>52299</v>
      </c>
      <c r="AG275" s="178">
        <f t="shared" si="104"/>
        <v>34866</v>
      </c>
      <c r="AH275" s="178"/>
      <c r="AI275" s="178">
        <f t="shared" si="112"/>
        <v>366093</v>
      </c>
      <c r="AJ275" s="192"/>
      <c r="AK275" s="182"/>
      <c r="AL275" s="182"/>
      <c r="AM275" s="182"/>
      <c r="AN275" s="183">
        <f t="shared" si="117"/>
        <v>2.34</v>
      </c>
      <c r="AO275" s="246">
        <v>0.25</v>
      </c>
      <c r="AP275" s="185">
        <f t="shared" si="114"/>
        <v>0.58499999999999996</v>
      </c>
      <c r="AQ275" s="178">
        <f t="shared" si="116"/>
        <v>871650</v>
      </c>
      <c r="AR275" s="178"/>
      <c r="AS275" s="178">
        <f t="shared" si="119"/>
        <v>3992157</v>
      </c>
      <c r="AT275" s="469" t="str">
        <f t="shared" si="122"/>
        <v>257</v>
      </c>
      <c r="AU275" s="195"/>
      <c r="AV275" s="485"/>
      <c r="AW275" s="29"/>
      <c r="AX275" s="29"/>
      <c r="AY275" s="29"/>
      <c r="AZ275" s="29"/>
      <c r="BA275" s="29"/>
      <c r="BB275" s="29"/>
      <c r="BC275" s="29"/>
      <c r="BD275" s="29"/>
      <c r="BE275" s="29"/>
      <c r="BF275" s="29"/>
    </row>
    <row r="276" spans="1:58" s="189" customFormat="1" ht="37.5" customHeight="1" x14ac:dyDescent="0.25">
      <c r="A276" s="168" t="s">
        <v>1269</v>
      </c>
      <c r="B276" s="168" t="str">
        <f>VLOOKUP(D276,[1]LuongBC_T01!$B$9:$C$292,2,FALSE)</f>
        <v>0016100007776009</v>
      </c>
      <c r="C276" s="170" t="s">
        <v>1331</v>
      </c>
      <c r="D276" s="169" t="s">
        <v>1293</v>
      </c>
      <c r="E276" s="263" t="s">
        <v>1407</v>
      </c>
      <c r="F276" s="220"/>
      <c r="G276" s="220"/>
      <c r="H276" s="220"/>
      <c r="I276" s="220"/>
      <c r="J276" s="220"/>
      <c r="K276" s="170" t="str">
        <f>VLOOKUP(D276,[2]T3!$B$2:$D$328,3,FALSE)</f>
        <v>271927461</v>
      </c>
      <c r="L276" s="220"/>
      <c r="M276" s="170"/>
      <c r="N276" s="390" t="s">
        <v>1438</v>
      </c>
      <c r="O276" s="251"/>
      <c r="P276" s="251"/>
      <c r="Q276" s="170">
        <v>2.34</v>
      </c>
      <c r="R276" s="176"/>
      <c r="S276" s="220"/>
      <c r="T276" s="176">
        <f t="shared" si="106"/>
        <v>0</v>
      </c>
      <c r="U276" s="175"/>
      <c r="V276" s="170"/>
      <c r="W276" s="179">
        <f>VLOOKUP(D276,[3]BC!$D$14:$W$287,20,FALSE)</f>
        <v>0</v>
      </c>
      <c r="X276" s="216">
        <f t="shared" si="107"/>
        <v>0</v>
      </c>
      <c r="Y276" s="216">
        <f t="shared" si="108"/>
        <v>2.34</v>
      </c>
      <c r="Z276" s="180">
        <f t="shared" si="109"/>
        <v>3486600</v>
      </c>
      <c r="AA276" s="180"/>
      <c r="AB276" s="180">
        <f t="shared" si="110"/>
        <v>0</v>
      </c>
      <c r="AC276" s="180">
        <f t="shared" si="121"/>
        <v>0</v>
      </c>
      <c r="AD276" s="180">
        <f t="shared" si="111"/>
        <v>3486600</v>
      </c>
      <c r="AE276" s="178">
        <f t="shared" si="102"/>
        <v>278928</v>
      </c>
      <c r="AF276" s="178">
        <f t="shared" si="103"/>
        <v>52299</v>
      </c>
      <c r="AG276" s="178">
        <f t="shared" si="104"/>
        <v>34866</v>
      </c>
      <c r="AH276" s="178"/>
      <c r="AI276" s="178">
        <f t="shared" si="112"/>
        <v>366093</v>
      </c>
      <c r="AJ276" s="192"/>
      <c r="AK276" s="182"/>
      <c r="AL276" s="182"/>
      <c r="AM276" s="182"/>
      <c r="AN276" s="183">
        <f t="shared" si="117"/>
        <v>2.34</v>
      </c>
      <c r="AO276" s="246">
        <v>0.25</v>
      </c>
      <c r="AP276" s="185">
        <f t="shared" si="114"/>
        <v>0.58499999999999996</v>
      </c>
      <c r="AQ276" s="178">
        <f t="shared" si="116"/>
        <v>871650</v>
      </c>
      <c r="AR276" s="178"/>
      <c r="AS276" s="178">
        <f t="shared" si="119"/>
        <v>3992157</v>
      </c>
      <c r="AT276" s="469" t="str">
        <f t="shared" si="122"/>
        <v>258</v>
      </c>
      <c r="AU276" s="195"/>
      <c r="AV276" s="485"/>
      <c r="AW276" s="29"/>
      <c r="AX276" s="29"/>
      <c r="AY276" s="29"/>
      <c r="AZ276" s="29"/>
      <c r="BA276" s="29"/>
      <c r="BB276" s="29"/>
      <c r="BC276" s="29"/>
      <c r="BD276" s="29"/>
      <c r="BE276" s="29"/>
      <c r="BF276" s="29"/>
    </row>
    <row r="277" spans="1:58" s="189" customFormat="1" ht="39.75" customHeight="1" x14ac:dyDescent="0.25">
      <c r="A277" s="168" t="s">
        <v>639</v>
      </c>
      <c r="B277" s="168" t="str">
        <f>VLOOKUP(D277,[1]LuongBC_T01!$B$9:$C$292,2,FALSE)</f>
        <v>0016100012091006</v>
      </c>
      <c r="C277" s="170" t="s">
        <v>1329</v>
      </c>
      <c r="D277" s="169" t="s">
        <v>1304</v>
      </c>
      <c r="E277" s="263" t="s">
        <v>1379</v>
      </c>
      <c r="F277" s="220"/>
      <c r="G277" s="220"/>
      <c r="H277" s="220"/>
      <c r="I277" s="220"/>
      <c r="J277" s="220"/>
      <c r="K277" s="168" t="s">
        <v>1347</v>
      </c>
      <c r="L277" s="220"/>
      <c r="M277" s="170"/>
      <c r="N277" s="263" t="s">
        <v>807</v>
      </c>
      <c r="O277" s="251"/>
      <c r="P277" s="251"/>
      <c r="Q277" s="170">
        <v>2.34</v>
      </c>
      <c r="R277" s="176"/>
      <c r="S277" s="220"/>
      <c r="T277" s="176">
        <f t="shared" si="106"/>
        <v>0</v>
      </c>
      <c r="U277" s="175"/>
      <c r="V277" s="170"/>
      <c r="W277" s="179">
        <f>VLOOKUP(D277,[3]BC!$D$14:$W$287,20,FALSE)</f>
        <v>0</v>
      </c>
      <c r="X277" s="216">
        <f t="shared" si="107"/>
        <v>0</v>
      </c>
      <c r="Y277" s="216">
        <f t="shared" si="108"/>
        <v>2.34</v>
      </c>
      <c r="Z277" s="180">
        <f t="shared" si="109"/>
        <v>3486600</v>
      </c>
      <c r="AA277" s="180"/>
      <c r="AB277" s="180">
        <f t="shared" si="110"/>
        <v>0</v>
      </c>
      <c r="AC277" s="180">
        <f t="shared" si="121"/>
        <v>0</v>
      </c>
      <c r="AD277" s="180">
        <f t="shared" si="111"/>
        <v>3486600</v>
      </c>
      <c r="AE277" s="178">
        <f t="shared" si="102"/>
        <v>278928</v>
      </c>
      <c r="AF277" s="178">
        <f t="shared" si="103"/>
        <v>52299</v>
      </c>
      <c r="AG277" s="178">
        <f t="shared" si="104"/>
        <v>34866</v>
      </c>
      <c r="AH277" s="178"/>
      <c r="AI277" s="178">
        <f t="shared" si="112"/>
        <v>366093</v>
      </c>
      <c r="AJ277" s="192"/>
      <c r="AK277" s="182"/>
      <c r="AL277" s="182"/>
      <c r="AM277" s="182"/>
      <c r="AN277" s="183">
        <f t="shared" si="117"/>
        <v>2.34</v>
      </c>
      <c r="AO277" s="246">
        <v>0.25</v>
      </c>
      <c r="AP277" s="185">
        <f t="shared" si="114"/>
        <v>0.58499999999999996</v>
      </c>
      <c r="AQ277" s="178">
        <f t="shared" si="116"/>
        <v>871650</v>
      </c>
      <c r="AR277" s="178"/>
      <c r="AS277" s="178">
        <f t="shared" si="119"/>
        <v>3992157</v>
      </c>
      <c r="AT277" s="469" t="str">
        <f t="shared" si="122"/>
        <v>259</v>
      </c>
      <c r="AU277" s="195"/>
      <c r="AV277" s="485"/>
      <c r="AW277" s="29"/>
      <c r="AX277" s="29"/>
      <c r="AY277" s="29"/>
      <c r="AZ277" s="29"/>
      <c r="BA277" s="29"/>
      <c r="BB277" s="29"/>
      <c r="BC277" s="29"/>
      <c r="BD277" s="29"/>
      <c r="BE277" s="29"/>
      <c r="BF277" s="29"/>
    </row>
    <row r="278" spans="1:58" s="189" customFormat="1" ht="37.5" customHeight="1" x14ac:dyDescent="0.25">
      <c r="A278" s="168" t="s">
        <v>640</v>
      </c>
      <c r="B278" s="168" t="str">
        <f>VLOOKUP(D278,[1]LuongBC_T01!$B$9:$C$292,2,FALSE)</f>
        <v>0016100012451002</v>
      </c>
      <c r="C278" s="170" t="s">
        <v>1335</v>
      </c>
      <c r="D278" s="169" t="s">
        <v>1307</v>
      </c>
      <c r="E278" s="263" t="s">
        <v>1380</v>
      </c>
      <c r="F278" s="220"/>
      <c r="G278" s="220"/>
      <c r="H278" s="220"/>
      <c r="I278" s="220"/>
      <c r="J278" s="220"/>
      <c r="K278" s="168" t="s">
        <v>1308</v>
      </c>
      <c r="L278" s="220"/>
      <c r="M278" s="170"/>
      <c r="N278" s="263" t="s">
        <v>1438</v>
      </c>
      <c r="O278" s="251"/>
      <c r="P278" s="251"/>
      <c r="Q278" s="170">
        <v>2.34</v>
      </c>
      <c r="R278" s="176"/>
      <c r="S278" s="220"/>
      <c r="T278" s="176">
        <f>ROUND(Q278*S278/100,4)</f>
        <v>0</v>
      </c>
      <c r="U278" s="175"/>
      <c r="V278" s="170"/>
      <c r="W278" s="179">
        <f>VLOOKUP(D278,[3]BC!$D$14:$W$287,20,FALSE)</f>
        <v>0</v>
      </c>
      <c r="X278" s="216">
        <f>ROUND((Q278+T278+V278)*W278,4)</f>
        <v>0</v>
      </c>
      <c r="Y278" s="216">
        <f>Q278+T278+V278+X278</f>
        <v>2.34</v>
      </c>
      <c r="Z278" s="180">
        <f>ROUND(Y278*$D$8,0)</f>
        <v>3486600</v>
      </c>
      <c r="AA278" s="180"/>
      <c r="AB278" s="180">
        <f>Z278/24*AA278</f>
        <v>0</v>
      </c>
      <c r="AC278" s="180">
        <f>Z278/24*AA278*75%</f>
        <v>0</v>
      </c>
      <c r="AD278" s="180">
        <f>ROUND(Z278-AB278+AC278,0)</f>
        <v>3486600</v>
      </c>
      <c r="AE278" s="178">
        <f>Z278*8%</f>
        <v>278928</v>
      </c>
      <c r="AF278" s="178">
        <f>Z278*1.5%</f>
        <v>52299</v>
      </c>
      <c r="AG278" s="178">
        <f>Z278*1%</f>
        <v>34866</v>
      </c>
      <c r="AH278" s="178"/>
      <c r="AI278" s="178">
        <f>SUM(AE278:AH278)</f>
        <v>366093</v>
      </c>
      <c r="AJ278" s="192"/>
      <c r="AK278" s="182"/>
      <c r="AL278" s="182"/>
      <c r="AM278" s="182"/>
      <c r="AN278" s="183">
        <f>Q278+T278+V278</f>
        <v>2.34</v>
      </c>
      <c r="AO278" s="246">
        <v>0.25</v>
      </c>
      <c r="AP278" s="185">
        <f>ROUND(AN278*AO278,4)</f>
        <v>0.58499999999999996</v>
      </c>
      <c r="AQ278" s="178">
        <f>ROUND(AP278*$D$8,0)</f>
        <v>871650</v>
      </c>
      <c r="AR278" s="178"/>
      <c r="AS278" s="178">
        <f>ROUND(AD278-AI278+AK278+AM278+AQ278,0)</f>
        <v>3992157</v>
      </c>
      <c r="AT278" s="469" t="str">
        <f t="shared" si="122"/>
        <v>260</v>
      </c>
      <c r="AU278" s="195"/>
      <c r="AV278" s="485"/>
      <c r="AW278" s="29"/>
      <c r="AX278" s="29"/>
      <c r="AY278" s="29"/>
      <c r="AZ278" s="29"/>
      <c r="BA278" s="29"/>
      <c r="BB278" s="29"/>
      <c r="BC278" s="29"/>
      <c r="BD278" s="29"/>
      <c r="BE278" s="29"/>
      <c r="BF278" s="29"/>
    </row>
    <row r="279" spans="1:58" s="189" customFormat="1" ht="33.75" customHeight="1" x14ac:dyDescent="0.25">
      <c r="A279" s="168" t="s">
        <v>641</v>
      </c>
      <c r="B279" s="168" t="str">
        <f>VLOOKUP(D279,[1]LuongBC_T01!$B$9:$C$292,2,FALSE)</f>
        <v>0016100006640006</v>
      </c>
      <c r="C279" s="199" t="s">
        <v>1082</v>
      </c>
      <c r="D279" s="169" t="s">
        <v>741</v>
      </c>
      <c r="E279" s="263" t="s">
        <v>1301</v>
      </c>
      <c r="F279" s="169"/>
      <c r="G279" s="170" t="s">
        <v>25</v>
      </c>
      <c r="H279" s="170"/>
      <c r="I279" s="200"/>
      <c r="J279" s="220" t="s">
        <v>689</v>
      </c>
      <c r="K279" s="170" t="str">
        <f>VLOOKUP(D279,[2]T3!$B$2:$D$328,3,FALSE)</f>
        <v>025638694</v>
      </c>
      <c r="L279" s="201" t="s">
        <v>688</v>
      </c>
      <c r="M279" s="201" t="s">
        <v>1082</v>
      </c>
      <c r="N279" s="390" t="s">
        <v>133</v>
      </c>
      <c r="O279" s="172" t="s">
        <v>692</v>
      </c>
      <c r="P279" s="173">
        <v>4</v>
      </c>
      <c r="Q279" s="174">
        <v>3.66</v>
      </c>
      <c r="R279" s="176">
        <f>T279+V279+X279</f>
        <v>0</v>
      </c>
      <c r="S279" s="370"/>
      <c r="T279" s="176">
        <f t="shared" si="106"/>
        <v>0</v>
      </c>
      <c r="U279" s="175">
        <f>Q279*S279*$D$8/100</f>
        <v>0</v>
      </c>
      <c r="V279" s="170"/>
      <c r="W279" s="179">
        <f>VLOOKUP(D279,[3]BC!$D$14:$W$287,20,FALSE)</f>
        <v>0</v>
      </c>
      <c r="X279" s="216">
        <f t="shared" si="107"/>
        <v>0</v>
      </c>
      <c r="Y279" s="216">
        <f t="shared" si="108"/>
        <v>3.66</v>
      </c>
      <c r="Z279" s="180">
        <f t="shared" si="109"/>
        <v>5453400</v>
      </c>
      <c r="AA279" s="180"/>
      <c r="AB279" s="180">
        <f t="shared" si="110"/>
        <v>0</v>
      </c>
      <c r="AC279" s="180">
        <f t="shared" si="121"/>
        <v>0</v>
      </c>
      <c r="AD279" s="180">
        <f t="shared" si="111"/>
        <v>5453400</v>
      </c>
      <c r="AE279" s="178">
        <f t="shared" si="102"/>
        <v>436272</v>
      </c>
      <c r="AF279" s="178">
        <f t="shared" si="103"/>
        <v>81801</v>
      </c>
      <c r="AG279" s="178">
        <f t="shared" si="104"/>
        <v>54534</v>
      </c>
      <c r="AH279" s="178"/>
      <c r="AI279" s="178">
        <f t="shared" si="112"/>
        <v>572607</v>
      </c>
      <c r="AJ279" s="192"/>
      <c r="AK279" s="182">
        <f t="shared" si="113"/>
        <v>0</v>
      </c>
      <c r="AL279" s="182"/>
      <c r="AM279" s="182"/>
      <c r="AN279" s="193">
        <f t="shared" si="117"/>
        <v>3.66</v>
      </c>
      <c r="AO279" s="179">
        <v>0</v>
      </c>
      <c r="AP279" s="194">
        <f t="shared" si="114"/>
        <v>0</v>
      </c>
      <c r="AQ279" s="178">
        <f t="shared" si="116"/>
        <v>0</v>
      </c>
      <c r="AR279" s="178"/>
      <c r="AS279" s="178">
        <f t="shared" si="119"/>
        <v>4880793</v>
      </c>
      <c r="AT279" s="469" t="str">
        <f t="shared" si="122"/>
        <v>261</v>
      </c>
      <c r="AU279" s="195"/>
      <c r="AV279" s="198" t="s">
        <v>704</v>
      </c>
      <c r="AW279" s="29"/>
      <c r="AX279" s="29"/>
      <c r="AY279" s="29"/>
      <c r="AZ279" s="29"/>
      <c r="BA279" s="29"/>
      <c r="BB279" s="29"/>
      <c r="BC279" s="29"/>
      <c r="BD279" s="29"/>
      <c r="BE279" s="29"/>
      <c r="BF279" s="29"/>
    </row>
    <row r="280" spans="1:58" s="189" customFormat="1" ht="35.25" customHeight="1" x14ac:dyDescent="0.25">
      <c r="A280" s="168" t="s">
        <v>642</v>
      </c>
      <c r="B280" s="168" t="str">
        <f>VLOOKUP(D280,[1]LuongBC_T01!$B$9:$C$292,2,FALSE)</f>
        <v>0016100006725001</v>
      </c>
      <c r="C280" s="199" t="s">
        <v>1024</v>
      </c>
      <c r="D280" s="169" t="s">
        <v>659</v>
      </c>
      <c r="E280" s="263" t="s">
        <v>1261</v>
      </c>
      <c r="F280" s="169" t="s">
        <v>553</v>
      </c>
      <c r="G280" s="170" t="s">
        <v>25</v>
      </c>
      <c r="H280" s="169"/>
      <c r="I280" s="169" t="s">
        <v>284</v>
      </c>
      <c r="J280" s="169"/>
      <c r="K280" s="170" t="str">
        <f>VLOOKUP(D280,[2]T3!$B$2:$D$328,3,FALSE)</f>
        <v>025154407</v>
      </c>
      <c r="L280" s="197">
        <v>1603205247426</v>
      </c>
      <c r="M280" s="197" t="s">
        <v>1024</v>
      </c>
      <c r="N280" s="393" t="s">
        <v>1120</v>
      </c>
      <c r="O280" s="170" t="s">
        <v>698</v>
      </c>
      <c r="P280" s="170">
        <v>7</v>
      </c>
      <c r="Q280" s="214">
        <v>3.26</v>
      </c>
      <c r="R280" s="176">
        <f>T280+V280+X280</f>
        <v>0</v>
      </c>
      <c r="S280" s="178"/>
      <c r="T280" s="176">
        <f t="shared" si="106"/>
        <v>0</v>
      </c>
      <c r="U280" s="175">
        <f>Q280*S280*$D$8/100</f>
        <v>0</v>
      </c>
      <c r="V280" s="178"/>
      <c r="W280" s="179">
        <f>VLOOKUP(D280,[3]BC!$D$14:$W$287,20,FALSE)</f>
        <v>0</v>
      </c>
      <c r="X280" s="216">
        <f t="shared" si="107"/>
        <v>0</v>
      </c>
      <c r="Y280" s="216">
        <f t="shared" si="108"/>
        <v>3.26</v>
      </c>
      <c r="Z280" s="180">
        <f t="shared" si="109"/>
        <v>4857400</v>
      </c>
      <c r="AA280" s="180"/>
      <c r="AB280" s="180">
        <f t="shared" si="110"/>
        <v>0</v>
      </c>
      <c r="AC280" s="180">
        <f t="shared" si="121"/>
        <v>0</v>
      </c>
      <c r="AD280" s="180">
        <f t="shared" si="111"/>
        <v>4857400</v>
      </c>
      <c r="AE280" s="178">
        <f t="shared" si="102"/>
        <v>388592</v>
      </c>
      <c r="AF280" s="178">
        <f t="shared" si="103"/>
        <v>72861</v>
      </c>
      <c r="AG280" s="178">
        <f t="shared" si="104"/>
        <v>48574</v>
      </c>
      <c r="AH280" s="178"/>
      <c r="AI280" s="178">
        <f t="shared" si="112"/>
        <v>510027</v>
      </c>
      <c r="AJ280" s="215"/>
      <c r="AK280" s="182">
        <f t="shared" si="113"/>
        <v>0</v>
      </c>
      <c r="AL280" s="182"/>
      <c r="AM280" s="182"/>
      <c r="AN280" s="193">
        <f t="shared" si="117"/>
        <v>3.26</v>
      </c>
      <c r="AO280" s="179">
        <v>0.2</v>
      </c>
      <c r="AP280" s="194">
        <f t="shared" si="114"/>
        <v>0.65200000000000002</v>
      </c>
      <c r="AQ280" s="178">
        <f t="shared" si="116"/>
        <v>971480</v>
      </c>
      <c r="AR280" s="178"/>
      <c r="AS280" s="178">
        <f t="shared" si="119"/>
        <v>5318853</v>
      </c>
      <c r="AT280" s="469" t="str">
        <f t="shared" si="122"/>
        <v>262</v>
      </c>
      <c r="AU280" s="195"/>
      <c r="AV280" s="198" t="s">
        <v>713</v>
      </c>
      <c r="AW280" s="29"/>
      <c r="AX280" s="29"/>
      <c r="AY280" s="29"/>
      <c r="AZ280" s="29"/>
      <c r="BA280" s="29"/>
      <c r="BB280" s="29"/>
      <c r="BC280" s="29"/>
      <c r="BD280" s="29"/>
      <c r="BE280" s="29"/>
      <c r="BF280" s="29"/>
    </row>
    <row r="281" spans="1:58" s="189" customFormat="1" ht="32.25" customHeight="1" x14ac:dyDescent="0.25">
      <c r="A281" s="471" t="s">
        <v>643</v>
      </c>
      <c r="B281" s="471" t="str">
        <f>VLOOKUP(D281,[1]LuongBC_T01!$B$9:$C$292,2,FALSE)</f>
        <v>0016100006633007</v>
      </c>
      <c r="C281" s="431" t="s">
        <v>1030</v>
      </c>
      <c r="D281" s="587" t="s">
        <v>754</v>
      </c>
      <c r="E281" s="296" t="s">
        <v>1472</v>
      </c>
      <c r="F281" s="588"/>
      <c r="G281" s="589" t="s">
        <v>25</v>
      </c>
      <c r="H281" s="588"/>
      <c r="I281" s="588"/>
      <c r="J281" s="588"/>
      <c r="K281" s="438" t="str">
        <f>VLOOKUP(D281,[2]T3!$B$2:$D$328,3,FALSE)</f>
        <v>025548580</v>
      </c>
      <c r="L281" s="590" t="s">
        <v>763</v>
      </c>
      <c r="M281" s="590" t="s">
        <v>1030</v>
      </c>
      <c r="N281" s="591" t="s">
        <v>1121</v>
      </c>
      <c r="O281" s="438" t="s">
        <v>692</v>
      </c>
      <c r="P281" s="438">
        <v>2</v>
      </c>
      <c r="Q281" s="438">
        <v>2.67</v>
      </c>
      <c r="R281" s="436">
        <f>T281+V281+X281</f>
        <v>0</v>
      </c>
      <c r="S281" s="432"/>
      <c r="T281" s="436">
        <f t="shared" si="106"/>
        <v>0</v>
      </c>
      <c r="U281" s="445"/>
      <c r="V281" s="438"/>
      <c r="W281" s="439">
        <f>VLOOKUP(D281,[3]BC!$D$14:$W$287,20,FALSE)</f>
        <v>0</v>
      </c>
      <c r="X281" s="440">
        <f t="shared" si="107"/>
        <v>0</v>
      </c>
      <c r="Y281" s="440">
        <f t="shared" si="108"/>
        <v>2.67</v>
      </c>
      <c r="Z281" s="238">
        <f t="shared" si="109"/>
        <v>3978300</v>
      </c>
      <c r="AA281" s="238"/>
      <c r="AB281" s="238">
        <f t="shared" si="110"/>
        <v>0</v>
      </c>
      <c r="AC281" s="238">
        <f t="shared" si="121"/>
        <v>0</v>
      </c>
      <c r="AD281" s="238">
        <f t="shared" si="111"/>
        <v>3978300</v>
      </c>
      <c r="AE281" s="225">
        <f t="shared" si="102"/>
        <v>318264</v>
      </c>
      <c r="AF281" s="225">
        <f t="shared" si="103"/>
        <v>59674.5</v>
      </c>
      <c r="AG281" s="225">
        <f t="shared" si="104"/>
        <v>39783</v>
      </c>
      <c r="AH281" s="225"/>
      <c r="AI281" s="225">
        <f t="shared" si="112"/>
        <v>417721.5</v>
      </c>
      <c r="AJ281" s="487"/>
      <c r="AK281" s="488">
        <f t="shared" si="113"/>
        <v>0</v>
      </c>
      <c r="AL281" s="488"/>
      <c r="AM281" s="488"/>
      <c r="AN281" s="489">
        <f t="shared" si="117"/>
        <v>2.67</v>
      </c>
      <c r="AO281" s="439"/>
      <c r="AP281" s="442">
        <f t="shared" si="114"/>
        <v>0</v>
      </c>
      <c r="AQ281" s="225">
        <f t="shared" si="116"/>
        <v>0</v>
      </c>
      <c r="AR281" s="592"/>
      <c r="AS281" s="225">
        <f t="shared" si="119"/>
        <v>3560579</v>
      </c>
      <c r="AT281" s="470" t="str">
        <f t="shared" si="122"/>
        <v>263</v>
      </c>
      <c r="AU281" s="542"/>
      <c r="AV281" s="196"/>
      <c r="AW281" s="29"/>
      <c r="AX281" s="29"/>
      <c r="AY281" s="29"/>
      <c r="AZ281" s="29"/>
      <c r="BA281" s="29"/>
      <c r="BB281" s="29"/>
      <c r="BC281" s="29"/>
      <c r="BD281" s="29"/>
      <c r="BE281" s="29"/>
      <c r="BF281" s="29"/>
    </row>
    <row r="282" spans="1:58" s="191" customFormat="1" ht="30.75" customHeight="1" x14ac:dyDescent="0.25">
      <c r="A282" s="571"/>
      <c r="B282" s="571"/>
      <c r="C282" s="572"/>
      <c r="D282" s="573" t="s">
        <v>1417</v>
      </c>
      <c r="E282" s="574"/>
      <c r="F282" s="575"/>
      <c r="G282" s="576"/>
      <c r="H282" s="575"/>
      <c r="I282" s="575"/>
      <c r="J282" s="575"/>
      <c r="K282" s="577"/>
      <c r="L282" s="578"/>
      <c r="M282" s="578"/>
      <c r="N282" s="579"/>
      <c r="O282" s="577"/>
      <c r="P282" s="577"/>
      <c r="Q282" s="580">
        <f t="shared" ref="Q282:Z282" si="123">SUM(Q103:Q281)</f>
        <v>581.94999999999948</v>
      </c>
      <c r="R282" s="580">
        <f t="shared" si="123"/>
        <v>50.656699999999987</v>
      </c>
      <c r="S282" s="580">
        <f t="shared" si="123"/>
        <v>0</v>
      </c>
      <c r="T282" s="580">
        <f t="shared" si="123"/>
        <v>0</v>
      </c>
      <c r="U282" s="580">
        <f t="shared" si="123"/>
        <v>0</v>
      </c>
      <c r="V282" s="580">
        <f t="shared" si="123"/>
        <v>10.749999999999996</v>
      </c>
      <c r="W282" s="580">
        <f t="shared" si="123"/>
        <v>11.259999999999998</v>
      </c>
      <c r="X282" s="581">
        <f t="shared" si="123"/>
        <v>40.360299999999974</v>
      </c>
      <c r="Y282" s="581">
        <f t="shared" si="123"/>
        <v>633.06029999999987</v>
      </c>
      <c r="Z282" s="582">
        <f t="shared" si="123"/>
        <v>943259847</v>
      </c>
      <c r="AA282" s="582">
        <f>SUM(AA89:AA281)</f>
        <v>24</v>
      </c>
      <c r="AB282" s="582">
        <f t="shared" ref="AB282:AM282" si="124">SUM(AB103:AB281)</f>
        <v>3665400</v>
      </c>
      <c r="AC282" s="582">
        <f t="shared" si="124"/>
        <v>0</v>
      </c>
      <c r="AD282" s="582">
        <f t="shared" si="124"/>
        <v>939594447</v>
      </c>
      <c r="AE282" s="582">
        <f t="shared" si="124"/>
        <v>75167555.76000005</v>
      </c>
      <c r="AF282" s="582">
        <f t="shared" si="124"/>
        <v>14093916.705000004</v>
      </c>
      <c r="AG282" s="582">
        <f t="shared" si="124"/>
        <v>9395944.4700000063</v>
      </c>
      <c r="AH282" s="582">
        <f t="shared" si="124"/>
        <v>0</v>
      </c>
      <c r="AI282" s="582">
        <f t="shared" si="124"/>
        <v>98657416.934999928</v>
      </c>
      <c r="AJ282" s="583">
        <f t="shared" si="124"/>
        <v>0.75</v>
      </c>
      <c r="AK282" s="582">
        <f t="shared" si="124"/>
        <v>1117500</v>
      </c>
      <c r="AL282" s="582">
        <f t="shared" si="124"/>
        <v>0</v>
      </c>
      <c r="AM282" s="582">
        <f t="shared" si="124"/>
        <v>0</v>
      </c>
      <c r="AN282" s="582" t="e">
        <f>SUM(AN89:AN281)</f>
        <v>#REF!</v>
      </c>
      <c r="AO282" s="582" t="e">
        <f>SUM(AO89:AO281)</f>
        <v>#REF!</v>
      </c>
      <c r="AP282" s="584">
        <f>SUM(AP103:AP281)</f>
        <v>118.56749999999998</v>
      </c>
      <c r="AQ282" s="582">
        <f>SUM(AQ103:AQ281)</f>
        <v>176665575</v>
      </c>
      <c r="AR282" s="582" t="e">
        <f>SUM(AR89:AR281)</f>
        <v>#REF!</v>
      </c>
      <c r="AS282" s="582">
        <f>SUM(AS103:AS281)-22</f>
        <v>1018720105</v>
      </c>
      <c r="AT282" s="585"/>
      <c r="AU282" s="586"/>
      <c r="AV282" s="218"/>
      <c r="AW282" s="552"/>
      <c r="AX282" s="552"/>
      <c r="AY282" s="552"/>
      <c r="AZ282" s="552"/>
      <c r="BA282" s="552"/>
      <c r="BB282" s="552"/>
      <c r="BC282" s="552"/>
      <c r="BD282" s="552"/>
      <c r="BE282" s="552"/>
      <c r="BF282" s="552"/>
    </row>
    <row r="283" spans="1:58" s="99" customFormat="1" ht="22.5" customHeight="1" x14ac:dyDescent="0.25">
      <c r="A283" s="31"/>
      <c r="B283" s="31"/>
      <c r="C283" s="481"/>
      <c r="D283" s="118" t="s">
        <v>26</v>
      </c>
      <c r="E283" s="265"/>
      <c r="F283" s="118"/>
      <c r="G283" s="118">
        <f>COUNTIF(G103:G282,"x")</f>
        <v>72</v>
      </c>
      <c r="H283" s="118"/>
      <c r="I283" s="118"/>
      <c r="J283" s="118"/>
      <c r="K283" s="118"/>
      <c r="L283" s="119"/>
      <c r="M283" s="119"/>
      <c r="N283" s="394"/>
      <c r="O283" s="120"/>
      <c r="P283" s="103"/>
      <c r="Q283" s="414">
        <f>Q87+Q100+Q282</f>
        <v>947.15899999999931</v>
      </c>
      <c r="R283" s="415"/>
      <c r="S283" s="416"/>
      <c r="T283" s="417">
        <f>T282+T100+T87</f>
        <v>9.0572999999999979</v>
      </c>
      <c r="U283" s="380" t="e">
        <f>U87+U100+#REF!</f>
        <v>#REF!</v>
      </c>
      <c r="V283" s="410">
        <f>V87+V100+V282</f>
        <v>22.599999999999994</v>
      </c>
      <c r="W283" s="380"/>
      <c r="X283" s="413">
        <f>X87+X100+X282</f>
        <v>103.59679999999997</v>
      </c>
      <c r="Y283" s="409">
        <f>Y87+Y100+Y282</f>
        <v>1082.4130999999998</v>
      </c>
      <c r="Z283" s="315">
        <f>Z87+Z100+Z282</f>
        <v>1612795519</v>
      </c>
      <c r="AA283" s="411"/>
      <c r="AB283" s="380">
        <f>AB87+AB100+AB282</f>
        <v>5210952.166666667</v>
      </c>
      <c r="AC283" s="411"/>
      <c r="AD283" s="315">
        <f>AD87+AD100+AD282</f>
        <v>1607584567</v>
      </c>
      <c r="AE283" s="380">
        <f>AE87+AE100+AE282</f>
        <v>128730409.52000004</v>
      </c>
      <c r="AF283" s="380">
        <f>AF87+AF100+AF282</f>
        <v>24136951.785000004</v>
      </c>
      <c r="AG283" s="380">
        <f>AG87+AG100+AG282</f>
        <v>16091301.190000005</v>
      </c>
      <c r="AH283" s="380">
        <f>AH87+AH100+AH282</f>
        <v>0</v>
      </c>
      <c r="AI283" s="380">
        <f>AI87+AI100+AI282+1</f>
        <v>168958663.49499995</v>
      </c>
      <c r="AJ283" s="412">
        <f>AJ87+AJ100+AJ282</f>
        <v>2.75</v>
      </c>
      <c r="AK283" s="380">
        <f>AK87+AK100+AK282</f>
        <v>4097500</v>
      </c>
      <c r="AL283" s="412">
        <f>AL87+AL100+AL282</f>
        <v>0</v>
      </c>
      <c r="AM283" s="380">
        <f>AM87+AM100+AM282</f>
        <v>0</v>
      </c>
      <c r="AN283" s="499" t="e">
        <f>AN87+AN100+#REF!</f>
        <v>#REF!</v>
      </c>
      <c r="AO283" s="411" t="e">
        <f>AO87+AO100+#REF!</f>
        <v>#REF!</v>
      </c>
      <c r="AP283" s="409">
        <f>AP87+AP100+AP282</f>
        <v>204.17029999999994</v>
      </c>
      <c r="AQ283" s="380">
        <f>AQ87+AQ100+AQ282</f>
        <v>304213747</v>
      </c>
      <c r="AR283" s="380" t="e">
        <f>AR87+AR100+#REF!</f>
        <v>#REF!</v>
      </c>
      <c r="AS283" s="380">
        <f>AS87+AS100+AS282</f>
        <v>1746937151</v>
      </c>
      <c r="AT283" s="156"/>
      <c r="AU283" s="145"/>
      <c r="AV283" s="123"/>
      <c r="AW283" s="29"/>
      <c r="AX283" s="29"/>
      <c r="AY283" s="29"/>
      <c r="AZ283" s="29"/>
      <c r="BA283" s="29"/>
      <c r="BB283" s="29"/>
      <c r="BC283" s="29"/>
      <c r="BD283" s="29"/>
      <c r="BE283" s="29"/>
      <c r="BF283" s="29"/>
    </row>
    <row r="284" spans="1:58" s="23" customFormat="1" ht="10.5" customHeight="1" x14ac:dyDescent="0.25">
      <c r="A284" s="16"/>
      <c r="B284" s="16"/>
      <c r="C284" s="482"/>
      <c r="D284" s="17"/>
      <c r="E284" s="266"/>
      <c r="F284" s="17"/>
      <c r="G284" s="62"/>
      <c r="H284" s="62"/>
      <c r="I284" s="62"/>
      <c r="J284" s="17"/>
      <c r="K284" s="62"/>
      <c r="L284" s="17"/>
      <c r="M284" s="17"/>
      <c r="N284" s="424" t="s">
        <v>52</v>
      </c>
      <c r="O284" s="18"/>
      <c r="P284" s="16"/>
      <c r="Q284" s="19"/>
      <c r="R284" s="338"/>
      <c r="S284" s="354"/>
      <c r="T284" s="21"/>
      <c r="U284" s="20"/>
      <c r="V284" s="16"/>
      <c r="W284" s="138"/>
      <c r="X284" s="22"/>
      <c r="Y284" s="22"/>
      <c r="Z284" s="38"/>
      <c r="AA284" s="38"/>
      <c r="AB284" s="38"/>
      <c r="AC284" s="38"/>
      <c r="AD284" s="38"/>
      <c r="AE284" s="22"/>
      <c r="AF284" s="22"/>
      <c r="AG284" s="22"/>
      <c r="AH284" s="22"/>
      <c r="AI284" s="22"/>
      <c r="AK284" s="22"/>
      <c r="AL284" s="22"/>
      <c r="AM284" s="22"/>
      <c r="AN284" s="500"/>
      <c r="AO284" s="646"/>
      <c r="AP284" s="45"/>
      <c r="AQ284" s="22"/>
      <c r="AR284" s="24"/>
      <c r="AS284" s="24"/>
      <c r="AU284" s="70"/>
      <c r="AV284" s="70"/>
    </row>
    <row r="285" spans="1:58" s="314" customFormat="1" ht="57" customHeight="1" x14ac:dyDescent="0.2">
      <c r="A285" s="308"/>
      <c r="B285" s="308"/>
      <c r="C285" s="306"/>
      <c r="D285" s="265" t="s">
        <v>721</v>
      </c>
      <c r="E285" s="265" t="s">
        <v>722</v>
      </c>
      <c r="F285" s="265"/>
      <c r="G285" s="132" t="s">
        <v>280</v>
      </c>
      <c r="H285" s="132"/>
      <c r="I285" s="132">
        <f>COUNTIF(I$13:I$282,"QL")</f>
        <v>6</v>
      </c>
      <c r="J285" s="132" t="s">
        <v>548</v>
      </c>
      <c r="K285" s="132"/>
      <c r="L285" s="118"/>
      <c r="M285" s="118"/>
      <c r="N285" s="394" t="s">
        <v>53</v>
      </c>
      <c r="O285" s="309" t="s">
        <v>722</v>
      </c>
      <c r="P285" s="310" t="s">
        <v>22</v>
      </c>
      <c r="Q285" s="311" t="s">
        <v>1066</v>
      </c>
      <c r="R285" s="339" t="s">
        <v>1067</v>
      </c>
      <c r="S285" s="355" t="s">
        <v>57</v>
      </c>
      <c r="T285" s="310" t="s">
        <v>1068</v>
      </c>
      <c r="U285" s="122" t="s">
        <v>723</v>
      </c>
      <c r="V285" s="310" t="s">
        <v>1069</v>
      </c>
      <c r="W285" s="140" t="s">
        <v>690</v>
      </c>
      <c r="X285" s="121" t="s">
        <v>1070</v>
      </c>
      <c r="Y285" s="121" t="s">
        <v>827</v>
      </c>
      <c r="Z285" s="121" t="s">
        <v>718</v>
      </c>
      <c r="AA285" s="121"/>
      <c r="AB285" s="121" t="s">
        <v>1058</v>
      </c>
      <c r="AC285" s="121" t="s">
        <v>1059</v>
      </c>
      <c r="AD285" s="121" t="s">
        <v>1060</v>
      </c>
      <c r="AE285" s="121" t="s">
        <v>694</v>
      </c>
      <c r="AF285" s="121" t="s">
        <v>695</v>
      </c>
      <c r="AG285" s="121" t="s">
        <v>522</v>
      </c>
      <c r="AH285" s="121" t="s">
        <v>831</v>
      </c>
      <c r="AI285" s="121" t="s">
        <v>1065</v>
      </c>
      <c r="AJ285" s="310" t="s">
        <v>693</v>
      </c>
      <c r="AK285" s="121" t="s">
        <v>1111</v>
      </c>
      <c r="AL285" s="310" t="s">
        <v>693</v>
      </c>
      <c r="AM285" s="121" t="s">
        <v>1112</v>
      </c>
      <c r="AN285" s="791"/>
      <c r="AO285" s="140"/>
      <c r="AP285" s="312" t="s">
        <v>1110</v>
      </c>
      <c r="AQ285" s="121" t="s">
        <v>547</v>
      </c>
      <c r="AR285" s="122" t="s">
        <v>555</v>
      </c>
      <c r="AS285" s="121" t="s">
        <v>1071</v>
      </c>
      <c r="AT285" s="313"/>
      <c r="AU285" s="70"/>
      <c r="AV285" s="70"/>
      <c r="AW285" s="554"/>
      <c r="AX285" s="554"/>
      <c r="AY285" s="554"/>
      <c r="AZ285" s="554"/>
      <c r="BA285" s="554"/>
      <c r="BB285" s="554"/>
      <c r="BC285" s="554"/>
      <c r="BD285" s="554"/>
      <c r="BE285" s="554"/>
      <c r="BF285" s="554"/>
    </row>
    <row r="286" spans="1:58" ht="26.25" customHeight="1" x14ac:dyDescent="0.25">
      <c r="A286" s="16"/>
      <c r="B286" s="16"/>
      <c r="C286" s="306"/>
      <c r="D286" s="3" t="s">
        <v>724</v>
      </c>
      <c r="E286" s="267">
        <v>73</v>
      </c>
      <c r="F286" s="3"/>
      <c r="G286" s="25" t="s">
        <v>281</v>
      </c>
      <c r="H286" s="25"/>
      <c r="I286" s="50">
        <f>COUNTIF(I$13:I$282,"PPK")</f>
        <v>8</v>
      </c>
      <c r="J286" s="25"/>
      <c r="K286" s="25"/>
      <c r="L286" s="25"/>
      <c r="M286" s="25"/>
      <c r="N286" s="395">
        <v>25</v>
      </c>
      <c r="O286" s="36">
        <v>105</v>
      </c>
      <c r="P286" s="25">
        <v>40</v>
      </c>
      <c r="Q286" s="322">
        <f t="shared" ref="Q286:Z286" si="125">Q87</f>
        <v>341.92999999999984</v>
      </c>
      <c r="R286" s="340">
        <f t="shared" si="125"/>
        <v>84.143799999999985</v>
      </c>
      <c r="S286" s="356">
        <f t="shared" si="125"/>
        <v>9.0572999999999979</v>
      </c>
      <c r="T286" s="323">
        <f t="shared" si="125"/>
        <v>9.0572999999999979</v>
      </c>
      <c r="U286" s="15">
        <f t="shared" si="125"/>
        <v>13495377.000000002</v>
      </c>
      <c r="V286" s="319">
        <f t="shared" si="125"/>
        <v>11.849999999999996</v>
      </c>
      <c r="W286" s="33">
        <f t="shared" si="125"/>
        <v>0</v>
      </c>
      <c r="X286" s="368">
        <f t="shared" si="125"/>
        <v>63.236500000000007</v>
      </c>
      <c r="Y286" s="368">
        <f t="shared" si="125"/>
        <v>426.07379999999989</v>
      </c>
      <c r="Z286" s="318">
        <f t="shared" si="125"/>
        <v>634849962</v>
      </c>
      <c r="AA286" s="33"/>
      <c r="AB286" s="318">
        <f t="shared" ref="AB286:AM286" si="126">AB87</f>
        <v>1545552.1666666667</v>
      </c>
      <c r="AC286" s="319">
        <f t="shared" si="126"/>
        <v>0</v>
      </c>
      <c r="AD286" s="318">
        <f t="shared" si="126"/>
        <v>633304410</v>
      </c>
      <c r="AE286" s="49">
        <f t="shared" si="126"/>
        <v>50787996.959999993</v>
      </c>
      <c r="AF286" s="49">
        <f t="shared" si="126"/>
        <v>9522749.4300000016</v>
      </c>
      <c r="AG286" s="49">
        <f t="shared" si="126"/>
        <v>6348499.6199999992</v>
      </c>
      <c r="AH286" s="73">
        <f t="shared" si="126"/>
        <v>0</v>
      </c>
      <c r="AI286" s="49">
        <f t="shared" si="126"/>
        <v>66659246.01000002</v>
      </c>
      <c r="AJ286" s="73">
        <f t="shared" si="126"/>
        <v>2</v>
      </c>
      <c r="AK286" s="49">
        <f t="shared" si="126"/>
        <v>2980000</v>
      </c>
      <c r="AL286" s="73">
        <f t="shared" si="126"/>
        <v>0</v>
      </c>
      <c r="AM286" s="49">
        <f t="shared" si="126"/>
        <v>0</v>
      </c>
      <c r="AN286" s="501">
        <f>SUM(AN15:AN86)</f>
        <v>350.58289999999988</v>
      </c>
      <c r="AO286" s="642"/>
      <c r="AP286" s="321">
        <f>SUM(AP14:AP86)</f>
        <v>80.27979999999998</v>
      </c>
      <c r="AQ286" s="49">
        <f>AQ87</f>
        <v>119616902</v>
      </c>
      <c r="AR286" s="48"/>
      <c r="AS286" s="15">
        <f>AS87</f>
        <v>689242066</v>
      </c>
      <c r="AT286" s="26"/>
      <c r="AU286" s="254"/>
      <c r="AV286" s="70"/>
    </row>
    <row r="287" spans="1:58" ht="26.25" customHeight="1" x14ac:dyDescent="0.25">
      <c r="A287" s="16"/>
      <c r="B287" s="16"/>
      <c r="C287" s="306"/>
      <c r="D287" s="3" t="s">
        <v>725</v>
      </c>
      <c r="E287" s="267">
        <v>9</v>
      </c>
      <c r="F287" s="3"/>
      <c r="G287" s="25" t="s">
        <v>282</v>
      </c>
      <c r="H287" s="25"/>
      <c r="I287" s="50">
        <f>COUNTIF(I$13:I$282,"TT")</f>
        <v>12</v>
      </c>
      <c r="J287" s="25"/>
      <c r="K287" s="25"/>
      <c r="L287" s="25"/>
      <c r="M287" s="25"/>
      <c r="N287" s="395">
        <v>4</v>
      </c>
      <c r="O287" s="35">
        <v>12</v>
      </c>
      <c r="P287" s="25">
        <v>9</v>
      </c>
      <c r="Q287" s="324">
        <f t="shared" ref="Q287:Z287" si="127">Q100</f>
        <v>23.279000000000007</v>
      </c>
      <c r="R287" s="340">
        <f t="shared" si="127"/>
        <v>0</v>
      </c>
      <c r="S287" s="356">
        <f t="shared" si="127"/>
        <v>0</v>
      </c>
      <c r="T287" s="325">
        <f t="shared" si="127"/>
        <v>0</v>
      </c>
      <c r="U287" s="15">
        <f t="shared" si="127"/>
        <v>0</v>
      </c>
      <c r="V287" s="319">
        <f t="shared" si="127"/>
        <v>0</v>
      </c>
      <c r="W287" s="33">
        <f t="shared" si="127"/>
        <v>0</v>
      </c>
      <c r="X287" s="368">
        <f t="shared" si="127"/>
        <v>0</v>
      </c>
      <c r="Y287" s="368">
        <f t="shared" si="127"/>
        <v>23.279000000000007</v>
      </c>
      <c r="Z287" s="318">
        <f t="shared" si="127"/>
        <v>34685710</v>
      </c>
      <c r="AA287" s="33"/>
      <c r="AB287" s="318">
        <f t="shared" ref="AB287:AG287" si="128">AB100</f>
        <v>0</v>
      </c>
      <c r="AC287" s="319">
        <f t="shared" si="128"/>
        <v>0</v>
      </c>
      <c r="AD287" s="318">
        <f t="shared" si="128"/>
        <v>34685710</v>
      </c>
      <c r="AE287" s="49">
        <f t="shared" si="128"/>
        <v>2774856.8</v>
      </c>
      <c r="AF287" s="49">
        <f t="shared" si="128"/>
        <v>520285.65000000014</v>
      </c>
      <c r="AG287" s="49">
        <f t="shared" si="128"/>
        <v>346857.1</v>
      </c>
      <c r="AH287" s="73">
        <f>AH88</f>
        <v>0</v>
      </c>
      <c r="AI287" s="49">
        <f t="shared" ref="AI287:AS287" si="129">AI100</f>
        <v>3641999.5499999993</v>
      </c>
      <c r="AJ287" s="73">
        <f t="shared" si="129"/>
        <v>0</v>
      </c>
      <c r="AK287" s="49">
        <f t="shared" si="129"/>
        <v>0</v>
      </c>
      <c r="AL287" s="73">
        <f t="shared" si="129"/>
        <v>0</v>
      </c>
      <c r="AM287" s="49">
        <f t="shared" si="129"/>
        <v>0</v>
      </c>
      <c r="AN287" s="501" t="e">
        <f t="shared" si="129"/>
        <v>#REF!</v>
      </c>
      <c r="AO287" s="643" t="e">
        <f t="shared" si="129"/>
        <v>#REF!</v>
      </c>
      <c r="AP287" s="320">
        <f t="shared" si="129"/>
        <v>5.3230000000000004</v>
      </c>
      <c r="AQ287" s="49">
        <f t="shared" si="129"/>
        <v>7931270</v>
      </c>
      <c r="AR287" s="49" t="e">
        <f t="shared" si="129"/>
        <v>#REF!</v>
      </c>
      <c r="AS287" s="49">
        <f t="shared" si="129"/>
        <v>38974980</v>
      </c>
      <c r="AT287" s="26"/>
      <c r="AU287" s="254"/>
      <c r="AV287" s="70"/>
    </row>
    <row r="288" spans="1:58" ht="26.25" customHeight="1" x14ac:dyDescent="0.25">
      <c r="A288" s="16"/>
      <c r="B288" s="16"/>
      <c r="C288" s="306"/>
      <c r="D288" s="3" t="s">
        <v>726</v>
      </c>
      <c r="E288" s="267">
        <v>181</v>
      </c>
      <c r="F288" s="3"/>
      <c r="G288" s="25"/>
      <c r="H288" s="25"/>
      <c r="I288" s="50"/>
      <c r="J288" s="25"/>
      <c r="K288" s="25"/>
      <c r="L288" s="25"/>
      <c r="M288" s="25"/>
      <c r="N288" s="395">
        <v>82</v>
      </c>
      <c r="O288" s="35"/>
      <c r="P288" s="25"/>
      <c r="Q288" s="324">
        <f>Q282</f>
        <v>581.94999999999948</v>
      </c>
      <c r="R288" s="340"/>
      <c r="S288" s="356"/>
      <c r="T288" s="325">
        <f>T282</f>
        <v>0</v>
      </c>
      <c r="U288" s="15"/>
      <c r="V288" s="319">
        <f>V282</f>
        <v>10.749999999999996</v>
      </c>
      <c r="W288" s="33">
        <f>W282</f>
        <v>11.259999999999998</v>
      </c>
      <c r="X288" s="368">
        <f t="shared" ref="X288:Z289" si="130">X282</f>
        <v>40.360299999999974</v>
      </c>
      <c r="Y288" s="368">
        <f t="shared" si="130"/>
        <v>633.06029999999987</v>
      </c>
      <c r="Z288" s="318">
        <f t="shared" si="130"/>
        <v>943259847</v>
      </c>
      <c r="AA288" s="33" t="e">
        <f>#REF!</f>
        <v>#REF!</v>
      </c>
      <c r="AB288" s="318">
        <f t="shared" ref="AB288:AM289" si="131">AB282</f>
        <v>3665400</v>
      </c>
      <c r="AC288" s="319">
        <f t="shared" si="131"/>
        <v>0</v>
      </c>
      <c r="AD288" s="318">
        <f t="shared" si="131"/>
        <v>939594447</v>
      </c>
      <c r="AE288" s="49">
        <f t="shared" si="131"/>
        <v>75167555.76000005</v>
      </c>
      <c r="AF288" s="49">
        <f t="shared" si="131"/>
        <v>14093916.705000004</v>
      </c>
      <c r="AG288" s="49">
        <f t="shared" si="131"/>
        <v>9395944.4700000063</v>
      </c>
      <c r="AH288" s="73">
        <f t="shared" si="131"/>
        <v>0</v>
      </c>
      <c r="AI288" s="49">
        <f t="shared" si="131"/>
        <v>98657416.934999928</v>
      </c>
      <c r="AJ288" s="73">
        <f t="shared" si="131"/>
        <v>0.75</v>
      </c>
      <c r="AK288" s="49">
        <f t="shared" si="131"/>
        <v>1117500</v>
      </c>
      <c r="AL288" s="73">
        <f t="shared" si="131"/>
        <v>0</v>
      </c>
      <c r="AM288" s="49">
        <f t="shared" si="131"/>
        <v>0</v>
      </c>
      <c r="AN288" s="501"/>
      <c r="AO288" s="643"/>
      <c r="AP288" s="320">
        <f>AP282</f>
        <v>118.56749999999998</v>
      </c>
      <c r="AQ288" s="49">
        <f>AQ282</f>
        <v>176665575</v>
      </c>
      <c r="AR288" s="49"/>
      <c r="AS288" s="49">
        <f>AS282</f>
        <v>1018720105</v>
      </c>
      <c r="AT288" s="26"/>
      <c r="AU288" s="254"/>
      <c r="AV288" s="70"/>
    </row>
    <row r="289" spans="1:48" ht="26.25" customHeight="1" x14ac:dyDescent="0.25">
      <c r="C289" s="306"/>
      <c r="D289" s="3" t="s">
        <v>26</v>
      </c>
      <c r="E289" s="267">
        <f>SUM(E286:E288)</f>
        <v>263</v>
      </c>
      <c r="F289" s="3"/>
      <c r="G289" s="25" t="s">
        <v>284</v>
      </c>
      <c r="H289" s="25"/>
      <c r="I289" s="50">
        <f>COUNTIF(I$13:I$282,"NV")</f>
        <v>35</v>
      </c>
      <c r="J289" s="50">
        <f>SUM(I285:I289)</f>
        <v>61</v>
      </c>
      <c r="K289" s="50"/>
      <c r="L289" s="3"/>
      <c r="M289" s="3"/>
      <c r="N289" s="396">
        <f>SUM(N286:N288)</f>
        <v>111</v>
      </c>
      <c r="O289" s="37" t="e">
        <f>O286+O287+#REF!</f>
        <v>#REF!</v>
      </c>
      <c r="P289" s="37" t="e">
        <f>P286+P287+#REF!</f>
        <v>#REF!</v>
      </c>
      <c r="Q289" s="53">
        <f>Q283</f>
        <v>947.15899999999931</v>
      </c>
      <c r="R289" s="341" t="e">
        <f>R286+R287+#REF!</f>
        <v>#REF!</v>
      </c>
      <c r="S289" s="357" t="e">
        <f>S286+S287+#REF!</f>
        <v>#REF!</v>
      </c>
      <c r="T289" s="366">
        <f>T283</f>
        <v>9.0572999999999979</v>
      </c>
      <c r="U289" s="27" t="e">
        <f>U286+U287+#REF!</f>
        <v>#REF!</v>
      </c>
      <c r="V289" s="74">
        <f>V283</f>
        <v>22.599999999999994</v>
      </c>
      <c r="W289" s="32">
        <f>W283</f>
        <v>0</v>
      </c>
      <c r="X289" s="369">
        <f t="shared" si="130"/>
        <v>103.59679999999997</v>
      </c>
      <c r="Y289" s="369">
        <f t="shared" si="130"/>
        <v>1082.4130999999998</v>
      </c>
      <c r="Z289" s="305">
        <f t="shared" si="130"/>
        <v>1612795519</v>
      </c>
      <c r="AA289" s="32"/>
      <c r="AB289" s="305">
        <f t="shared" si="131"/>
        <v>5210952.166666667</v>
      </c>
      <c r="AC289" s="557">
        <f t="shared" si="131"/>
        <v>0</v>
      </c>
      <c r="AD289" s="305">
        <f t="shared" si="131"/>
        <v>1607584567</v>
      </c>
      <c r="AE289" s="558">
        <f t="shared" si="131"/>
        <v>128730409.52000004</v>
      </c>
      <c r="AF289" s="558">
        <f t="shared" si="131"/>
        <v>24136951.785000004</v>
      </c>
      <c r="AG289" s="558">
        <f t="shared" si="131"/>
        <v>16091301.190000005</v>
      </c>
      <c r="AH289" s="559">
        <f t="shared" si="131"/>
        <v>0</v>
      </c>
      <c r="AI289" s="558">
        <f t="shared" si="131"/>
        <v>168958663.49499995</v>
      </c>
      <c r="AJ289" s="559">
        <f t="shared" si="131"/>
        <v>2.75</v>
      </c>
      <c r="AK289" s="558">
        <f t="shared" si="131"/>
        <v>4097500</v>
      </c>
      <c r="AL289" s="559">
        <f t="shared" si="131"/>
        <v>0</v>
      </c>
      <c r="AM289" s="558">
        <f t="shared" si="131"/>
        <v>0</v>
      </c>
      <c r="AN289" s="558" t="e">
        <f>AN286+AN287+AN288+#REF!</f>
        <v>#REF!</v>
      </c>
      <c r="AO289" s="558" t="e">
        <f>AO286+AO287+AO288+#REF!</f>
        <v>#REF!</v>
      </c>
      <c r="AP289" s="560">
        <f>AP283</f>
        <v>204.17029999999994</v>
      </c>
      <c r="AQ289" s="558">
        <f>AQ283</f>
        <v>304213747</v>
      </c>
      <c r="AR289" s="558" t="e">
        <f>AR286+AR287+AR288+#REF!</f>
        <v>#REF!</v>
      </c>
      <c r="AS289" s="558">
        <f>AS283</f>
        <v>1746937151</v>
      </c>
      <c r="AT289" s="26"/>
      <c r="AU289" s="70"/>
      <c r="AV289" s="51"/>
    </row>
    <row r="290" spans="1:48" ht="4.5" customHeight="1" x14ac:dyDescent="0.25">
      <c r="I290" s="47"/>
      <c r="AK290" s="9"/>
      <c r="AL290" s="9"/>
      <c r="AM290" s="9"/>
      <c r="AN290" s="502"/>
      <c r="AP290" s="46"/>
      <c r="AQ290" s="9"/>
      <c r="AU290" s="43"/>
      <c r="AV290" s="51"/>
    </row>
    <row r="291" spans="1:48" ht="19.5" customHeight="1" x14ac:dyDescent="0.25">
      <c r="C291" s="483"/>
      <c r="D291" s="516" t="s">
        <v>1372</v>
      </c>
      <c r="E291" s="668" t="s">
        <v>1478</v>
      </c>
      <c r="F291" s="317"/>
      <c r="G291" s="317"/>
      <c r="H291" s="317"/>
      <c r="I291" s="317"/>
      <c r="J291" s="317"/>
      <c r="K291" s="510"/>
      <c r="L291" s="317"/>
      <c r="M291" s="317"/>
      <c r="N291" s="421"/>
      <c r="O291" s="317"/>
      <c r="P291" s="317"/>
      <c r="Q291" s="317"/>
      <c r="R291" s="342"/>
      <c r="S291" s="358"/>
      <c r="T291" s="317"/>
      <c r="U291" s="317"/>
      <c r="V291" s="317"/>
      <c r="W291" s="317"/>
      <c r="X291" s="317"/>
      <c r="AO291" s="647"/>
      <c r="AU291" s="51"/>
      <c r="AV291" s="5"/>
    </row>
    <row r="292" spans="1:48" ht="6.75" customHeight="1" x14ac:dyDescent="0.25">
      <c r="G292" s="4"/>
      <c r="H292" s="4"/>
      <c r="I292" s="4"/>
      <c r="J292" s="1"/>
      <c r="K292" s="4"/>
      <c r="L292" s="1"/>
      <c r="M292" s="1"/>
      <c r="N292" s="425"/>
      <c r="P292" s="1"/>
      <c r="AU292" s="51"/>
      <c r="AV292" s="4"/>
    </row>
    <row r="293" spans="1:48" ht="15" customHeight="1" x14ac:dyDescent="0.25">
      <c r="E293" s="654"/>
      <c r="N293" s="425"/>
      <c r="AK293" s="1040" t="s">
        <v>1479</v>
      </c>
      <c r="AL293" s="1040"/>
      <c r="AM293" s="1040"/>
      <c r="AN293" s="1040"/>
      <c r="AO293" s="1040"/>
      <c r="AP293" s="1040"/>
      <c r="AQ293" s="1040"/>
      <c r="AR293" s="1040"/>
      <c r="AS293" s="1040"/>
      <c r="AT293" s="1040"/>
      <c r="AU293" s="1040"/>
      <c r="AV293" s="4"/>
    </row>
    <row r="294" spans="1:48" ht="18.75" customHeight="1" x14ac:dyDescent="0.25">
      <c r="D294" s="994" t="s">
        <v>27</v>
      </c>
      <c r="E294" s="994"/>
      <c r="F294" s="994"/>
      <c r="G294" s="994"/>
      <c r="H294" s="994"/>
      <c r="I294" s="994"/>
      <c r="J294" s="994"/>
      <c r="K294" s="994"/>
      <c r="L294" s="994"/>
      <c r="M294" s="994"/>
      <c r="N294" s="994"/>
      <c r="O294" s="994"/>
      <c r="P294" s="994"/>
      <c r="Q294" s="994"/>
      <c r="R294" s="994"/>
      <c r="V294" s="994" t="s">
        <v>1114</v>
      </c>
      <c r="W294" s="994"/>
      <c r="X294" s="994"/>
      <c r="Y294" s="994"/>
      <c r="Z294" s="994"/>
      <c r="AA294" s="994"/>
      <c r="AB294" s="994"/>
      <c r="AC294" s="994"/>
      <c r="AD294" s="994"/>
      <c r="AE294" s="994"/>
      <c r="AF294" s="8"/>
      <c r="AG294" s="8"/>
      <c r="AH294" s="8"/>
      <c r="AI294" s="8"/>
      <c r="AJ294" s="1"/>
      <c r="AK294" s="994" t="s">
        <v>176</v>
      </c>
      <c r="AL294" s="994"/>
      <c r="AM294" s="994"/>
      <c r="AN294" s="994"/>
      <c r="AO294" s="994"/>
      <c r="AP294" s="994"/>
      <c r="AQ294" s="994"/>
      <c r="AR294" s="994"/>
      <c r="AS294" s="994"/>
      <c r="AT294" s="994"/>
      <c r="AU294" s="994"/>
    </row>
    <row r="295" spans="1:48" ht="9.75" customHeight="1" x14ac:dyDescent="0.25">
      <c r="D295" s="128"/>
      <c r="E295" s="268"/>
      <c r="F295" s="128"/>
      <c r="G295" s="4"/>
      <c r="H295" s="4"/>
      <c r="I295" s="4"/>
      <c r="J295" s="4"/>
      <c r="K295" s="4"/>
      <c r="L295" s="4"/>
      <c r="M295" s="4"/>
      <c r="N295" s="260"/>
      <c r="O295" s="4"/>
      <c r="P295" s="4"/>
      <c r="Q295" s="4"/>
      <c r="R295" s="343"/>
      <c r="V295" s="4"/>
      <c r="W295" s="139"/>
      <c r="X295" s="4"/>
      <c r="Y295" s="4"/>
      <c r="Z295" s="4"/>
      <c r="AA295" s="4"/>
      <c r="AB295" s="4"/>
      <c r="AC295" s="4"/>
      <c r="AD295" s="4"/>
      <c r="AE295" s="4"/>
      <c r="AF295" s="8"/>
      <c r="AG295" s="8"/>
      <c r="AH295" s="8"/>
      <c r="AI295" s="8"/>
      <c r="AK295" s="994"/>
      <c r="AL295" s="994"/>
      <c r="AM295" s="994"/>
      <c r="AN295" s="994"/>
      <c r="AO295" s="994"/>
      <c r="AP295" s="994"/>
      <c r="AQ295" s="994"/>
      <c r="AR295" s="994"/>
      <c r="AS295" s="994"/>
      <c r="AT295" s="994"/>
      <c r="AU295" s="994"/>
    </row>
    <row r="296" spans="1:48" x14ac:dyDescent="0.25">
      <c r="S296" s="359"/>
      <c r="U296" s="34"/>
      <c r="Z296" s="10"/>
      <c r="AA296" s="10"/>
      <c r="AB296" s="10"/>
      <c r="AC296" s="10"/>
      <c r="AD296" s="10"/>
      <c r="AE296" s="28"/>
      <c r="AF296" s="8"/>
      <c r="AG296" s="8"/>
      <c r="AH296" s="8"/>
      <c r="AI296" s="8"/>
      <c r="AJ296" s="1"/>
      <c r="AK296" s="8"/>
      <c r="AL296" s="8"/>
      <c r="AM296" s="8"/>
      <c r="AN296" s="503"/>
      <c r="AO296" s="648"/>
      <c r="AP296" s="41"/>
      <c r="AQ296" s="8"/>
      <c r="AR296" s="1"/>
      <c r="AS296" s="1"/>
    </row>
    <row r="297" spans="1:48" ht="12.75" customHeight="1" x14ac:dyDescent="0.25">
      <c r="S297" s="359"/>
      <c r="U297" s="34"/>
      <c r="Z297" s="10"/>
      <c r="AA297" s="10"/>
      <c r="AB297" s="10"/>
      <c r="AC297" s="10"/>
      <c r="AD297" s="10"/>
      <c r="AE297" s="28"/>
      <c r="AF297" s="8"/>
      <c r="AG297" s="8"/>
      <c r="AH297" s="8"/>
      <c r="AI297" s="8"/>
      <c r="AJ297" s="1"/>
      <c r="AK297" s="8"/>
      <c r="AL297" s="8"/>
      <c r="AM297" s="8"/>
      <c r="AN297" s="503"/>
      <c r="AO297" s="648"/>
      <c r="AP297" s="41"/>
      <c r="AQ297" s="8"/>
      <c r="AR297" s="1"/>
      <c r="AS297" s="1"/>
    </row>
    <row r="298" spans="1:48" ht="12.75" customHeight="1" x14ac:dyDescent="0.25">
      <c r="S298" s="359"/>
      <c r="U298" s="34"/>
      <c r="Z298" s="10"/>
      <c r="AA298" s="10"/>
      <c r="AB298" s="10"/>
      <c r="AC298" s="10"/>
      <c r="AD298" s="10"/>
      <c r="AE298" s="28"/>
      <c r="AF298" s="8"/>
      <c r="AG298" s="8"/>
      <c r="AH298" s="8"/>
      <c r="AI298" s="8"/>
      <c r="AJ298" s="1"/>
      <c r="AK298" s="8"/>
      <c r="AL298" s="8"/>
      <c r="AM298" s="8"/>
      <c r="AN298" s="503"/>
      <c r="AO298" s="648"/>
      <c r="AP298" s="41"/>
      <c r="AQ298" s="8"/>
      <c r="AR298" s="1"/>
      <c r="AS298" s="1"/>
    </row>
    <row r="299" spans="1:48" x14ac:dyDescent="0.25">
      <c r="U299" s="34"/>
    </row>
    <row r="300" spans="1:48" ht="15.75" customHeight="1" x14ac:dyDescent="0.25">
      <c r="U300" s="54"/>
      <c r="AV300" s="4"/>
    </row>
    <row r="301" spans="1:48" s="1" customFormat="1" x14ac:dyDescent="0.25">
      <c r="A301" s="4"/>
      <c r="B301" s="4"/>
      <c r="C301" s="475"/>
      <c r="E301" s="260"/>
      <c r="G301" s="4"/>
      <c r="H301" s="4"/>
      <c r="I301" s="4"/>
      <c r="K301" s="4"/>
      <c r="N301" s="421"/>
      <c r="R301" s="328"/>
      <c r="S301" s="360"/>
      <c r="U301" s="8"/>
      <c r="W301" s="139"/>
      <c r="X301" s="8"/>
      <c r="Y301" s="8"/>
      <c r="Z301" s="10"/>
      <c r="AA301" s="10"/>
      <c r="AB301" s="10"/>
      <c r="AC301" s="10"/>
      <c r="AD301" s="10"/>
      <c r="AE301" s="8"/>
      <c r="AF301" s="8"/>
      <c r="AG301" s="8"/>
      <c r="AH301" s="8"/>
      <c r="AI301" s="8"/>
      <c r="AK301" s="8"/>
      <c r="AL301" s="8"/>
      <c r="AM301" s="8"/>
      <c r="AN301" s="503"/>
      <c r="AO301" s="648"/>
      <c r="AP301" s="41"/>
      <c r="AQ301" s="8"/>
      <c r="AT301" s="2"/>
      <c r="AU301" s="39"/>
      <c r="AV301" s="39"/>
    </row>
    <row r="302" spans="1:48" s="1" customFormat="1" x14ac:dyDescent="0.25">
      <c r="A302" s="4"/>
      <c r="B302" s="4"/>
      <c r="C302" s="475"/>
      <c r="D302" s="994" t="s">
        <v>1105</v>
      </c>
      <c r="E302" s="994"/>
      <c r="F302" s="994"/>
      <c r="G302" s="994"/>
      <c r="H302" s="994"/>
      <c r="I302" s="994"/>
      <c r="J302" s="994"/>
      <c r="K302" s="994"/>
      <c r="L302" s="994"/>
      <c r="M302" s="994"/>
      <c r="N302" s="994"/>
      <c r="O302" s="994"/>
      <c r="P302" s="994"/>
      <c r="Q302" s="994"/>
      <c r="R302" s="994"/>
      <c r="S302" s="360"/>
      <c r="U302" s="55"/>
      <c r="V302" s="994" t="s">
        <v>803</v>
      </c>
      <c r="W302" s="994"/>
      <c r="X302" s="994"/>
      <c r="Y302" s="994"/>
      <c r="Z302" s="994"/>
      <c r="AA302" s="994"/>
      <c r="AB302" s="994"/>
      <c r="AC302" s="994"/>
      <c r="AD302" s="994"/>
      <c r="AE302" s="994"/>
      <c r="AF302" s="8"/>
      <c r="AG302" s="8"/>
      <c r="AH302" s="8"/>
      <c r="AI302" s="8"/>
      <c r="AK302" s="994" t="s">
        <v>772</v>
      </c>
      <c r="AL302" s="994"/>
      <c r="AM302" s="994"/>
      <c r="AN302" s="994"/>
      <c r="AO302" s="994"/>
      <c r="AP302" s="994"/>
      <c r="AQ302" s="994"/>
      <c r="AR302" s="994"/>
      <c r="AS302" s="994"/>
      <c r="AT302" s="994"/>
      <c r="AU302" s="994"/>
      <c r="AV302" s="39"/>
    </row>
    <row r="303" spans="1:48" x14ac:dyDescent="0.25">
      <c r="U303" s="54"/>
    </row>
    <row r="304" spans="1:48" x14ac:dyDescent="0.25">
      <c r="U304" s="54"/>
    </row>
    <row r="305" spans="21:21" x14ac:dyDescent="0.25">
      <c r="U305" s="54"/>
    </row>
    <row r="306" spans="21:21" x14ac:dyDescent="0.25">
      <c r="U306" s="54"/>
    </row>
    <row r="307" spans="21:21" x14ac:dyDescent="0.25">
      <c r="U307" s="54"/>
    </row>
    <row r="308" spans="21:21" x14ac:dyDescent="0.25">
      <c r="U308" s="54"/>
    </row>
    <row r="309" spans="21:21" x14ac:dyDescent="0.25">
      <c r="U309" s="54"/>
    </row>
    <row r="310" spans="21:21" x14ac:dyDescent="0.25">
      <c r="U310" s="54"/>
    </row>
    <row r="311" spans="21:21" x14ac:dyDescent="0.25">
      <c r="U311" s="54"/>
    </row>
    <row r="312" spans="21:21" x14ac:dyDescent="0.25">
      <c r="U312" s="54"/>
    </row>
    <row r="313" spans="21:21" x14ac:dyDescent="0.25">
      <c r="U313" s="54"/>
    </row>
    <row r="314" spans="21:21" x14ac:dyDescent="0.25">
      <c r="U314" s="54"/>
    </row>
    <row r="315" spans="21:21" x14ac:dyDescent="0.25">
      <c r="U315" s="54"/>
    </row>
    <row r="316" spans="21:21" x14ac:dyDescent="0.25">
      <c r="U316" s="54"/>
    </row>
    <row r="317" spans="21:21" x14ac:dyDescent="0.25">
      <c r="U317" s="54"/>
    </row>
    <row r="318" spans="21:21" x14ac:dyDescent="0.25">
      <c r="U318" s="54"/>
    </row>
    <row r="319" spans="21:21" x14ac:dyDescent="0.25">
      <c r="U319" s="54"/>
    </row>
    <row r="320" spans="21:21" x14ac:dyDescent="0.25">
      <c r="U320" s="54"/>
    </row>
    <row r="321" spans="4:21" x14ac:dyDescent="0.25">
      <c r="U321" s="54"/>
    </row>
    <row r="322" spans="4:21" x14ac:dyDescent="0.25">
      <c r="U322" s="54"/>
    </row>
    <row r="323" spans="4:21" x14ac:dyDescent="0.25">
      <c r="U323" s="54"/>
    </row>
    <row r="324" spans="4:21" x14ac:dyDescent="0.25">
      <c r="U324" s="54"/>
    </row>
    <row r="325" spans="4:21" x14ac:dyDescent="0.25">
      <c r="U325" s="54"/>
    </row>
    <row r="326" spans="4:21" x14ac:dyDescent="0.25">
      <c r="U326" s="54"/>
    </row>
    <row r="327" spans="4:21" x14ac:dyDescent="0.25">
      <c r="U327" s="54"/>
    </row>
    <row r="328" spans="4:21" x14ac:dyDescent="0.25">
      <c r="U328" s="54"/>
    </row>
    <row r="329" spans="4:21" x14ac:dyDescent="0.25">
      <c r="U329" s="54"/>
    </row>
    <row r="330" spans="4:21" x14ac:dyDescent="0.25">
      <c r="U330" s="54"/>
    </row>
    <row r="331" spans="4:21" x14ac:dyDescent="0.25">
      <c r="D331" s="71"/>
      <c r="E331" s="269"/>
      <c r="F331" s="71"/>
      <c r="G331" s="5" t="s">
        <v>596</v>
      </c>
      <c r="U331" s="54"/>
    </row>
    <row r="332" spans="4:21" x14ac:dyDescent="0.25">
      <c r="U332" s="54"/>
    </row>
    <row r="333" spans="4:21" x14ac:dyDescent="0.25">
      <c r="U333" s="54"/>
    </row>
    <row r="334" spans="4:21" x14ac:dyDescent="0.25">
      <c r="U334" s="56"/>
    </row>
  </sheetData>
  <mergeCells count="50">
    <mergeCell ref="AK295:AU295"/>
    <mergeCell ref="D302:R302"/>
    <mergeCell ref="V302:AE302"/>
    <mergeCell ref="AK302:AU302"/>
    <mergeCell ref="D101:Q101"/>
    <mergeCell ref="D102:R102"/>
    <mergeCell ref="AK293:AU293"/>
    <mergeCell ref="D294:R294"/>
    <mergeCell ref="V294:AE294"/>
    <mergeCell ref="AK294:AU294"/>
    <mergeCell ref="D100:P100"/>
    <mergeCell ref="AJ9:AK9"/>
    <mergeCell ref="AL9:AM9"/>
    <mergeCell ref="AN9:AN10"/>
    <mergeCell ref="AO9:AO10"/>
    <mergeCell ref="AR9:AR10"/>
    <mergeCell ref="AS9:AS10"/>
    <mergeCell ref="AT9:AU10"/>
    <mergeCell ref="AT11:AU11"/>
    <mergeCell ref="D88:P88"/>
    <mergeCell ref="AP9:AP10"/>
    <mergeCell ref="AQ9:AQ10"/>
    <mergeCell ref="Z9:Z10"/>
    <mergeCell ref="AA9:AA10"/>
    <mergeCell ref="AB9:AB10"/>
    <mergeCell ref="AC9:AC10"/>
    <mergeCell ref="AD9:AD10"/>
    <mergeCell ref="AE9:AI9"/>
    <mergeCell ref="U4:AK5"/>
    <mergeCell ref="AQ5:AU5"/>
    <mergeCell ref="U6:AK6"/>
    <mergeCell ref="A9:A10"/>
    <mergeCell ref="C9:C10"/>
    <mergeCell ref="D9:D10"/>
    <mergeCell ref="E9:E10"/>
    <mergeCell ref="G9:G10"/>
    <mergeCell ref="J9:J10"/>
    <mergeCell ref="K9:K10"/>
    <mergeCell ref="M9:M10"/>
    <mergeCell ref="N9:N10"/>
    <mergeCell ref="O9:O10"/>
    <mergeCell ref="P9:P10"/>
    <mergeCell ref="Q9:X9"/>
    <mergeCell ref="Y9:Y10"/>
    <mergeCell ref="A1:O1"/>
    <mergeCell ref="AK1:AU1"/>
    <mergeCell ref="A2:O2"/>
    <mergeCell ref="AK2:AU2"/>
    <mergeCell ref="A3:O3"/>
    <mergeCell ref="AK3:AU3"/>
  </mergeCells>
  <pageMargins left="0.37" right="0.118110236220472" top="0.37" bottom="0.31" header="0.2" footer="0.15748031496063"/>
  <pageSetup paperSize="9" scale="48"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64"/>
  <sheetViews>
    <sheetView topLeftCell="AD10" zoomScaleNormal="100" workbookViewId="0">
      <selection activeCell="C17" sqref="A17:IV17"/>
    </sheetView>
  </sheetViews>
  <sheetFormatPr defaultColWidth="10.125" defaultRowHeight="15.75" x14ac:dyDescent="0.25"/>
  <cols>
    <col min="1" max="1" width="4.875" style="5" customWidth="1"/>
    <col min="2" max="2" width="17.5" style="5" hidden="1" customWidth="1"/>
    <col min="3" max="3" width="12.25" style="474"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5" width="5.25" style="2" hidden="1" customWidth="1"/>
    <col min="16" max="16" width="4" style="2" hidden="1" customWidth="1"/>
    <col min="17" max="17" width="7.375" style="2" customWidth="1"/>
    <col min="18" max="18" width="7.875" style="327" hidden="1" customWidth="1"/>
    <col min="19" max="19" width="7.75" style="346" hidden="1" customWidth="1"/>
    <col min="20" max="20" width="7.75" style="2" customWidth="1"/>
    <col min="21" max="21" width="9.875" style="7" hidden="1" customWidth="1"/>
    <col min="22" max="22" width="6.625" style="2" customWidth="1"/>
    <col min="23" max="23" width="6.125" style="69" hidden="1" customWidth="1"/>
    <col min="24" max="24" width="8.375" style="7" customWidth="1"/>
    <col min="25" max="25" width="10.625" style="7" customWidth="1"/>
    <col min="26" max="26" width="11.75" style="9" customWidth="1"/>
    <col min="27" max="27" width="12" style="9" hidden="1" customWidth="1"/>
    <col min="28" max="28" width="9.875" style="9" customWidth="1"/>
    <col min="29" max="29" width="5.75" style="9" customWidth="1"/>
    <col min="30" max="30" width="11.625" style="9" customWidth="1"/>
    <col min="31" max="31" width="12.5" style="7" hidden="1" customWidth="1"/>
    <col min="32" max="32" width="10.75" style="7" customWidth="1"/>
    <col min="33" max="33" width="10.375" style="7" bestFit="1" customWidth="1"/>
    <col min="34" max="34" width="10.125" style="7" customWidth="1"/>
    <col min="35" max="35" width="6.25" style="7" bestFit="1" customWidth="1"/>
    <col min="36" max="36" width="11" style="7" customWidth="1"/>
    <col min="37" max="37" width="5.375" style="2" customWidth="1"/>
    <col min="38" max="38" width="10.25" style="7" bestFit="1" customWidth="1"/>
    <col min="39" max="39" width="5.375" style="7" customWidth="1"/>
    <col min="40" max="40" width="8.75" style="7" customWidth="1"/>
    <col min="41" max="41" width="11.75" style="491" hidden="1" customWidth="1"/>
    <col min="42" max="42" width="8.875" style="65" hidden="1" customWidth="1"/>
    <col min="43" max="43" width="9" style="44" customWidth="1"/>
    <col min="44" max="44" width="11.375" style="7" customWidth="1"/>
    <col min="45" max="45" width="8.25" style="6" hidden="1" customWidth="1"/>
    <col min="46" max="46" width="8" style="2" hidden="1" customWidth="1"/>
    <col min="47" max="47" width="12.75" style="2" customWidth="1"/>
    <col min="48" max="48" width="4.125" style="2" bestFit="1" customWidth="1"/>
    <col min="49" max="49" width="18.5" style="39" customWidth="1"/>
    <col min="50" max="50" width="12.5" style="39" customWidth="1"/>
    <col min="51" max="51" width="10.125" style="7" customWidth="1"/>
    <col min="52" max="52" width="19" style="2" customWidth="1"/>
    <col min="53" max="53" width="13.25" style="2" customWidth="1"/>
    <col min="54" max="54" width="10.125" style="2"/>
    <col min="55" max="55" width="10.5" style="2" customWidth="1"/>
    <col min="56" max="16384" width="10.125" style="2"/>
  </cols>
  <sheetData>
    <row r="1" spans="1:63" x14ac:dyDescent="0.25">
      <c r="A1" s="994" t="s">
        <v>1072</v>
      </c>
      <c r="B1" s="994"/>
      <c r="C1" s="994"/>
      <c r="D1" s="994"/>
      <c r="E1" s="994"/>
      <c r="F1" s="994"/>
      <c r="G1" s="994"/>
      <c r="H1" s="994"/>
      <c r="I1" s="994"/>
      <c r="J1" s="994"/>
      <c r="K1" s="994"/>
      <c r="L1" s="994"/>
      <c r="M1" s="994"/>
      <c r="N1" s="994"/>
      <c r="O1" s="994"/>
      <c r="Q1" s="6"/>
      <c r="R1" s="326"/>
      <c r="U1" s="2"/>
      <c r="AE1" s="9"/>
      <c r="AL1" s="995" t="s">
        <v>1073</v>
      </c>
      <c r="AM1" s="995"/>
      <c r="AN1" s="995"/>
      <c r="AO1" s="995"/>
      <c r="AP1" s="995"/>
      <c r="AQ1" s="995"/>
      <c r="AR1" s="995"/>
      <c r="AS1" s="995"/>
      <c r="AT1" s="995"/>
      <c r="AU1" s="995"/>
      <c r="AV1" s="995"/>
      <c r="AW1" s="995"/>
      <c r="AX1" s="10"/>
    </row>
    <row r="2" spans="1:63" x14ac:dyDescent="0.25">
      <c r="A2" s="994" t="s">
        <v>1131</v>
      </c>
      <c r="B2" s="994"/>
      <c r="C2" s="994"/>
      <c r="D2" s="994"/>
      <c r="E2" s="994"/>
      <c r="F2" s="994"/>
      <c r="G2" s="994"/>
      <c r="H2" s="994"/>
      <c r="I2" s="994"/>
      <c r="J2" s="994"/>
      <c r="K2" s="994"/>
      <c r="L2" s="994"/>
      <c r="M2" s="994"/>
      <c r="N2" s="994"/>
      <c r="O2" s="994"/>
      <c r="Q2" s="6"/>
      <c r="R2" s="326"/>
      <c r="U2" s="2"/>
      <c r="X2" s="2"/>
      <c r="Y2" s="2"/>
      <c r="Z2" s="2"/>
      <c r="AA2" s="2"/>
      <c r="AB2" s="2"/>
      <c r="AC2" s="2"/>
      <c r="AD2" s="2"/>
      <c r="AE2" s="9"/>
      <c r="AL2" s="996" t="s">
        <v>1285</v>
      </c>
      <c r="AM2" s="996"/>
      <c r="AN2" s="996"/>
      <c r="AO2" s="996"/>
      <c r="AP2" s="996"/>
      <c r="AQ2" s="996"/>
      <c r="AR2" s="996"/>
      <c r="AS2" s="996"/>
      <c r="AT2" s="996"/>
      <c r="AU2" s="996"/>
      <c r="AV2" s="996"/>
      <c r="AW2" s="996"/>
      <c r="AX2" s="10"/>
    </row>
    <row r="3" spans="1:63" ht="18" customHeight="1" x14ac:dyDescent="0.25">
      <c r="A3" s="994" t="s">
        <v>1369</v>
      </c>
      <c r="B3" s="994"/>
      <c r="C3" s="994"/>
      <c r="D3" s="994"/>
      <c r="E3" s="994"/>
      <c r="F3" s="994"/>
      <c r="G3" s="994"/>
      <c r="H3" s="994"/>
      <c r="I3" s="994"/>
      <c r="J3" s="994"/>
      <c r="K3" s="994"/>
      <c r="L3" s="994"/>
      <c r="M3" s="994"/>
      <c r="N3" s="994"/>
      <c r="O3" s="994"/>
      <c r="Q3" s="6"/>
      <c r="R3" s="326"/>
      <c r="X3" s="9"/>
      <c r="Y3" s="9"/>
      <c r="AE3" s="9"/>
      <c r="AL3" s="996" t="s">
        <v>1286</v>
      </c>
      <c r="AM3" s="996"/>
      <c r="AN3" s="996"/>
      <c r="AO3" s="996"/>
      <c r="AP3" s="996"/>
      <c r="AQ3" s="996"/>
      <c r="AR3" s="996"/>
      <c r="AS3" s="996"/>
      <c r="AT3" s="996"/>
      <c r="AU3" s="996"/>
      <c r="AV3" s="996"/>
      <c r="AW3" s="996"/>
    </row>
    <row r="4" spans="1:63" ht="12" customHeight="1" x14ac:dyDescent="0.35">
      <c r="A4" s="72"/>
      <c r="B4" s="72"/>
      <c r="Q4" s="6"/>
      <c r="R4" s="326"/>
      <c r="U4" s="997" t="s">
        <v>1064</v>
      </c>
      <c r="V4" s="997"/>
      <c r="W4" s="997"/>
      <c r="X4" s="997"/>
      <c r="Y4" s="997"/>
      <c r="Z4" s="997"/>
      <c r="AA4" s="997"/>
      <c r="AB4" s="997"/>
      <c r="AC4" s="997"/>
      <c r="AD4" s="997"/>
      <c r="AE4" s="997"/>
      <c r="AF4" s="997"/>
      <c r="AG4" s="997"/>
      <c r="AH4" s="997"/>
      <c r="AI4" s="997"/>
      <c r="AJ4" s="997"/>
      <c r="AK4" s="997"/>
      <c r="AL4" s="997"/>
      <c r="AM4" s="385"/>
      <c r="AN4" s="385"/>
    </row>
    <row r="5" spans="1:63" ht="18.75" customHeight="1" x14ac:dyDescent="0.35">
      <c r="A5" s="11"/>
      <c r="B5" s="11"/>
      <c r="C5" s="475"/>
      <c r="D5" s="1"/>
      <c r="E5" s="260"/>
      <c r="F5" s="1"/>
      <c r="G5" s="4"/>
      <c r="H5" s="4"/>
      <c r="I5" s="4"/>
      <c r="J5" s="1"/>
      <c r="K5" s="4"/>
      <c r="L5" s="1"/>
      <c r="M5" s="1"/>
      <c r="N5" s="421"/>
      <c r="U5" s="997"/>
      <c r="V5" s="997"/>
      <c r="W5" s="997"/>
      <c r="X5" s="997"/>
      <c r="Y5" s="997"/>
      <c r="Z5" s="997"/>
      <c r="AA5" s="997"/>
      <c r="AB5" s="997"/>
      <c r="AC5" s="997"/>
      <c r="AD5" s="997"/>
      <c r="AE5" s="997"/>
      <c r="AF5" s="997"/>
      <c r="AG5" s="997"/>
      <c r="AH5" s="997"/>
      <c r="AI5" s="997"/>
      <c r="AJ5" s="997"/>
      <c r="AK5" s="997"/>
      <c r="AL5" s="997"/>
      <c r="AM5" s="385"/>
      <c r="AN5" s="385"/>
      <c r="AR5" s="998" t="s">
        <v>1074</v>
      </c>
      <c r="AS5" s="998"/>
      <c r="AT5" s="998"/>
      <c r="AU5" s="998"/>
      <c r="AV5" s="998"/>
      <c r="AW5" s="998"/>
      <c r="AX5" s="11"/>
    </row>
    <row r="6" spans="1:63" ht="19.5" customHeight="1" x14ac:dyDescent="0.3">
      <c r="A6" s="11"/>
      <c r="B6" s="11"/>
      <c r="C6" s="475"/>
      <c r="D6" s="1"/>
      <c r="E6" s="260"/>
      <c r="F6" s="1"/>
      <c r="G6" s="4"/>
      <c r="H6" s="4"/>
      <c r="I6" s="4"/>
      <c r="J6" s="1"/>
      <c r="K6" s="4"/>
      <c r="L6" s="1"/>
      <c r="M6" s="1"/>
      <c r="N6" s="421"/>
      <c r="Q6" s="1"/>
      <c r="R6" s="328"/>
      <c r="U6" s="999" t="s">
        <v>1532</v>
      </c>
      <c r="V6" s="999"/>
      <c r="W6" s="999"/>
      <c r="X6" s="999"/>
      <c r="Y6" s="999"/>
      <c r="Z6" s="999"/>
      <c r="AA6" s="999"/>
      <c r="AB6" s="999"/>
      <c r="AC6" s="999"/>
      <c r="AD6" s="999"/>
      <c r="AE6" s="999"/>
      <c r="AF6" s="999"/>
      <c r="AG6" s="999"/>
      <c r="AH6" s="999"/>
      <c r="AI6" s="999"/>
      <c r="AJ6" s="999"/>
      <c r="AK6" s="999"/>
      <c r="AL6" s="999"/>
      <c r="AM6" s="307"/>
      <c r="AN6" s="307"/>
      <c r="AR6" s="13" t="s">
        <v>1075</v>
      </c>
      <c r="AS6" s="58"/>
      <c r="AT6" s="11"/>
      <c r="AU6" s="11"/>
      <c r="AV6" s="72"/>
      <c r="AW6" s="143"/>
      <c r="AX6" s="40"/>
      <c r="AZ6" s="7" t="e">
        <f>#REF!-#REF!-#REF!-#REF!</f>
        <v>#REF!</v>
      </c>
    </row>
    <row r="7" spans="1:63" ht="15" customHeight="1" x14ac:dyDescent="0.3">
      <c r="A7" s="11"/>
      <c r="B7" s="11"/>
      <c r="C7" s="475"/>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N7" s="307"/>
      <c r="AR7" s="13" t="s">
        <v>1076</v>
      </c>
      <c r="AS7" s="58"/>
      <c r="AT7" s="11"/>
      <c r="AU7" s="11"/>
      <c r="AV7" s="72"/>
      <c r="AW7" s="143"/>
      <c r="AX7" s="40"/>
      <c r="AZ7" s="7"/>
    </row>
    <row r="8" spans="1:63" ht="9" customHeight="1" x14ac:dyDescent="0.3">
      <c r="A8" s="4"/>
      <c r="B8" s="4"/>
      <c r="C8" s="475"/>
      <c r="D8" s="64">
        <v>1490000</v>
      </c>
      <c r="E8" s="261"/>
      <c r="F8" s="64"/>
      <c r="G8" s="4"/>
      <c r="H8" s="4"/>
      <c r="I8" s="4"/>
      <c r="J8" s="1"/>
      <c r="K8" s="4"/>
      <c r="L8" s="1"/>
      <c r="M8" s="1"/>
      <c r="N8" s="421"/>
      <c r="P8" s="12"/>
      <c r="Q8" s="6"/>
      <c r="R8" s="326"/>
      <c r="V8" s="12"/>
      <c r="AE8" s="9"/>
      <c r="AZ8" s="2" t="e">
        <f>AZ6/26</f>
        <v>#REF!</v>
      </c>
    </row>
    <row r="9" spans="1:63" s="14" customFormat="1" ht="21.75" customHeight="1" x14ac:dyDescent="0.25">
      <c r="A9" s="1000" t="s">
        <v>691</v>
      </c>
      <c r="B9" s="59"/>
      <c r="C9" s="1001" t="s">
        <v>1031</v>
      </c>
      <c r="D9" s="1000" t="s">
        <v>699</v>
      </c>
      <c r="E9" s="1002" t="s">
        <v>1054</v>
      </c>
      <c r="F9" s="59"/>
      <c r="G9" s="1004" t="s">
        <v>22</v>
      </c>
      <c r="H9" s="141"/>
      <c r="I9" s="141" t="s">
        <v>285</v>
      </c>
      <c r="J9" s="1004" t="s">
        <v>178</v>
      </c>
      <c r="K9" s="1005" t="s">
        <v>1311</v>
      </c>
      <c r="L9" s="274" t="s">
        <v>69</v>
      </c>
      <c r="M9" s="1007" t="s">
        <v>1031</v>
      </c>
      <c r="N9" s="1008" t="s">
        <v>824</v>
      </c>
      <c r="O9" s="1009" t="s">
        <v>174</v>
      </c>
      <c r="P9" s="1010" t="s">
        <v>700</v>
      </c>
      <c r="Q9" s="1011" t="s">
        <v>1056</v>
      </c>
      <c r="R9" s="1012"/>
      <c r="S9" s="1012"/>
      <c r="T9" s="1012"/>
      <c r="U9" s="1012"/>
      <c r="V9" s="1012"/>
      <c r="W9" s="1012"/>
      <c r="X9" s="1012"/>
      <c r="Y9" s="1013" t="s">
        <v>827</v>
      </c>
      <c r="Z9" s="1025" t="s">
        <v>718</v>
      </c>
      <c r="AA9" s="1027" t="s">
        <v>1061</v>
      </c>
      <c r="AB9" s="1025" t="s">
        <v>828</v>
      </c>
      <c r="AC9" s="1025" t="s">
        <v>829</v>
      </c>
      <c r="AD9" s="1025" t="s">
        <v>830</v>
      </c>
      <c r="AE9" s="1024" t="s">
        <v>716</v>
      </c>
      <c r="AF9" s="1000" t="s">
        <v>717</v>
      </c>
      <c r="AG9" s="1000"/>
      <c r="AH9" s="1000"/>
      <c r="AI9" s="1000"/>
      <c r="AJ9" s="1000"/>
      <c r="AK9" s="1031" t="s">
        <v>1091</v>
      </c>
      <c r="AL9" s="1031"/>
      <c r="AM9" s="1032" t="s">
        <v>1108</v>
      </c>
      <c r="AN9" s="1033"/>
      <c r="AO9" s="1023" t="s">
        <v>678</v>
      </c>
      <c r="AP9" s="1034" t="s">
        <v>523</v>
      </c>
      <c r="AQ9" s="1023" t="s">
        <v>1092</v>
      </c>
      <c r="AR9" s="1024" t="s">
        <v>546</v>
      </c>
      <c r="AS9" s="142" t="s">
        <v>693</v>
      </c>
      <c r="AT9" s="1015" t="s">
        <v>644</v>
      </c>
      <c r="AU9" s="1016" t="s">
        <v>1032</v>
      </c>
      <c r="AV9" s="1018" t="s">
        <v>1057</v>
      </c>
      <c r="AW9" s="1018"/>
      <c r="AX9" s="85"/>
      <c r="AY9" s="152"/>
      <c r="AZ9" s="14" t="e">
        <f>AZ8*16</f>
        <v>#REF!</v>
      </c>
    </row>
    <row r="10" spans="1:63" s="14" customFormat="1" ht="36" customHeight="1" x14ac:dyDescent="0.25">
      <c r="A10" s="1000"/>
      <c r="B10" s="59"/>
      <c r="C10" s="1001"/>
      <c r="D10" s="1000"/>
      <c r="E10" s="1003"/>
      <c r="F10" s="59"/>
      <c r="G10" s="1004"/>
      <c r="H10" s="141"/>
      <c r="I10" s="141" t="s">
        <v>286</v>
      </c>
      <c r="J10" s="1004"/>
      <c r="K10" s="1006"/>
      <c r="L10" s="274" t="s">
        <v>131</v>
      </c>
      <c r="M10" s="1007"/>
      <c r="N10" s="1008"/>
      <c r="O10" s="1009"/>
      <c r="P10" s="1010"/>
      <c r="Q10" s="299" t="s">
        <v>825</v>
      </c>
      <c r="R10" s="329" t="s">
        <v>1062</v>
      </c>
      <c r="S10" s="379" t="s">
        <v>1033</v>
      </c>
      <c r="T10" s="301" t="s">
        <v>1055</v>
      </c>
      <c r="U10" s="300"/>
      <c r="V10" s="302" t="s">
        <v>1123</v>
      </c>
      <c r="W10" s="270" t="s">
        <v>1077</v>
      </c>
      <c r="X10" s="303" t="s">
        <v>826</v>
      </c>
      <c r="Y10" s="1014"/>
      <c r="Z10" s="1026"/>
      <c r="AA10" s="1028"/>
      <c r="AB10" s="1026"/>
      <c r="AC10" s="1026"/>
      <c r="AD10" s="1026"/>
      <c r="AE10" s="1024"/>
      <c r="AF10" s="60" t="s">
        <v>747</v>
      </c>
      <c r="AG10" s="60" t="s">
        <v>564</v>
      </c>
      <c r="AH10" s="57" t="s">
        <v>521</v>
      </c>
      <c r="AI10" s="57" t="s">
        <v>831</v>
      </c>
      <c r="AJ10" s="57" t="s">
        <v>716</v>
      </c>
      <c r="AK10" s="60" t="s">
        <v>719</v>
      </c>
      <c r="AL10" s="60" t="s">
        <v>718</v>
      </c>
      <c r="AM10" s="60" t="s">
        <v>719</v>
      </c>
      <c r="AN10" s="60" t="s">
        <v>718</v>
      </c>
      <c r="AO10" s="1023"/>
      <c r="AP10" s="1034"/>
      <c r="AQ10" s="1023"/>
      <c r="AR10" s="1024"/>
      <c r="AS10" s="142" t="s">
        <v>524</v>
      </c>
      <c r="AT10" s="1015"/>
      <c r="AU10" s="1017"/>
      <c r="AV10" s="1018"/>
      <c r="AW10" s="1018"/>
      <c r="AX10" s="86"/>
      <c r="AY10" s="152"/>
    </row>
    <row r="11" spans="1:63" s="14" customFormat="1" ht="24" x14ac:dyDescent="0.25">
      <c r="A11" s="275">
        <v>1</v>
      </c>
      <c r="B11" s="275"/>
      <c r="C11" s="476">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t="s">
        <v>19</v>
      </c>
      <c r="AF11" s="279">
        <v>15</v>
      </c>
      <c r="AG11" s="279">
        <v>16</v>
      </c>
      <c r="AH11" s="279">
        <v>17</v>
      </c>
      <c r="AI11" s="279">
        <v>18</v>
      </c>
      <c r="AJ11" s="382" t="s">
        <v>1101</v>
      </c>
      <c r="AK11" s="279">
        <v>20</v>
      </c>
      <c r="AL11" s="382" t="s">
        <v>1401</v>
      </c>
      <c r="AM11" s="382">
        <v>22</v>
      </c>
      <c r="AN11" s="382" t="s">
        <v>1400</v>
      </c>
      <c r="AO11" s="492" t="s">
        <v>1138</v>
      </c>
      <c r="AP11" s="330" t="s">
        <v>1138</v>
      </c>
      <c r="AQ11" s="383" t="s">
        <v>1113</v>
      </c>
      <c r="AR11" s="382" t="s">
        <v>1399</v>
      </c>
      <c r="AS11" s="330" t="s">
        <v>1138</v>
      </c>
      <c r="AT11" s="330" t="s">
        <v>1138</v>
      </c>
      <c r="AU11" s="279" t="s">
        <v>1109</v>
      </c>
      <c r="AV11" s="1019">
        <v>27</v>
      </c>
      <c r="AW11" s="1019"/>
      <c r="AX11" s="87"/>
      <c r="AY11" s="152"/>
    </row>
    <row r="12" spans="1:63" s="166" customFormat="1" ht="40.5" hidden="1" customHeight="1" x14ac:dyDescent="0.25">
      <c r="A12" s="157"/>
      <c r="B12" s="157"/>
      <c r="C12" s="477"/>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733</v>
      </c>
      <c r="AF12" s="167" t="s">
        <v>734</v>
      </c>
      <c r="AG12" s="167" t="s">
        <v>735</v>
      </c>
      <c r="AH12" s="167" t="s">
        <v>736</v>
      </c>
      <c r="AI12" s="167"/>
      <c r="AJ12" s="167"/>
      <c r="AK12" s="161"/>
      <c r="AL12" s="167" t="s">
        <v>737</v>
      </c>
      <c r="AM12" s="167"/>
      <c r="AN12" s="167"/>
      <c r="AO12" s="493"/>
      <c r="AP12" s="162"/>
      <c r="AQ12" s="271"/>
      <c r="AR12" s="247" t="s">
        <v>738</v>
      </c>
      <c r="AS12" s="163"/>
      <c r="AT12" s="161"/>
      <c r="AU12" s="161"/>
      <c r="AV12" s="272"/>
      <c r="AW12" s="273"/>
      <c r="AX12" s="164"/>
      <c r="AY12" s="165"/>
    </row>
    <row r="13" spans="1:63" s="99" customFormat="1" ht="21" customHeight="1" x14ac:dyDescent="0.25">
      <c r="A13" s="471"/>
      <c r="B13" s="506"/>
      <c r="C13" s="617"/>
      <c r="D13" s="1041" t="s">
        <v>1421</v>
      </c>
      <c r="E13" s="1041"/>
      <c r="F13" s="1041"/>
      <c r="G13" s="1041"/>
      <c r="H13" s="1041"/>
      <c r="I13" s="1041"/>
      <c r="J13" s="1041"/>
      <c r="K13" s="1041"/>
      <c r="L13" s="1041"/>
      <c r="M13" s="1041"/>
      <c r="N13" s="1041"/>
      <c r="O13" s="1041"/>
      <c r="P13" s="618"/>
      <c r="Q13" s="618"/>
      <c r="R13" s="619"/>
      <c r="S13" s="620"/>
      <c r="T13" s="621"/>
      <c r="U13" s="622"/>
      <c r="V13" s="623"/>
      <c r="W13" s="624"/>
      <c r="X13" s="624"/>
      <c r="Y13" s="624"/>
      <c r="Z13" s="625"/>
      <c r="AA13" s="625"/>
      <c r="AB13" s="625"/>
      <c r="AC13" s="625"/>
      <c r="AD13" s="625"/>
      <c r="AE13" s="626"/>
      <c r="AF13" s="626"/>
      <c r="AG13" s="626"/>
      <c r="AH13" s="626"/>
      <c r="AI13" s="626"/>
      <c r="AJ13" s="626"/>
      <c r="AK13" s="627"/>
      <c r="AL13" s="628"/>
      <c r="AM13" s="628"/>
      <c r="AN13" s="628"/>
      <c r="AO13" s="441"/>
      <c r="AP13" s="624"/>
      <c r="AQ13" s="442"/>
      <c r="AR13" s="626"/>
      <c r="AS13" s="629"/>
      <c r="AT13" s="626"/>
      <c r="AU13" s="626"/>
      <c r="AV13" s="630"/>
      <c r="AW13" s="631"/>
      <c r="AX13" s="89"/>
      <c r="AY13" s="153"/>
      <c r="AZ13" s="29"/>
      <c r="BA13" s="29"/>
      <c r="BB13" s="29"/>
      <c r="BC13" s="29"/>
      <c r="BD13" s="29"/>
      <c r="BE13" s="29"/>
      <c r="BF13" s="29"/>
      <c r="BG13" s="29"/>
      <c r="BH13" s="29"/>
      <c r="BI13" s="29"/>
      <c r="BJ13" s="29"/>
      <c r="BK13" s="29"/>
    </row>
    <row r="14" spans="1:63" s="189" customFormat="1" ht="41.25" customHeight="1" x14ac:dyDescent="0.25">
      <c r="A14" s="484" t="s">
        <v>5</v>
      </c>
      <c r="B14" s="484" t="str">
        <f>INDEX([4]DS!$C$6:$C$343,MATCH(D14,[4]DS!$B$6:$B$343,0))</f>
        <v>0016100006551003</v>
      </c>
      <c r="C14" s="609" t="s">
        <v>1026</v>
      </c>
      <c r="D14" s="524" t="s">
        <v>1236</v>
      </c>
      <c r="E14" s="521" t="s">
        <v>1262</v>
      </c>
      <c r="F14" s="524"/>
      <c r="G14" s="525" t="s">
        <v>25</v>
      </c>
      <c r="H14" s="525"/>
      <c r="I14" s="525" t="s">
        <v>284</v>
      </c>
      <c r="J14" s="524" t="s">
        <v>267</v>
      </c>
      <c r="K14" s="525" t="str">
        <f>VLOOKUP(D14,[2]T3!$B$2:$D$328,3,FALSE)</f>
        <v>024834589</v>
      </c>
      <c r="L14" s="610" t="s">
        <v>125</v>
      </c>
      <c r="M14" s="610" t="s">
        <v>1026</v>
      </c>
      <c r="N14" s="611" t="s">
        <v>41</v>
      </c>
      <c r="O14" s="612" t="s">
        <v>2</v>
      </c>
      <c r="P14" s="613">
        <v>6</v>
      </c>
      <c r="Q14" s="614">
        <v>2.58</v>
      </c>
      <c r="R14" s="463">
        <f>T14+V14+X14</f>
        <v>0</v>
      </c>
      <c r="S14" s="615"/>
      <c r="T14" s="463">
        <f>ROUND(Q14*S14/100,4)</f>
        <v>0</v>
      </c>
      <c r="U14" s="529">
        <f>Q14*S14*$D$8/100</f>
        <v>0</v>
      </c>
      <c r="V14" s="525"/>
      <c r="W14" s="530"/>
      <c r="X14" s="531">
        <f>ROUND((Q14+T14+V14)*W14,4)</f>
        <v>0</v>
      </c>
      <c r="Y14" s="531">
        <f>Q14+T14+V14+X14</f>
        <v>2.58</v>
      </c>
      <c r="Z14" s="532">
        <f>ROUND(Y14*$D$8,0)</f>
        <v>3844200</v>
      </c>
      <c r="AA14" s="532"/>
      <c r="AB14" s="532">
        <f>Z14/24*AA14</f>
        <v>0</v>
      </c>
      <c r="AC14" s="532">
        <f>Z14/24*AA14*75%</f>
        <v>0</v>
      </c>
      <c r="AD14" s="532">
        <f>ROUND(Z14-AB14+AC14,0)</f>
        <v>3844200</v>
      </c>
      <c r="AE14" s="533" t="e">
        <f>#REF!+U14+#REF!+#REF!+#REF!+#REF!</f>
        <v>#REF!</v>
      </c>
      <c r="AF14" s="533">
        <f>Z14*8%</f>
        <v>307536</v>
      </c>
      <c r="AG14" s="533">
        <f>Z14*1.5%</f>
        <v>57663</v>
      </c>
      <c r="AH14" s="533">
        <f>Z14*1%</f>
        <v>38442</v>
      </c>
      <c r="AI14" s="533"/>
      <c r="AJ14" s="533">
        <f>SUM(AF14:AI14)</f>
        <v>403641</v>
      </c>
      <c r="AK14" s="534"/>
      <c r="AL14" s="535">
        <f>AK14*$D$8</f>
        <v>0</v>
      </c>
      <c r="AM14" s="535"/>
      <c r="AN14" s="535"/>
      <c r="AO14" s="616">
        <f>Q14+T14+V14</f>
        <v>2.58</v>
      </c>
      <c r="AP14" s="530"/>
      <c r="AQ14" s="537">
        <f>ROUND(AO14*AP14,4)</f>
        <v>0</v>
      </c>
      <c r="AR14" s="533">
        <f>ROUND(AQ14*$D$8,0)</f>
        <v>0</v>
      </c>
      <c r="AS14" s="528"/>
      <c r="AT14" s="533"/>
      <c r="AU14" s="533">
        <f>ROUND(AD14-AJ14+AL14+AN14+AR14,0)</f>
        <v>3440559</v>
      </c>
      <c r="AV14" s="538" t="str">
        <f>A14</f>
        <v>01</v>
      </c>
      <c r="AW14" s="539"/>
      <c r="AX14" s="187" t="s">
        <v>701</v>
      </c>
      <c r="AY14" s="188"/>
    </row>
    <row r="15" spans="1:63" s="189" customFormat="1" ht="38.25" x14ac:dyDescent="0.25">
      <c r="A15" s="168" t="s">
        <v>6</v>
      </c>
      <c r="B15" s="168" t="str">
        <f>INDEX([4]DS!$C$6:$C$343,MATCH(D15,[4]DS!$B$6:$B$343,0))</f>
        <v>0016100006575007</v>
      </c>
      <c r="C15" s="387" t="s">
        <v>1025</v>
      </c>
      <c r="D15" s="169" t="s">
        <v>1237</v>
      </c>
      <c r="E15" s="263" t="s">
        <v>1107</v>
      </c>
      <c r="F15" s="169" t="s">
        <v>552</v>
      </c>
      <c r="G15" s="170" t="s">
        <v>25</v>
      </c>
      <c r="H15" s="170"/>
      <c r="I15" s="170" t="s">
        <v>284</v>
      </c>
      <c r="J15" s="169" t="s">
        <v>269</v>
      </c>
      <c r="K15" s="170" t="str">
        <f>VLOOKUP(D15,[2]T3!$B$2:$D$328,3,FALSE)</f>
        <v>022537221</v>
      </c>
      <c r="L15" s="171" t="s">
        <v>126</v>
      </c>
      <c r="M15" s="171" t="s">
        <v>1025</v>
      </c>
      <c r="N15" s="391" t="s">
        <v>44</v>
      </c>
      <c r="O15" s="222" t="s">
        <v>3</v>
      </c>
      <c r="P15" s="172">
        <v>6</v>
      </c>
      <c r="Q15" s="174">
        <v>3.09</v>
      </c>
      <c r="R15" s="176">
        <f>T15+V15+X15</f>
        <v>0</v>
      </c>
      <c r="S15" s="370"/>
      <c r="T15" s="176">
        <f>ROUND(Q15*S15/100,4)</f>
        <v>0</v>
      </c>
      <c r="U15" s="175">
        <f>Q15*S15*$D$8/100</f>
        <v>0</v>
      </c>
      <c r="V15" s="170"/>
      <c r="W15" s="179"/>
      <c r="X15" s="216">
        <f>ROUND((Q15+T15+V15)*W15,4)</f>
        <v>0</v>
      </c>
      <c r="Y15" s="216">
        <f>Q15+T15+V15+X15</f>
        <v>3.09</v>
      </c>
      <c r="Z15" s="180">
        <f>ROUND(Y15*$D$8,0)</f>
        <v>4604100</v>
      </c>
      <c r="AA15" s="180"/>
      <c r="AB15" s="180">
        <f>Z15/24*AA15</f>
        <v>0</v>
      </c>
      <c r="AC15" s="180">
        <f>Z15/24*AA15*75%</f>
        <v>0</v>
      </c>
      <c r="AD15" s="180">
        <f>ROUND(Z15-AB15+AC15,0)</f>
        <v>4604100</v>
      </c>
      <c r="AE15" s="178" t="e">
        <f>#REF!+U15+#REF!+#REF!+#REF!+#REF!</f>
        <v>#REF!</v>
      </c>
      <c r="AF15" s="178">
        <f>Z15*8%</f>
        <v>368328</v>
      </c>
      <c r="AG15" s="178">
        <f>Z15*1.5%</f>
        <v>69061.5</v>
      </c>
      <c r="AH15" s="178">
        <f>Z15*1%</f>
        <v>46041</v>
      </c>
      <c r="AI15" s="178"/>
      <c r="AJ15" s="178">
        <f>SUM(AF15:AI15)</f>
        <v>483430.5</v>
      </c>
      <c r="AK15" s="192"/>
      <c r="AL15" s="182">
        <f>AK15*$D$8</f>
        <v>0</v>
      </c>
      <c r="AM15" s="182"/>
      <c r="AN15" s="182"/>
      <c r="AO15" s="193">
        <f>Q15+T15+V15</f>
        <v>3.09</v>
      </c>
      <c r="AP15" s="179"/>
      <c r="AQ15" s="194">
        <f>ROUND(AO15*AP15,4)</f>
        <v>0</v>
      </c>
      <c r="AR15" s="178">
        <f>ROUND(AQ15*$D$8,0)</f>
        <v>0</v>
      </c>
      <c r="AS15" s="177"/>
      <c r="AT15" s="178"/>
      <c r="AU15" s="178">
        <f>ROUND(AD15-AJ15+AL15+AN15+AR15,0)</f>
        <v>4120670</v>
      </c>
      <c r="AV15" s="469" t="str">
        <f>A15</f>
        <v>02</v>
      </c>
      <c r="AW15" s="195"/>
      <c r="AX15" s="187" t="s">
        <v>712</v>
      </c>
      <c r="AY15" s="188"/>
      <c r="AZ15" s="189">
        <f>3.33*1490000</f>
        <v>4961700</v>
      </c>
      <c r="BA15" s="189">
        <f>3*1390000</f>
        <v>4170000</v>
      </c>
      <c r="BB15" s="189">
        <f>0.33*1390000</f>
        <v>458700</v>
      </c>
    </row>
    <row r="16" spans="1:63" s="189" customFormat="1" ht="45.75" customHeight="1" x14ac:dyDescent="0.25">
      <c r="A16" s="168" t="s">
        <v>7</v>
      </c>
      <c r="B16" s="168" t="str">
        <f>INDEX([4]DS!$C$6:$C$343,MATCH(D16,[4]DS!$B$6:$B$343,0))</f>
        <v>0016100006709006</v>
      </c>
      <c r="C16" s="387" t="s">
        <v>1029</v>
      </c>
      <c r="D16" s="169" t="s">
        <v>1238</v>
      </c>
      <c r="E16" s="263" t="s">
        <v>1102</v>
      </c>
      <c r="F16" s="169" t="s">
        <v>553</v>
      </c>
      <c r="G16" s="170" t="s">
        <v>25</v>
      </c>
      <c r="H16" s="170"/>
      <c r="I16" s="170" t="s">
        <v>284</v>
      </c>
      <c r="J16" s="169" t="s">
        <v>272</v>
      </c>
      <c r="K16" s="170" t="str">
        <f>VLOOKUP(D16,[2]T3!$B$2:$D$328,3,FALSE)</f>
        <v>021987251</v>
      </c>
      <c r="L16" s="171" t="s">
        <v>127</v>
      </c>
      <c r="M16" s="171" t="s">
        <v>1029</v>
      </c>
      <c r="N16" s="391" t="s">
        <v>45</v>
      </c>
      <c r="O16" s="222" t="s">
        <v>727</v>
      </c>
      <c r="P16" s="172">
        <v>7</v>
      </c>
      <c r="Q16" s="174">
        <v>2.61</v>
      </c>
      <c r="R16" s="176">
        <f>T16+V16+X16</f>
        <v>0</v>
      </c>
      <c r="S16" s="370"/>
      <c r="T16" s="176">
        <f>ROUND(Q16*S16/100,4)</f>
        <v>0</v>
      </c>
      <c r="U16" s="175">
        <f>Q16*S16*$D$8/100</f>
        <v>0</v>
      </c>
      <c r="V16" s="170"/>
      <c r="W16" s="179"/>
      <c r="X16" s="216">
        <f>ROUND((Q16+T16+V16)*W16,4)</f>
        <v>0</v>
      </c>
      <c r="Y16" s="216">
        <f>Q16+T16+V16+X16</f>
        <v>2.61</v>
      </c>
      <c r="Z16" s="180">
        <f>ROUND(Y16*$D$8,0)</f>
        <v>3888900</v>
      </c>
      <c r="AA16" s="180"/>
      <c r="AB16" s="180">
        <f>Z16/24*AA16</f>
        <v>0</v>
      </c>
      <c r="AC16" s="180">
        <f>Z16/24*AA16*75%</f>
        <v>0</v>
      </c>
      <c r="AD16" s="180">
        <f>ROUND(Z16-AB16+AC16,0)</f>
        <v>3888900</v>
      </c>
      <c r="AE16" s="178" t="e">
        <f>#REF!+U16+#REF!+#REF!+#REF!+#REF!</f>
        <v>#REF!</v>
      </c>
      <c r="AF16" s="178">
        <f>Z16*8%</f>
        <v>311112</v>
      </c>
      <c r="AG16" s="178">
        <f>Z16*1.5%</f>
        <v>58333.5</v>
      </c>
      <c r="AH16" s="178">
        <f>Z16*1%</f>
        <v>38889</v>
      </c>
      <c r="AI16" s="178"/>
      <c r="AJ16" s="178">
        <f>SUM(AF16:AI16)</f>
        <v>408334.5</v>
      </c>
      <c r="AK16" s="192"/>
      <c r="AL16" s="182">
        <f>AK16*$D$8</f>
        <v>0</v>
      </c>
      <c r="AM16" s="182"/>
      <c r="AN16" s="182"/>
      <c r="AO16" s="193">
        <f>Q16+T16+V16</f>
        <v>2.61</v>
      </c>
      <c r="AP16" s="179"/>
      <c r="AQ16" s="194">
        <f>ROUND(AO16*AP16,4)</f>
        <v>0</v>
      </c>
      <c r="AR16" s="178">
        <f>ROUND(AQ16*$D$8,0)</f>
        <v>0</v>
      </c>
      <c r="AS16" s="177"/>
      <c r="AT16" s="178"/>
      <c r="AU16" s="178">
        <f>ROUND(AD16-AJ16+AL16+AN16+AR16,0)</f>
        <v>3480566</v>
      </c>
      <c r="AV16" s="469" t="str">
        <f>A16</f>
        <v>03</v>
      </c>
      <c r="AW16" s="195"/>
      <c r="AX16" s="235" t="s">
        <v>729</v>
      </c>
      <c r="AY16" s="188"/>
      <c r="AZ16" s="189">
        <f>AZ15*10.5%</f>
        <v>520978.5</v>
      </c>
      <c r="BA16" s="189">
        <f>BA15*10.5%</f>
        <v>437850</v>
      </c>
      <c r="BB16" s="189">
        <f>BB15*10.5%</f>
        <v>48163.5</v>
      </c>
    </row>
    <row r="17" spans="1:63" s="189" customFormat="1" ht="47.25" customHeight="1" x14ac:dyDescent="0.25">
      <c r="A17" s="168" t="s">
        <v>8</v>
      </c>
      <c r="B17" s="444" t="str">
        <f>INDEX([4]DS!$C$6:$C$343,MATCH(D17,[4]DS!$B$6:$B$343,0))</f>
        <v>0016100006718005</v>
      </c>
      <c r="C17" s="387" t="s">
        <v>1027</v>
      </c>
      <c r="D17" s="169" t="s">
        <v>1239</v>
      </c>
      <c r="E17" s="263" t="s">
        <v>1106</v>
      </c>
      <c r="F17" s="169"/>
      <c r="G17" s="170"/>
      <c r="H17" s="170"/>
      <c r="I17" s="170" t="s">
        <v>284</v>
      </c>
      <c r="J17" s="169" t="s">
        <v>274</v>
      </c>
      <c r="K17" s="168" t="s">
        <v>1358</v>
      </c>
      <c r="L17" s="171" t="s">
        <v>156</v>
      </c>
      <c r="M17" s="171" t="s">
        <v>1027</v>
      </c>
      <c r="N17" s="391" t="s">
        <v>40</v>
      </c>
      <c r="O17" s="222" t="s">
        <v>2</v>
      </c>
      <c r="P17" s="399" t="s">
        <v>15</v>
      </c>
      <c r="Q17" s="174">
        <v>3.48</v>
      </c>
      <c r="R17" s="176">
        <f>T17+V17+X17</f>
        <v>0.45240000000000002</v>
      </c>
      <c r="S17" s="370">
        <v>13</v>
      </c>
      <c r="T17" s="176">
        <f>ROUND(Q17*S17/100,4)</f>
        <v>0.45240000000000002</v>
      </c>
      <c r="U17" s="175">
        <f>Q17*S17*$D$8/100</f>
        <v>674076</v>
      </c>
      <c r="V17" s="170"/>
      <c r="W17" s="179"/>
      <c r="X17" s="216">
        <f>ROUND((Q17+T17+V17)*W17,4)</f>
        <v>0</v>
      </c>
      <c r="Y17" s="216">
        <f>Q17+T17+V17+X17</f>
        <v>3.9323999999999999</v>
      </c>
      <c r="Z17" s="180">
        <f>ROUND(Y17*$D$8,0)</f>
        <v>5859276</v>
      </c>
      <c r="AA17" s="180"/>
      <c r="AB17" s="180">
        <f>Z17/24*AA17</f>
        <v>0</v>
      </c>
      <c r="AC17" s="180">
        <f>Z17/24*AA17*75%</f>
        <v>0</v>
      </c>
      <c r="AD17" s="180">
        <f>ROUND(Z17-AB17+AC17,0)</f>
        <v>5859276</v>
      </c>
      <c r="AE17" s="178" t="e">
        <f>#REF!+U17+#REF!+#REF!+#REF!+#REF!</f>
        <v>#REF!</v>
      </c>
      <c r="AF17" s="178">
        <f>Z17*8%</f>
        <v>468742.08</v>
      </c>
      <c r="AG17" s="178">
        <f>Z17*1.5%</f>
        <v>87889.14</v>
      </c>
      <c r="AH17" s="178">
        <f>Z17*1%</f>
        <v>58592.76</v>
      </c>
      <c r="AI17" s="178"/>
      <c r="AJ17" s="178">
        <f>SUM(AF17:AI17)</f>
        <v>615223.98</v>
      </c>
      <c r="AK17" s="192"/>
      <c r="AL17" s="182">
        <f>AK17*$D$8</f>
        <v>0</v>
      </c>
      <c r="AM17" s="182"/>
      <c r="AN17" s="182"/>
      <c r="AO17" s="193">
        <f>Q17+T17+V17</f>
        <v>3.9323999999999999</v>
      </c>
      <c r="AP17" s="179"/>
      <c r="AQ17" s="194">
        <f>ROUND(AO17*AP17,4)</f>
        <v>0</v>
      </c>
      <c r="AR17" s="178">
        <f>ROUND(AQ17*$D$8,0)</f>
        <v>0</v>
      </c>
      <c r="AS17" s="177"/>
      <c r="AT17" s="178"/>
      <c r="AU17" s="178">
        <f>ROUND(AD17-AJ17+AL17+AN17+AR17,0)</f>
        <v>5244052</v>
      </c>
      <c r="AV17" s="469" t="str">
        <f>A17</f>
        <v>04</v>
      </c>
      <c r="AW17" s="195"/>
      <c r="AX17" s="198"/>
      <c r="AY17" s="188"/>
      <c r="AZ17" s="189" t="e">
        <f>#REF!+AZ15+800000+1000000</f>
        <v>#REF!</v>
      </c>
      <c r="BA17" s="189" t="e">
        <f>#REF!+BA15</f>
        <v>#REF!</v>
      </c>
    </row>
    <row r="18" spans="1:63" s="189" customFormat="1" ht="51.75" customHeight="1" x14ac:dyDescent="0.25">
      <c r="A18" s="471" t="s">
        <v>177</v>
      </c>
      <c r="B18" s="471" t="str">
        <f>INDEX([4]DS!$C$6:$C$343,MATCH(D18,[4]DS!$B$6:$B$343,0))</f>
        <v>0016100006649003</v>
      </c>
      <c r="C18" s="649" t="s">
        <v>1028</v>
      </c>
      <c r="D18" s="432" t="s">
        <v>1240</v>
      </c>
      <c r="E18" s="296" t="s">
        <v>1278</v>
      </c>
      <c r="F18" s="432"/>
      <c r="G18" s="438"/>
      <c r="H18" s="438"/>
      <c r="I18" s="438" t="s">
        <v>284</v>
      </c>
      <c r="J18" s="432" t="s">
        <v>273</v>
      </c>
      <c r="K18" s="438" t="str">
        <f>VLOOKUP(D18,[2]T3!$B$2:$D$328,3,FALSE)</f>
        <v>079064004299</v>
      </c>
      <c r="L18" s="561" t="s">
        <v>157</v>
      </c>
      <c r="M18" s="561" t="s">
        <v>1028</v>
      </c>
      <c r="N18" s="433" t="s">
        <v>40</v>
      </c>
      <c r="O18" s="650" t="s">
        <v>2</v>
      </c>
      <c r="P18" s="434">
        <v>12</v>
      </c>
      <c r="Q18" s="435">
        <v>3.48</v>
      </c>
      <c r="R18" s="436">
        <f>T18+V18+X18</f>
        <v>0.48720000000000002</v>
      </c>
      <c r="S18" s="437">
        <v>14</v>
      </c>
      <c r="T18" s="436">
        <f>ROUND(Q18*S18/100,4)</f>
        <v>0.48720000000000002</v>
      </c>
      <c r="U18" s="445">
        <f>Q18*S18*$D$8/100</f>
        <v>725928</v>
      </c>
      <c r="V18" s="438"/>
      <c r="W18" s="439"/>
      <c r="X18" s="440">
        <f>ROUND((Q18+T18+V18)*W18,4)</f>
        <v>0</v>
      </c>
      <c r="Y18" s="440">
        <f>Q18+T18+V18+X18</f>
        <v>3.9672000000000001</v>
      </c>
      <c r="Z18" s="238">
        <f>ROUND(Y18*$D$8,0)</f>
        <v>5911128</v>
      </c>
      <c r="AA18" s="238"/>
      <c r="AB18" s="238">
        <f>Z18/24*AA18</f>
        <v>0</v>
      </c>
      <c r="AC18" s="238">
        <f>Z18/24*AA18*75%</f>
        <v>0</v>
      </c>
      <c r="AD18" s="238">
        <f>ROUND(Z18-AB18+AC18,0)</f>
        <v>5911128</v>
      </c>
      <c r="AE18" s="225" t="e">
        <f>#REF!+U18+#REF!+#REF!+#REF!+#REF!</f>
        <v>#REF!</v>
      </c>
      <c r="AF18" s="225">
        <f>Z18*8%</f>
        <v>472890.24</v>
      </c>
      <c r="AG18" s="225">
        <f>Z18*1.5%</f>
        <v>88666.92</v>
      </c>
      <c r="AH18" s="225">
        <f>Z18*1%</f>
        <v>59111.28</v>
      </c>
      <c r="AI18" s="225"/>
      <c r="AJ18" s="225">
        <f>SUM(AF18:AI18)</f>
        <v>620668.44000000006</v>
      </c>
      <c r="AK18" s="651"/>
      <c r="AL18" s="488">
        <f>AK18*$D$8</f>
        <v>0</v>
      </c>
      <c r="AM18" s="488"/>
      <c r="AN18" s="488"/>
      <c r="AO18" s="441">
        <f>Q18+T18+V18</f>
        <v>3.9672000000000001</v>
      </c>
      <c r="AP18" s="439"/>
      <c r="AQ18" s="442">
        <f>ROUND(AO18*AP18,4)</f>
        <v>0</v>
      </c>
      <c r="AR18" s="225">
        <f>ROUND(AQ18*$D$8,0)</f>
        <v>0</v>
      </c>
      <c r="AS18" s="486"/>
      <c r="AT18" s="225"/>
      <c r="AU18" s="225">
        <f>ROUND(AD18-AJ18+AL18+AN18+AR18,0)</f>
        <v>5290460</v>
      </c>
      <c r="AV18" s="470" t="str">
        <f>A18</f>
        <v>05</v>
      </c>
      <c r="AW18" s="542"/>
      <c r="AX18" s="187"/>
      <c r="AY18" s="188"/>
      <c r="AZ18" s="189">
        <f>AZ15*1.2</f>
        <v>5954040</v>
      </c>
      <c r="BA18" s="189" t="e">
        <f>BA17+800000</f>
        <v>#REF!</v>
      </c>
    </row>
    <row r="19" spans="1:63" s="191" customFormat="1" ht="29.25" customHeight="1" x14ac:dyDescent="0.25">
      <c r="A19" s="593"/>
      <c r="B19" s="593"/>
      <c r="C19" s="594"/>
      <c r="D19" s="1029" t="s">
        <v>1418</v>
      </c>
      <c r="E19" s="1042"/>
      <c r="F19" s="595"/>
      <c r="G19" s="596"/>
      <c r="H19" s="596"/>
      <c r="I19" s="596"/>
      <c r="J19" s="595"/>
      <c r="K19" s="596"/>
      <c r="L19" s="597"/>
      <c r="M19" s="597"/>
      <c r="N19" s="598"/>
      <c r="O19" s="599"/>
      <c r="P19" s="600"/>
      <c r="Q19" s="601">
        <f>SUM(Q13:Q18)</f>
        <v>15.24</v>
      </c>
      <c r="R19" s="601">
        <f>SUM(R13:R18)</f>
        <v>0.93959999999999999</v>
      </c>
      <c r="S19" s="602"/>
      <c r="T19" s="603">
        <f>SUM(T13:T18)</f>
        <v>0.93959999999999999</v>
      </c>
      <c r="U19" s="603">
        <f>SUM(U13:U18)</f>
        <v>1400004</v>
      </c>
      <c r="V19" s="603">
        <f>SUM(V13:V18)</f>
        <v>0</v>
      </c>
      <c r="W19" s="603"/>
      <c r="X19" s="603">
        <f t="shared" ref="X19:AT19" si="0">SUM(X13:X18)</f>
        <v>0</v>
      </c>
      <c r="Y19" s="603">
        <f t="shared" si="0"/>
        <v>16.179600000000001</v>
      </c>
      <c r="Z19" s="604">
        <f t="shared" si="0"/>
        <v>24107604</v>
      </c>
      <c r="AA19" s="604">
        <f t="shared" si="0"/>
        <v>0</v>
      </c>
      <c r="AB19" s="604">
        <f t="shared" si="0"/>
        <v>0</v>
      </c>
      <c r="AC19" s="604">
        <f t="shared" si="0"/>
        <v>0</v>
      </c>
      <c r="AD19" s="604">
        <f t="shared" si="0"/>
        <v>24107604</v>
      </c>
      <c r="AE19" s="604" t="e">
        <f t="shared" si="0"/>
        <v>#REF!</v>
      </c>
      <c r="AF19" s="604">
        <f t="shared" si="0"/>
        <v>1928608.32</v>
      </c>
      <c r="AG19" s="604">
        <f t="shared" si="0"/>
        <v>361614.06</v>
      </c>
      <c r="AH19" s="604">
        <f t="shared" si="0"/>
        <v>241076.04</v>
      </c>
      <c r="AI19" s="604">
        <f t="shared" si="0"/>
        <v>0</v>
      </c>
      <c r="AJ19" s="604">
        <f t="shared" si="0"/>
        <v>2531298.42</v>
      </c>
      <c r="AK19" s="605">
        <f t="shared" si="0"/>
        <v>0</v>
      </c>
      <c r="AL19" s="604">
        <f t="shared" si="0"/>
        <v>0</v>
      </c>
      <c r="AM19" s="604">
        <f t="shared" si="0"/>
        <v>0</v>
      </c>
      <c r="AN19" s="604">
        <f t="shared" si="0"/>
        <v>0</v>
      </c>
      <c r="AO19" s="604">
        <f t="shared" si="0"/>
        <v>16.179600000000001</v>
      </c>
      <c r="AP19" s="604">
        <f t="shared" si="0"/>
        <v>0</v>
      </c>
      <c r="AQ19" s="606">
        <f t="shared" si="0"/>
        <v>0</v>
      </c>
      <c r="AR19" s="604">
        <f t="shared" si="0"/>
        <v>0</v>
      </c>
      <c r="AS19" s="604">
        <f t="shared" si="0"/>
        <v>0</v>
      </c>
      <c r="AT19" s="604">
        <f t="shared" si="0"/>
        <v>0</v>
      </c>
      <c r="AU19" s="604">
        <f>SUM(AU13:AU18)-1</f>
        <v>21576306</v>
      </c>
      <c r="AV19" s="607"/>
      <c r="AW19" s="608"/>
      <c r="AX19" s="218"/>
      <c r="AY19" s="190"/>
      <c r="AZ19" s="552"/>
      <c r="BA19" s="552"/>
      <c r="BB19" s="552"/>
      <c r="BC19" s="552"/>
      <c r="BD19" s="552"/>
      <c r="BE19" s="552"/>
      <c r="BF19" s="552"/>
      <c r="BG19" s="552"/>
      <c r="BH19" s="552"/>
      <c r="BI19" s="552"/>
      <c r="BJ19" s="552"/>
      <c r="BK19" s="552"/>
    </row>
    <row r="20" spans="1:63" s="23" customFormat="1" ht="11.25" customHeight="1" x14ac:dyDescent="0.25">
      <c r="A20" s="16"/>
      <c r="B20" s="16"/>
      <c r="C20" s="482"/>
      <c r="D20" s="17"/>
      <c r="E20" s="266"/>
      <c r="F20" s="17"/>
      <c r="G20" s="62"/>
      <c r="H20" s="62"/>
      <c r="I20" s="62"/>
      <c r="J20" s="17"/>
      <c r="K20" s="62"/>
      <c r="L20" s="17"/>
      <c r="M20" s="17"/>
      <c r="N20" s="424" t="s">
        <v>52</v>
      </c>
      <c r="O20" s="18"/>
      <c r="P20" s="16"/>
      <c r="Q20" s="19"/>
      <c r="R20" s="338"/>
      <c r="S20" s="354"/>
      <c r="T20" s="21"/>
      <c r="U20" s="20"/>
      <c r="V20" s="16"/>
      <c r="W20" s="138"/>
      <c r="X20" s="22"/>
      <c r="Y20" s="22"/>
      <c r="Z20" s="38"/>
      <c r="AA20" s="38"/>
      <c r="AB20" s="38"/>
      <c r="AC20" s="38"/>
      <c r="AD20" s="38"/>
      <c r="AE20" s="22"/>
      <c r="AF20" s="22"/>
      <c r="AG20" s="22"/>
      <c r="AH20" s="22"/>
      <c r="AI20" s="22"/>
      <c r="AJ20" s="22"/>
      <c r="AL20" s="22"/>
      <c r="AM20" s="22"/>
      <c r="AN20" s="22"/>
      <c r="AO20" s="500"/>
      <c r="AP20" s="68"/>
      <c r="AQ20" s="45"/>
      <c r="AR20" s="22"/>
      <c r="AS20" s="63"/>
      <c r="AT20" s="24"/>
      <c r="AU20" s="24"/>
      <c r="AW20" s="70"/>
      <c r="AX20" s="70"/>
      <c r="AY20" s="154"/>
    </row>
    <row r="21" spans="1:63" ht="15.75" customHeight="1" x14ac:dyDescent="0.25">
      <c r="C21" s="483"/>
      <c r="D21" s="516" t="s">
        <v>1372</v>
      </c>
      <c r="E21" s="317" t="s">
        <v>1534</v>
      </c>
      <c r="F21" s="317"/>
      <c r="G21" s="317"/>
      <c r="H21" s="317"/>
      <c r="I21" s="317"/>
      <c r="J21" s="317"/>
      <c r="K21" s="510"/>
      <c r="L21" s="317"/>
      <c r="M21" s="317"/>
      <c r="N21" s="421"/>
      <c r="O21" s="317"/>
      <c r="P21" s="317"/>
      <c r="Q21" s="317"/>
      <c r="R21" s="342"/>
      <c r="S21" s="358"/>
      <c r="T21" s="317"/>
      <c r="U21" s="317"/>
      <c r="V21" s="317"/>
      <c r="W21" s="317"/>
      <c r="X21" s="317"/>
      <c r="AP21" s="84"/>
      <c r="AW21" s="51"/>
      <c r="AX21" s="5"/>
    </row>
    <row r="22" spans="1:63" ht="6.75" customHeight="1" x14ac:dyDescent="0.25">
      <c r="G22" s="4"/>
      <c r="H22" s="4"/>
      <c r="I22" s="4"/>
      <c r="J22" s="1"/>
      <c r="K22" s="4"/>
      <c r="L22" s="1"/>
      <c r="M22" s="1"/>
      <c r="N22" s="425"/>
      <c r="P22" s="1"/>
      <c r="AW22" s="51"/>
      <c r="AX22" s="4"/>
    </row>
    <row r="23" spans="1:63" ht="15" customHeight="1" x14ac:dyDescent="0.25">
      <c r="E23" s="515" t="e">
        <f>[5]!VND(#REF!,,"đồng","ảo",3)</f>
        <v>#VALUE!</v>
      </c>
      <c r="N23" s="425"/>
      <c r="AL23" s="1040" t="s">
        <v>1533</v>
      </c>
      <c r="AM23" s="1040"/>
      <c r="AN23" s="1040"/>
      <c r="AO23" s="1040"/>
      <c r="AP23" s="1040"/>
      <c r="AQ23" s="1040"/>
      <c r="AR23" s="1040"/>
      <c r="AS23" s="1040"/>
      <c r="AT23" s="1040"/>
      <c r="AU23" s="1040"/>
      <c r="AV23" s="1040"/>
      <c r="AW23" s="1040"/>
      <c r="AX23" s="4"/>
    </row>
    <row r="24" spans="1:63" ht="18.75" customHeight="1" x14ac:dyDescent="0.25">
      <c r="D24" s="994" t="s">
        <v>27</v>
      </c>
      <c r="E24" s="994"/>
      <c r="F24" s="994"/>
      <c r="G24" s="994"/>
      <c r="H24" s="994"/>
      <c r="I24" s="994"/>
      <c r="J24" s="994"/>
      <c r="K24" s="994"/>
      <c r="L24" s="994"/>
      <c r="M24" s="994"/>
      <c r="N24" s="994"/>
      <c r="O24" s="994"/>
      <c r="P24" s="994"/>
      <c r="Q24" s="994"/>
      <c r="R24" s="994"/>
      <c r="V24" s="994" t="s">
        <v>1114</v>
      </c>
      <c r="W24" s="994"/>
      <c r="X24" s="994"/>
      <c r="Y24" s="994"/>
      <c r="Z24" s="994"/>
      <c r="AA24" s="994"/>
      <c r="AB24" s="994"/>
      <c r="AC24" s="994"/>
      <c r="AD24" s="994"/>
      <c r="AE24" s="994"/>
      <c r="AF24" s="994"/>
      <c r="AG24" s="8"/>
      <c r="AH24" s="8"/>
      <c r="AI24" s="8"/>
      <c r="AJ24" s="8"/>
      <c r="AK24" s="1"/>
      <c r="AL24" s="994" t="s">
        <v>176</v>
      </c>
      <c r="AM24" s="994"/>
      <c r="AN24" s="994"/>
      <c r="AO24" s="994"/>
      <c r="AP24" s="994"/>
      <c r="AQ24" s="994"/>
      <c r="AR24" s="994"/>
      <c r="AS24" s="994"/>
      <c r="AT24" s="994"/>
      <c r="AU24" s="994"/>
      <c r="AV24" s="994"/>
      <c r="AW24" s="994"/>
    </row>
    <row r="25" spans="1:63" ht="9.75" customHeight="1" x14ac:dyDescent="0.25">
      <c r="D25" s="128"/>
      <c r="E25" s="268"/>
      <c r="F25" s="128"/>
      <c r="G25" s="4"/>
      <c r="H25" s="4"/>
      <c r="I25" s="4"/>
      <c r="J25" s="4"/>
      <c r="K25" s="4"/>
      <c r="L25" s="4"/>
      <c r="M25" s="4"/>
      <c r="N25" s="260"/>
      <c r="O25" s="4"/>
      <c r="P25" s="4"/>
      <c r="Q25" s="4"/>
      <c r="R25" s="343"/>
      <c r="V25" s="4"/>
      <c r="W25" s="139"/>
      <c r="X25" s="4"/>
      <c r="Y25" s="4"/>
      <c r="Z25" s="4"/>
      <c r="AA25" s="4"/>
      <c r="AB25" s="4"/>
      <c r="AC25" s="4"/>
      <c r="AD25" s="4"/>
      <c r="AE25" s="4"/>
      <c r="AF25" s="4"/>
      <c r="AG25" s="8"/>
      <c r="AH25" s="8"/>
      <c r="AI25" s="8"/>
      <c r="AJ25" s="8"/>
      <c r="AL25" s="994"/>
      <c r="AM25" s="994"/>
      <c r="AN25" s="994"/>
      <c r="AO25" s="994"/>
      <c r="AP25" s="994"/>
      <c r="AQ25" s="994"/>
      <c r="AR25" s="994"/>
      <c r="AS25" s="994"/>
      <c r="AT25" s="994"/>
      <c r="AU25" s="994"/>
      <c r="AV25" s="994"/>
      <c r="AW25" s="994"/>
    </row>
    <row r="26" spans="1:63" x14ac:dyDescent="0.25">
      <c r="S26" s="359"/>
      <c r="U26" s="34"/>
      <c r="Z26" s="10"/>
      <c r="AA26" s="10"/>
      <c r="AB26" s="10"/>
      <c r="AC26" s="10"/>
      <c r="AD26" s="10"/>
      <c r="AE26" s="28"/>
      <c r="AF26" s="28"/>
      <c r="AG26" s="8"/>
      <c r="AH26" s="8"/>
      <c r="AI26" s="8"/>
      <c r="AJ26" s="8"/>
      <c r="AK26" s="1"/>
      <c r="AL26" s="8"/>
      <c r="AM26" s="8"/>
      <c r="AN26" s="8"/>
      <c r="AO26" s="503"/>
      <c r="AP26" s="66"/>
      <c r="AQ26" s="41"/>
      <c r="AR26" s="8"/>
      <c r="AS26" s="67"/>
      <c r="AT26" s="1"/>
      <c r="AU26" s="1"/>
    </row>
    <row r="27" spans="1:63" ht="12.75" customHeight="1" x14ac:dyDescent="0.25">
      <c r="S27" s="359"/>
      <c r="U27" s="34"/>
      <c r="Z27" s="10"/>
      <c r="AA27" s="10"/>
      <c r="AB27" s="10"/>
      <c r="AC27" s="10"/>
      <c r="AD27" s="10"/>
      <c r="AE27" s="28"/>
      <c r="AF27" s="28"/>
      <c r="AG27" s="8"/>
      <c r="AH27" s="8"/>
      <c r="AI27" s="8"/>
      <c r="AJ27" s="8"/>
      <c r="AK27" s="1"/>
      <c r="AL27" s="8"/>
      <c r="AM27" s="8"/>
      <c r="AN27" s="8"/>
      <c r="AO27" s="503"/>
      <c r="AP27" s="66"/>
      <c r="AQ27" s="41"/>
      <c r="AR27" s="8"/>
      <c r="AS27" s="67"/>
      <c r="AT27" s="1"/>
      <c r="AU27" s="1"/>
    </row>
    <row r="28" spans="1:63" ht="12.75" customHeight="1" x14ac:dyDescent="0.25">
      <c r="S28" s="359"/>
      <c r="U28" s="34"/>
      <c r="Z28" s="10"/>
      <c r="AA28" s="10"/>
      <c r="AB28" s="10"/>
      <c r="AC28" s="10"/>
      <c r="AD28" s="10"/>
      <c r="AE28" s="28"/>
      <c r="AF28" s="28"/>
      <c r="AG28" s="8"/>
      <c r="AH28" s="8"/>
      <c r="AI28" s="8"/>
      <c r="AJ28" s="8"/>
      <c r="AK28" s="1"/>
      <c r="AL28" s="8"/>
      <c r="AM28" s="8"/>
      <c r="AN28" s="8"/>
      <c r="AO28" s="503"/>
      <c r="AP28" s="66"/>
      <c r="AQ28" s="41"/>
      <c r="AR28" s="8"/>
      <c r="AS28" s="67"/>
      <c r="AT28" s="1"/>
      <c r="AU28" s="1"/>
    </row>
    <row r="29" spans="1:63" ht="13.5" customHeight="1" x14ac:dyDescent="0.25">
      <c r="U29" s="34"/>
    </row>
    <row r="30" spans="1:63" ht="9" customHeight="1" x14ac:dyDescent="0.25">
      <c r="U30" s="54"/>
      <c r="AX30" s="4"/>
    </row>
    <row r="31" spans="1:63" s="1" customFormat="1" x14ac:dyDescent="0.25">
      <c r="A31" s="4"/>
      <c r="B31" s="4"/>
      <c r="C31" s="475"/>
      <c r="E31" s="260"/>
      <c r="G31" s="4"/>
      <c r="H31" s="4"/>
      <c r="I31" s="4"/>
      <c r="K31" s="4"/>
      <c r="N31" s="421"/>
      <c r="R31" s="328"/>
      <c r="S31" s="360"/>
      <c r="U31" s="8"/>
      <c r="W31" s="139"/>
      <c r="X31" s="8"/>
      <c r="Y31" s="8"/>
      <c r="Z31" s="10"/>
      <c r="AA31" s="10"/>
      <c r="AB31" s="10"/>
      <c r="AC31" s="10"/>
      <c r="AD31" s="10"/>
      <c r="AE31" s="8"/>
      <c r="AF31" s="8"/>
      <c r="AG31" s="8"/>
      <c r="AH31" s="8"/>
      <c r="AI31" s="8"/>
      <c r="AJ31" s="8"/>
      <c r="AL31" s="8"/>
      <c r="AM31" s="8"/>
      <c r="AN31" s="8"/>
      <c r="AO31" s="503"/>
      <c r="AP31" s="66"/>
      <c r="AQ31" s="41"/>
      <c r="AR31" s="8"/>
      <c r="AS31" s="67"/>
      <c r="AV31" s="2"/>
      <c r="AW31" s="39"/>
      <c r="AX31" s="39"/>
      <c r="AY31" s="8"/>
    </row>
    <row r="32" spans="1:63" s="1" customFormat="1" x14ac:dyDescent="0.25">
      <c r="A32" s="4"/>
      <c r="B32" s="4"/>
      <c r="C32" s="475"/>
      <c r="D32" s="994" t="s">
        <v>1105</v>
      </c>
      <c r="E32" s="994"/>
      <c r="F32" s="994"/>
      <c r="G32" s="994"/>
      <c r="H32" s="994"/>
      <c r="I32" s="994"/>
      <c r="J32" s="994"/>
      <c r="K32" s="994"/>
      <c r="L32" s="994"/>
      <c r="M32" s="994"/>
      <c r="N32" s="994"/>
      <c r="O32" s="994"/>
      <c r="P32" s="994"/>
      <c r="Q32" s="994"/>
      <c r="R32" s="994"/>
      <c r="S32" s="360"/>
      <c r="U32" s="55"/>
      <c r="V32" s="994" t="s">
        <v>803</v>
      </c>
      <c r="W32" s="994"/>
      <c r="X32" s="994"/>
      <c r="Y32" s="994"/>
      <c r="Z32" s="994"/>
      <c r="AA32" s="994"/>
      <c r="AB32" s="994"/>
      <c r="AC32" s="994"/>
      <c r="AD32" s="994"/>
      <c r="AE32" s="994"/>
      <c r="AF32" s="994"/>
      <c r="AG32" s="8"/>
      <c r="AH32" s="8"/>
      <c r="AI32" s="8"/>
      <c r="AJ32" s="8"/>
      <c r="AL32" s="994" t="s">
        <v>772</v>
      </c>
      <c r="AM32" s="994"/>
      <c r="AN32" s="994"/>
      <c r="AO32" s="994"/>
      <c r="AP32" s="994"/>
      <c r="AQ32" s="994"/>
      <c r="AR32" s="994"/>
      <c r="AS32" s="994"/>
      <c r="AT32" s="994"/>
      <c r="AU32" s="994"/>
      <c r="AV32" s="994"/>
      <c r="AW32" s="994"/>
      <c r="AX32" s="39"/>
      <c r="AY32" s="8"/>
    </row>
    <row r="33" spans="21:21" x14ac:dyDescent="0.25">
      <c r="U33" s="54"/>
    </row>
    <row r="34" spans="21:21" x14ac:dyDescent="0.25">
      <c r="U34" s="54"/>
    </row>
    <row r="35" spans="21:21" x14ac:dyDescent="0.25">
      <c r="U35" s="54"/>
    </row>
    <row r="36" spans="21:21" x14ac:dyDescent="0.25">
      <c r="U36" s="54"/>
    </row>
    <row r="37" spans="21:21" x14ac:dyDescent="0.25">
      <c r="U37" s="54"/>
    </row>
    <row r="38" spans="21:21" x14ac:dyDescent="0.25">
      <c r="U38" s="54"/>
    </row>
    <row r="39" spans="21:21" x14ac:dyDescent="0.25">
      <c r="U39" s="54"/>
    </row>
    <row r="40" spans="21:21" x14ac:dyDescent="0.25">
      <c r="U40" s="54"/>
    </row>
    <row r="41" spans="21:21" x14ac:dyDescent="0.25">
      <c r="U41" s="54"/>
    </row>
    <row r="42" spans="21:21" x14ac:dyDescent="0.25">
      <c r="U42" s="54"/>
    </row>
    <row r="43" spans="21:21" x14ac:dyDescent="0.25">
      <c r="U43" s="54"/>
    </row>
    <row r="44" spans="21:21" x14ac:dyDescent="0.25">
      <c r="U44" s="54"/>
    </row>
    <row r="45" spans="21:21" x14ac:dyDescent="0.25">
      <c r="U45" s="54"/>
    </row>
    <row r="46" spans="21:21" x14ac:dyDescent="0.25">
      <c r="U46" s="54"/>
    </row>
    <row r="47" spans="21:21" x14ac:dyDescent="0.25">
      <c r="U47" s="54"/>
    </row>
    <row r="48" spans="21:21" x14ac:dyDescent="0.25">
      <c r="U48" s="54"/>
    </row>
    <row r="49" spans="4:21" x14ac:dyDescent="0.25">
      <c r="U49" s="54"/>
    </row>
    <row r="50" spans="4:21" x14ac:dyDescent="0.25">
      <c r="U50" s="54"/>
    </row>
    <row r="51" spans="4:21" x14ac:dyDescent="0.25">
      <c r="U51" s="54"/>
    </row>
    <row r="52" spans="4:21" x14ac:dyDescent="0.25">
      <c r="U52" s="54"/>
    </row>
    <row r="53" spans="4:21" x14ac:dyDescent="0.25">
      <c r="U53" s="54"/>
    </row>
    <row r="54" spans="4:21" x14ac:dyDescent="0.25">
      <c r="U54" s="54"/>
    </row>
    <row r="55" spans="4:21" x14ac:dyDescent="0.25">
      <c r="U55" s="54"/>
    </row>
    <row r="56" spans="4:21" x14ac:dyDescent="0.25">
      <c r="U56" s="54"/>
    </row>
    <row r="57" spans="4:21" x14ac:dyDescent="0.25">
      <c r="U57" s="54"/>
    </row>
    <row r="58" spans="4:21" x14ac:dyDescent="0.25">
      <c r="U58" s="54"/>
    </row>
    <row r="59" spans="4:21" x14ac:dyDescent="0.25">
      <c r="U59" s="54"/>
    </row>
    <row r="60" spans="4:21" x14ac:dyDescent="0.25">
      <c r="U60" s="54"/>
    </row>
    <row r="61" spans="4:21" x14ac:dyDescent="0.25">
      <c r="D61" s="71"/>
      <c r="E61" s="269"/>
      <c r="F61" s="71"/>
      <c r="G61" s="5" t="s">
        <v>596</v>
      </c>
      <c r="U61" s="54"/>
    </row>
    <row r="62" spans="4:21" x14ac:dyDescent="0.25">
      <c r="U62" s="54"/>
    </row>
    <row r="63" spans="4:21" x14ac:dyDescent="0.25">
      <c r="U63" s="54"/>
    </row>
    <row r="64" spans="4:21" x14ac:dyDescent="0.25">
      <c r="U64" s="56"/>
    </row>
  </sheetData>
  <mergeCells count="49">
    <mergeCell ref="AL25:AW25"/>
    <mergeCell ref="D32:R32"/>
    <mergeCell ref="V32:AF32"/>
    <mergeCell ref="AL32:AW32"/>
    <mergeCell ref="D19:E19"/>
    <mergeCell ref="AL23:AW23"/>
    <mergeCell ref="D24:R24"/>
    <mergeCell ref="V24:AF24"/>
    <mergeCell ref="AL24:AW24"/>
    <mergeCell ref="D13:O13"/>
    <mergeCell ref="AF9:AJ9"/>
    <mergeCell ref="AK9:AL9"/>
    <mergeCell ref="AM9:AN9"/>
    <mergeCell ref="AO9:AO10"/>
    <mergeCell ref="AR9:AR10"/>
    <mergeCell ref="AT9:AT10"/>
    <mergeCell ref="AU9:AU10"/>
    <mergeCell ref="AV9:AW10"/>
    <mergeCell ref="AV11:AW11"/>
    <mergeCell ref="AP9:AP10"/>
    <mergeCell ref="AQ9:AQ10"/>
    <mergeCell ref="Z9:Z10"/>
    <mergeCell ref="AA9:AA10"/>
    <mergeCell ref="AB9:AB10"/>
    <mergeCell ref="AC9:AC10"/>
    <mergeCell ref="AD9:AD10"/>
    <mergeCell ref="AE9:AE10"/>
    <mergeCell ref="U4:AL5"/>
    <mergeCell ref="AR5:AW5"/>
    <mergeCell ref="U6:AL6"/>
    <mergeCell ref="A9:A10"/>
    <mergeCell ref="C9:C10"/>
    <mergeCell ref="D9:D10"/>
    <mergeCell ref="E9:E10"/>
    <mergeCell ref="G9:G10"/>
    <mergeCell ref="J9:J10"/>
    <mergeCell ref="K9:K10"/>
    <mergeCell ref="M9:M10"/>
    <mergeCell ref="N9:N10"/>
    <mergeCell ref="O9:O10"/>
    <mergeCell ref="P9:P10"/>
    <mergeCell ref="Q9:X9"/>
    <mergeCell ref="Y9:Y10"/>
    <mergeCell ref="A1:O1"/>
    <mergeCell ref="AL1:AW1"/>
    <mergeCell ref="A2:O2"/>
    <mergeCell ref="AL2:AW2"/>
    <mergeCell ref="A3:O3"/>
    <mergeCell ref="AL3:AW3"/>
  </mergeCells>
  <pageMargins left="0.37" right="0.118110236220472" top="0.48" bottom="0.31" header="0.2" footer="0.15748031496063"/>
  <pageSetup paperSize="9" scale="48"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G338"/>
  <sheetViews>
    <sheetView topLeftCell="Z1" zoomScale="110" zoomScaleNormal="110" workbookViewId="0">
      <selection activeCell="AO14" sqref="AO14"/>
    </sheetView>
  </sheetViews>
  <sheetFormatPr defaultColWidth="10.125" defaultRowHeight="15.75" x14ac:dyDescent="0.25"/>
  <cols>
    <col min="1" max="1" width="4.875" style="5" customWidth="1"/>
    <col min="2" max="2" width="18.125" style="5" hidden="1" customWidth="1"/>
    <col min="3" max="3" width="13" style="853"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3" style="5" hidden="1" customWidth="1"/>
    <col min="12" max="12" width="14" style="2" hidden="1" customWidth="1"/>
    <col min="13" max="13" width="11.875" style="2" hidden="1" customWidth="1"/>
    <col min="14" max="14" width="13.5" style="2" hidden="1" customWidth="1"/>
    <col min="15" max="15" width="8.625" style="420" customWidth="1"/>
    <col min="16" max="16" width="6.375" style="2" hidden="1" customWidth="1"/>
    <col min="17" max="17" width="6.5" style="2" hidden="1" customWidth="1"/>
    <col min="18" max="18" width="7.75" style="2" customWidth="1"/>
    <col min="19" max="19" width="7.25" style="327" hidden="1" customWidth="1"/>
    <col min="20" max="20" width="7.75" style="346" hidden="1" customWidth="1"/>
    <col min="21" max="21" width="7.75" style="2" customWidth="1"/>
    <col min="22" max="22" width="10.375" style="7" hidden="1" customWidth="1"/>
    <col min="23" max="23" width="6.375" style="2" bestFit="1" customWidth="1"/>
    <col min="24" max="24" width="6.75" style="69" hidden="1" customWidth="1"/>
    <col min="25" max="25" width="8.375" style="7" customWidth="1"/>
    <col min="26" max="26" width="10.625" style="7" customWidth="1"/>
    <col min="27" max="27" width="13" style="9" customWidth="1"/>
    <col min="28" max="28" width="7.75" style="9" hidden="1" customWidth="1"/>
    <col min="29" max="29" width="10.375" style="9" customWidth="1"/>
    <col min="30" max="30" width="5.75" style="9" customWidth="1"/>
    <col min="31" max="31" width="12.875" style="9" customWidth="1"/>
    <col min="32" max="32" width="11.875" style="7" customWidth="1"/>
    <col min="33" max="33" width="10.375" style="7" bestFit="1" customWidth="1"/>
    <col min="34" max="34" width="10.125" style="7" customWidth="1"/>
    <col min="35" max="35" width="6.25" style="7" bestFit="1" customWidth="1"/>
    <col min="36" max="36" width="11.625" style="7" customWidth="1"/>
    <col min="37" max="37" width="6.125" style="2" customWidth="1"/>
    <col min="38" max="38" width="10.25" style="7" bestFit="1" customWidth="1"/>
    <col min="39" max="39" width="5.375" style="7" customWidth="1"/>
    <col min="40" max="40" width="8.625" style="7" customWidth="1"/>
    <col min="41" max="41" width="11.75" style="491" bestFit="1" customWidth="1"/>
    <col min="42" max="42" width="8.875" style="644" bestFit="1" customWidth="1"/>
    <col min="43" max="43" width="9" style="44" bestFit="1" customWidth="1"/>
    <col min="44" max="44" width="12.125" style="7" customWidth="1"/>
    <col min="45" max="45" width="8.125" style="2" hidden="1" customWidth="1"/>
    <col min="46" max="46" width="12.75" style="2" customWidth="1"/>
    <col min="47" max="47" width="4.125" style="2" bestFit="1" customWidth="1"/>
    <col min="48" max="48" width="17.75" style="39" customWidth="1"/>
    <col min="49" max="49" width="25.875" style="39" customWidth="1"/>
    <col min="50" max="50" width="10.125" style="2"/>
    <col min="51" max="51" width="18.25" style="2" customWidth="1"/>
    <col min="52" max="52" width="15.75" style="2" customWidth="1"/>
    <col min="53" max="16384" width="10.125" style="2"/>
  </cols>
  <sheetData>
    <row r="1" spans="1:59" x14ac:dyDescent="0.25">
      <c r="A1" s="994" t="s">
        <v>1072</v>
      </c>
      <c r="B1" s="994"/>
      <c r="C1" s="994"/>
      <c r="D1" s="994"/>
      <c r="E1" s="994"/>
      <c r="F1" s="994"/>
      <c r="G1" s="994"/>
      <c r="H1" s="994"/>
      <c r="I1" s="994"/>
      <c r="J1" s="994"/>
      <c r="K1" s="994"/>
      <c r="L1" s="994"/>
      <c r="M1" s="994"/>
      <c r="N1" s="994"/>
      <c r="O1" s="994"/>
      <c r="P1" s="994"/>
      <c r="R1" s="6"/>
      <c r="S1" s="326"/>
      <c r="V1" s="2"/>
      <c r="AL1" s="995" t="s">
        <v>1073</v>
      </c>
      <c r="AM1" s="995"/>
      <c r="AN1" s="995"/>
      <c r="AO1" s="995"/>
      <c r="AP1" s="995"/>
      <c r="AQ1" s="995"/>
      <c r="AR1" s="995"/>
      <c r="AS1" s="995"/>
      <c r="AT1" s="995"/>
      <c r="AU1" s="995"/>
      <c r="AV1" s="995"/>
      <c r="AW1" s="10"/>
    </row>
    <row r="2" spans="1:59" x14ac:dyDescent="0.25">
      <c r="A2" s="994" t="s">
        <v>1131</v>
      </c>
      <c r="B2" s="994"/>
      <c r="C2" s="994"/>
      <c r="D2" s="994"/>
      <c r="E2" s="994"/>
      <c r="F2" s="994"/>
      <c r="G2" s="994"/>
      <c r="H2" s="994"/>
      <c r="I2" s="994"/>
      <c r="J2" s="994"/>
      <c r="K2" s="994"/>
      <c r="L2" s="994"/>
      <c r="M2" s="994"/>
      <c r="N2" s="994"/>
      <c r="O2" s="994"/>
      <c r="P2" s="994"/>
      <c r="R2" s="6"/>
      <c r="S2" s="326"/>
      <c r="V2" s="2"/>
      <c r="Y2" s="2"/>
      <c r="Z2" s="2"/>
      <c r="AA2" s="2"/>
      <c r="AB2" s="2"/>
      <c r="AC2" s="2"/>
      <c r="AD2" s="2"/>
      <c r="AE2" s="2"/>
      <c r="AL2" s="996" t="s">
        <v>1285</v>
      </c>
      <c r="AM2" s="996"/>
      <c r="AN2" s="996"/>
      <c r="AO2" s="996"/>
      <c r="AP2" s="996"/>
      <c r="AQ2" s="996"/>
      <c r="AR2" s="996"/>
      <c r="AS2" s="996"/>
      <c r="AT2" s="996"/>
      <c r="AU2" s="996"/>
      <c r="AV2" s="996"/>
      <c r="AW2" s="10"/>
    </row>
    <row r="3" spans="1:59" ht="18" customHeight="1" x14ac:dyDescent="0.25">
      <c r="A3" s="994" t="s">
        <v>1369</v>
      </c>
      <c r="B3" s="994"/>
      <c r="C3" s="994"/>
      <c r="D3" s="994"/>
      <c r="E3" s="994"/>
      <c r="F3" s="994"/>
      <c r="G3" s="994"/>
      <c r="H3" s="994"/>
      <c r="I3" s="994"/>
      <c r="J3" s="994"/>
      <c r="K3" s="994"/>
      <c r="L3" s="994"/>
      <c r="M3" s="994"/>
      <c r="N3" s="994"/>
      <c r="O3" s="994"/>
      <c r="P3" s="994"/>
      <c r="R3" s="6"/>
      <c r="S3" s="326"/>
      <c r="Y3" s="9"/>
      <c r="Z3" s="9"/>
      <c r="AL3" s="996" t="s">
        <v>1286</v>
      </c>
      <c r="AM3" s="996"/>
      <c r="AN3" s="996"/>
      <c r="AO3" s="996"/>
      <c r="AP3" s="996"/>
      <c r="AQ3" s="996"/>
      <c r="AR3" s="996"/>
      <c r="AS3" s="996"/>
      <c r="AT3" s="996"/>
      <c r="AU3" s="996"/>
      <c r="AV3" s="996"/>
    </row>
    <row r="4" spans="1:59" ht="12" customHeight="1" x14ac:dyDescent="0.35">
      <c r="A4" s="72"/>
      <c r="B4" s="72"/>
      <c r="R4" s="6"/>
      <c r="S4" s="326"/>
      <c r="V4" s="1045" t="s">
        <v>1064</v>
      </c>
      <c r="W4" s="1045"/>
      <c r="X4" s="1045"/>
      <c r="Y4" s="1045"/>
      <c r="Z4" s="1045"/>
      <c r="AA4" s="1045"/>
      <c r="AB4" s="1045"/>
      <c r="AC4" s="1045"/>
      <c r="AD4" s="1045"/>
      <c r="AE4" s="1045"/>
      <c r="AF4" s="1045"/>
      <c r="AG4" s="1045"/>
      <c r="AH4" s="1045"/>
      <c r="AI4" s="1045"/>
      <c r="AJ4" s="1045"/>
      <c r="AK4" s="1045"/>
      <c r="AL4" s="1045"/>
      <c r="AM4" s="385"/>
      <c r="AN4" s="385"/>
    </row>
    <row r="5" spans="1:59" ht="18.75" customHeight="1" x14ac:dyDescent="0.35">
      <c r="A5" s="11"/>
      <c r="B5" s="11"/>
      <c r="C5" s="854"/>
      <c r="D5" s="1"/>
      <c r="E5" s="260"/>
      <c r="F5" s="1"/>
      <c r="G5" s="4"/>
      <c r="H5" s="4"/>
      <c r="I5" s="4"/>
      <c r="J5" s="1"/>
      <c r="K5" s="4"/>
      <c r="L5" s="1"/>
      <c r="M5" s="1"/>
      <c r="N5" s="1"/>
      <c r="O5" s="421"/>
      <c r="V5" s="1045"/>
      <c r="W5" s="1045"/>
      <c r="X5" s="1045"/>
      <c r="Y5" s="1045"/>
      <c r="Z5" s="1045"/>
      <c r="AA5" s="1045"/>
      <c r="AB5" s="1045"/>
      <c r="AC5" s="1045"/>
      <c r="AD5" s="1045"/>
      <c r="AE5" s="1045"/>
      <c r="AF5" s="1045"/>
      <c r="AG5" s="1045"/>
      <c r="AH5" s="1045"/>
      <c r="AI5" s="1045"/>
      <c r="AJ5" s="1045"/>
      <c r="AK5" s="1045"/>
      <c r="AL5" s="1045"/>
      <c r="AM5" s="385"/>
      <c r="AN5" s="385"/>
      <c r="AR5" s="998" t="s">
        <v>1074</v>
      </c>
      <c r="AS5" s="998"/>
      <c r="AT5" s="998"/>
      <c r="AU5" s="998"/>
      <c r="AV5" s="998"/>
      <c r="AW5" s="11"/>
    </row>
    <row r="6" spans="1:59" ht="19.5" customHeight="1" x14ac:dyDescent="0.3">
      <c r="A6" s="11"/>
      <c r="B6" s="11"/>
      <c r="C6" s="854"/>
      <c r="D6" s="1"/>
      <c r="E6" s="260"/>
      <c r="F6" s="1"/>
      <c r="G6" s="4"/>
      <c r="H6" s="4"/>
      <c r="I6" s="4"/>
      <c r="J6" s="1"/>
      <c r="K6" s="4"/>
      <c r="L6" s="1"/>
      <c r="M6" s="1"/>
      <c r="N6" s="1"/>
      <c r="O6" s="421"/>
      <c r="R6" s="1"/>
      <c r="S6" s="328"/>
      <c r="V6" s="1046" t="s">
        <v>1683</v>
      </c>
      <c r="W6" s="1046"/>
      <c r="X6" s="1046"/>
      <c r="Y6" s="1046"/>
      <c r="Z6" s="1046"/>
      <c r="AA6" s="1046"/>
      <c r="AB6" s="1046"/>
      <c r="AC6" s="1046"/>
      <c r="AD6" s="1046"/>
      <c r="AE6" s="1046"/>
      <c r="AF6" s="1046"/>
      <c r="AG6" s="1046"/>
      <c r="AH6" s="1046"/>
      <c r="AI6" s="1046"/>
      <c r="AJ6" s="1046"/>
      <c r="AK6" s="1046"/>
      <c r="AL6" s="1046"/>
      <c r="AM6" s="307"/>
      <c r="AN6" s="307"/>
      <c r="AR6" s="13" t="s">
        <v>1075</v>
      </c>
      <c r="AS6" s="11"/>
      <c r="AT6" s="11"/>
      <c r="AU6" s="72"/>
      <c r="AV6" s="143"/>
      <c r="AW6" s="40"/>
    </row>
    <row r="7" spans="1:59" ht="15" customHeight="1" x14ac:dyDescent="0.3">
      <c r="A7" s="11"/>
      <c r="B7" s="11"/>
      <c r="C7" s="854"/>
      <c r="D7" s="1"/>
      <c r="E7" s="260"/>
      <c r="F7" s="1"/>
      <c r="G7" s="4"/>
      <c r="H7" s="4"/>
      <c r="I7" s="4"/>
      <c r="J7" s="1"/>
      <c r="K7" s="4"/>
      <c r="L7" s="1"/>
      <c r="M7" s="1"/>
      <c r="N7" s="1"/>
      <c r="O7" s="421"/>
      <c r="R7" s="1"/>
      <c r="S7" s="328"/>
      <c r="V7" s="307"/>
      <c r="W7" s="307"/>
      <c r="X7" s="307"/>
      <c r="Y7" s="307"/>
      <c r="Z7" s="307"/>
      <c r="AA7" s="307"/>
      <c r="AB7" s="307"/>
      <c r="AC7" s="307"/>
      <c r="AD7" s="307"/>
      <c r="AE7" s="307"/>
      <c r="AF7" s="307"/>
      <c r="AG7" s="307"/>
      <c r="AH7" s="307"/>
      <c r="AI7" s="307"/>
      <c r="AJ7" s="307"/>
      <c r="AK7" s="307"/>
      <c r="AL7" s="307"/>
      <c r="AM7" s="307"/>
      <c r="AN7" s="307"/>
      <c r="AR7" s="13" t="s">
        <v>1076</v>
      </c>
      <c r="AS7" s="11"/>
      <c r="AT7" s="11"/>
      <c r="AU7" s="72"/>
      <c r="AV7" s="143"/>
      <c r="AW7" s="40"/>
    </row>
    <row r="8" spans="1:59" ht="9" customHeight="1" x14ac:dyDescent="0.3">
      <c r="A8" s="4"/>
      <c r="B8" s="4"/>
      <c r="C8" s="854"/>
      <c r="D8" s="64">
        <v>1800000</v>
      </c>
      <c r="E8" s="261"/>
      <c r="F8" s="64"/>
      <c r="G8" s="4"/>
      <c r="H8" s="4"/>
      <c r="I8" s="4"/>
      <c r="J8" s="1"/>
      <c r="K8" s="4"/>
      <c r="L8" s="1"/>
      <c r="M8" s="1"/>
      <c r="N8" s="1"/>
      <c r="O8" s="421"/>
      <c r="Q8" s="12"/>
      <c r="R8" s="6"/>
      <c r="S8" s="326"/>
      <c r="W8" s="12"/>
    </row>
    <row r="9" spans="1:59" s="14" customFormat="1" ht="27" customHeight="1" x14ac:dyDescent="0.25">
      <c r="A9" s="1000" t="s">
        <v>691</v>
      </c>
      <c r="B9" s="59"/>
      <c r="C9" s="1047" t="s">
        <v>1031</v>
      </c>
      <c r="D9" s="1000" t="s">
        <v>699</v>
      </c>
      <c r="E9" s="1002" t="s">
        <v>1054</v>
      </c>
      <c r="F9" s="59"/>
      <c r="G9" s="1004" t="s">
        <v>22</v>
      </c>
      <c r="H9" s="141"/>
      <c r="I9" s="141" t="s">
        <v>285</v>
      </c>
      <c r="J9" s="1004" t="s">
        <v>178</v>
      </c>
      <c r="K9" s="1005" t="s">
        <v>1311</v>
      </c>
      <c r="L9" s="274" t="s">
        <v>69</v>
      </c>
      <c r="M9" s="1007" t="s">
        <v>1031</v>
      </c>
      <c r="N9" s="1043" t="s">
        <v>1582</v>
      </c>
      <c r="O9" s="1008" t="s">
        <v>824</v>
      </c>
      <c r="P9" s="1009" t="s">
        <v>174</v>
      </c>
      <c r="Q9" s="1010" t="s">
        <v>700</v>
      </c>
      <c r="R9" s="1011" t="s">
        <v>1056</v>
      </c>
      <c r="S9" s="1012"/>
      <c r="T9" s="1012"/>
      <c r="U9" s="1012"/>
      <c r="V9" s="1012"/>
      <c r="W9" s="1012"/>
      <c r="X9" s="1012"/>
      <c r="Y9" s="1012"/>
      <c r="Z9" s="1013" t="s">
        <v>827</v>
      </c>
      <c r="AA9" s="1025" t="s">
        <v>718</v>
      </c>
      <c r="AB9" s="1027" t="s">
        <v>1061</v>
      </c>
      <c r="AC9" s="1025" t="s">
        <v>828</v>
      </c>
      <c r="AD9" s="1025" t="s">
        <v>829</v>
      </c>
      <c r="AE9" s="1025" t="s">
        <v>830</v>
      </c>
      <c r="AF9" s="1000" t="s">
        <v>717</v>
      </c>
      <c r="AG9" s="1000"/>
      <c r="AH9" s="1000"/>
      <c r="AI9" s="1000"/>
      <c r="AJ9" s="1000"/>
      <c r="AK9" s="1031" t="s">
        <v>1091</v>
      </c>
      <c r="AL9" s="1031"/>
      <c r="AM9" s="1032" t="s">
        <v>1108</v>
      </c>
      <c r="AN9" s="1033"/>
      <c r="AO9" s="1023" t="s">
        <v>678</v>
      </c>
      <c r="AP9" s="1034" t="s">
        <v>523</v>
      </c>
      <c r="AQ9" s="1023" t="s">
        <v>1092</v>
      </c>
      <c r="AR9" s="1024" t="s">
        <v>546</v>
      </c>
      <c r="AS9" s="1015" t="s">
        <v>644</v>
      </c>
      <c r="AT9" s="1016" t="s">
        <v>1032</v>
      </c>
      <c r="AU9" s="1018" t="s">
        <v>1057</v>
      </c>
      <c r="AV9" s="1018"/>
      <c r="AW9" s="85"/>
    </row>
    <row r="10" spans="1:59" s="14" customFormat="1" ht="36" x14ac:dyDescent="0.25">
      <c r="A10" s="1000"/>
      <c r="B10" s="59"/>
      <c r="C10" s="1047"/>
      <c r="D10" s="1000"/>
      <c r="E10" s="1003"/>
      <c r="F10" s="59"/>
      <c r="G10" s="1004"/>
      <c r="H10" s="141"/>
      <c r="I10" s="141" t="s">
        <v>286</v>
      </c>
      <c r="J10" s="1004"/>
      <c r="K10" s="1006"/>
      <c r="L10" s="274" t="s">
        <v>131</v>
      </c>
      <c r="M10" s="1007"/>
      <c r="N10" s="1044"/>
      <c r="O10" s="1008"/>
      <c r="P10" s="1009"/>
      <c r="Q10" s="1010"/>
      <c r="R10" s="299" t="s">
        <v>825</v>
      </c>
      <c r="S10" s="329" t="s">
        <v>1062</v>
      </c>
      <c r="T10" s="379" t="s">
        <v>1033</v>
      </c>
      <c r="U10" s="301" t="s">
        <v>1055</v>
      </c>
      <c r="V10" s="300"/>
      <c r="W10" s="302" t="s">
        <v>1123</v>
      </c>
      <c r="X10" s="270" t="s">
        <v>1077</v>
      </c>
      <c r="Y10" s="303" t="s">
        <v>826</v>
      </c>
      <c r="Z10" s="1014"/>
      <c r="AA10" s="1026"/>
      <c r="AB10" s="1028"/>
      <c r="AC10" s="1026"/>
      <c r="AD10" s="1026"/>
      <c r="AE10" s="1026"/>
      <c r="AF10" s="60" t="s">
        <v>747</v>
      </c>
      <c r="AG10" s="60" t="s">
        <v>564</v>
      </c>
      <c r="AH10" s="57" t="s">
        <v>521</v>
      </c>
      <c r="AI10" s="57" t="s">
        <v>831</v>
      </c>
      <c r="AJ10" s="57" t="s">
        <v>716</v>
      </c>
      <c r="AK10" s="60" t="s">
        <v>719</v>
      </c>
      <c r="AL10" s="60" t="s">
        <v>718</v>
      </c>
      <c r="AM10" s="60" t="s">
        <v>719</v>
      </c>
      <c r="AN10" s="60" t="s">
        <v>718</v>
      </c>
      <c r="AO10" s="1023"/>
      <c r="AP10" s="1034"/>
      <c r="AQ10" s="1023"/>
      <c r="AR10" s="1024"/>
      <c r="AS10" s="1015"/>
      <c r="AT10" s="1017"/>
      <c r="AU10" s="1018"/>
      <c r="AV10" s="1018"/>
      <c r="AW10" s="86"/>
    </row>
    <row r="11" spans="1:59" s="14" customFormat="1" ht="24" x14ac:dyDescent="0.25">
      <c r="A11" s="275">
        <v>1</v>
      </c>
      <c r="B11" s="275"/>
      <c r="C11" s="855">
        <v>2</v>
      </c>
      <c r="D11" s="275">
        <v>3</v>
      </c>
      <c r="E11" s="276">
        <v>4</v>
      </c>
      <c r="F11" s="275"/>
      <c r="G11" s="59"/>
      <c r="H11" s="59"/>
      <c r="I11" s="59"/>
      <c r="J11" s="59"/>
      <c r="K11" s="59"/>
      <c r="L11" s="31"/>
      <c r="M11" s="31"/>
      <c r="N11" s="31"/>
      <c r="O11" s="388">
        <v>5</v>
      </c>
      <c r="P11" s="277" t="s">
        <v>172</v>
      </c>
      <c r="Q11" s="278" t="s">
        <v>173</v>
      </c>
      <c r="R11" s="277">
        <v>6</v>
      </c>
      <c r="S11" s="330" t="s">
        <v>1138</v>
      </c>
      <c r="T11" s="330" t="s">
        <v>1138</v>
      </c>
      <c r="U11" s="61">
        <v>7</v>
      </c>
      <c r="V11" s="330" t="s">
        <v>1138</v>
      </c>
      <c r="W11" s="275">
        <v>8</v>
      </c>
      <c r="X11" s="330" t="s">
        <v>1138</v>
      </c>
      <c r="Y11" s="279">
        <v>9</v>
      </c>
      <c r="Z11" s="279" t="s">
        <v>1099</v>
      </c>
      <c r="AA11" s="384" t="s">
        <v>1627</v>
      </c>
      <c r="AB11" s="407" t="s">
        <v>1138</v>
      </c>
      <c r="AC11" s="279">
        <v>12</v>
      </c>
      <c r="AD11" s="279">
        <v>13</v>
      </c>
      <c r="AE11" s="279" t="s">
        <v>1100</v>
      </c>
      <c r="AF11" s="279">
        <v>15</v>
      </c>
      <c r="AG11" s="279">
        <v>16</v>
      </c>
      <c r="AH11" s="279">
        <v>17</v>
      </c>
      <c r="AI11" s="279">
        <v>18</v>
      </c>
      <c r="AJ11" s="382" t="s">
        <v>1101</v>
      </c>
      <c r="AK11" s="279">
        <v>20</v>
      </c>
      <c r="AL11" s="382" t="s">
        <v>1628</v>
      </c>
      <c r="AM11" s="382">
        <v>22</v>
      </c>
      <c r="AN11" s="382" t="s">
        <v>1629</v>
      </c>
      <c r="AO11" s="492" t="s">
        <v>1138</v>
      </c>
      <c r="AP11" s="330" t="s">
        <v>1138</v>
      </c>
      <c r="AQ11" s="383" t="s">
        <v>1113</v>
      </c>
      <c r="AR11" s="382" t="s">
        <v>1630</v>
      </c>
      <c r="AS11" s="330" t="s">
        <v>1138</v>
      </c>
      <c r="AT11" s="279" t="s">
        <v>1109</v>
      </c>
      <c r="AU11" s="1019">
        <v>27</v>
      </c>
      <c r="AV11" s="1019"/>
      <c r="AW11" s="87"/>
    </row>
    <row r="12" spans="1:59" s="166" customFormat="1" ht="40.5" hidden="1" customHeight="1" x14ac:dyDescent="0.25">
      <c r="A12" s="157"/>
      <c r="B12" s="157"/>
      <c r="C12" s="856"/>
      <c r="D12" s="157"/>
      <c r="E12" s="262"/>
      <c r="F12" s="157"/>
      <c r="G12" s="158"/>
      <c r="H12" s="158"/>
      <c r="I12" s="158"/>
      <c r="J12" s="158"/>
      <c r="K12" s="158"/>
      <c r="L12" s="158"/>
      <c r="M12" s="158"/>
      <c r="N12" s="158"/>
      <c r="O12" s="389"/>
      <c r="P12" s="159"/>
      <c r="Q12" s="157"/>
      <c r="R12" s="159"/>
      <c r="S12" s="331"/>
      <c r="T12" s="347"/>
      <c r="U12" s="160"/>
      <c r="V12" s="160" t="s">
        <v>732</v>
      </c>
      <c r="W12" s="157"/>
      <c r="X12" s="162"/>
      <c r="Y12" s="167"/>
      <c r="Z12" s="167"/>
      <c r="AA12" s="161"/>
      <c r="AB12" s="161"/>
      <c r="AC12" s="161"/>
      <c r="AD12" s="161"/>
      <c r="AE12" s="161"/>
      <c r="AF12" s="167" t="s">
        <v>734</v>
      </c>
      <c r="AG12" s="167" t="s">
        <v>735</v>
      </c>
      <c r="AH12" s="167" t="s">
        <v>736</v>
      </c>
      <c r="AI12" s="167"/>
      <c r="AJ12" s="167"/>
      <c r="AK12" s="161"/>
      <c r="AL12" s="167" t="s">
        <v>737</v>
      </c>
      <c r="AM12" s="167"/>
      <c r="AN12" s="167"/>
      <c r="AO12" s="493"/>
      <c r="AP12" s="162"/>
      <c r="AQ12" s="652"/>
      <c r="AR12" s="247" t="s">
        <v>738</v>
      </c>
      <c r="AS12" s="161"/>
      <c r="AT12" s="161"/>
      <c r="AU12" s="272"/>
      <c r="AV12" s="273"/>
      <c r="AW12" s="164"/>
    </row>
    <row r="13" spans="1:59" s="101" customFormat="1" ht="17.25" customHeight="1" x14ac:dyDescent="0.25">
      <c r="A13" s="280"/>
      <c r="B13" s="280"/>
      <c r="C13" s="857" t="s">
        <v>720</v>
      </c>
      <c r="D13" s="281"/>
      <c r="E13" s="282"/>
      <c r="F13" s="281"/>
      <c r="G13" s="283"/>
      <c r="H13" s="283"/>
      <c r="I13" s="283"/>
      <c r="J13" s="284"/>
      <c r="K13" s="283"/>
      <c r="L13" s="284"/>
      <c r="M13" s="284"/>
      <c r="N13" s="828"/>
      <c r="O13" s="422"/>
      <c r="P13" s="285"/>
      <c r="Q13" s="286"/>
      <c r="R13" s="287"/>
      <c r="S13" s="332"/>
      <c r="T13" s="348"/>
      <c r="U13" s="376"/>
      <c r="V13" s="288"/>
      <c r="W13" s="289"/>
      <c r="X13" s="291"/>
      <c r="Y13" s="290"/>
      <c r="Z13" s="290"/>
      <c r="AA13" s="290"/>
      <c r="AB13" s="290"/>
      <c r="AC13" s="290"/>
      <c r="AD13" s="290"/>
      <c r="AE13" s="290"/>
      <c r="AF13" s="290"/>
      <c r="AG13" s="290"/>
      <c r="AH13" s="669"/>
      <c r="AI13" s="290"/>
      <c r="AJ13" s="290"/>
      <c r="AK13" s="292"/>
      <c r="AL13" s="290"/>
      <c r="AM13" s="290"/>
      <c r="AN13" s="290"/>
      <c r="AO13" s="494"/>
      <c r="AP13" s="645"/>
      <c r="AQ13" s="293"/>
      <c r="AR13" s="290"/>
      <c r="AS13" s="290"/>
      <c r="AT13" s="290"/>
      <c r="AU13" s="294"/>
      <c r="AV13" s="295"/>
      <c r="AW13" s="822"/>
      <c r="AX13" s="2"/>
      <c r="AY13" s="2"/>
      <c r="AZ13" s="2"/>
      <c r="BA13" s="2"/>
      <c r="BB13" s="2"/>
      <c r="BC13" s="2"/>
      <c r="BD13" s="2"/>
      <c r="BE13" s="2"/>
      <c r="BF13" s="2"/>
      <c r="BG13" s="2"/>
    </row>
    <row r="14" spans="1:59" s="191" customFormat="1" ht="30" customHeight="1" x14ac:dyDescent="0.25">
      <c r="A14" s="444">
        <f>_xlfn.AGGREGATE(4,7,A$13:A13)+1</f>
        <v>1</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59" t="s">
        <v>1602</v>
      </c>
      <c r="O14" s="460" t="s">
        <v>1601</v>
      </c>
      <c r="P14" s="461" t="s">
        <v>692</v>
      </c>
      <c r="Q14" s="462">
        <v>9</v>
      </c>
      <c r="R14" s="449">
        <v>5.76</v>
      </c>
      <c r="S14" s="450">
        <f t="shared" ref="S14:S41" si="0">U14+W14+Y14</f>
        <v>3.3641999999999999</v>
      </c>
      <c r="T14" s="451"/>
      <c r="U14" s="463">
        <f t="shared" ref="U14:U41" si="1">ROUND(R14*T14/100,4)</f>
        <v>0</v>
      </c>
      <c r="V14" s="452">
        <f t="shared" ref="V14:V41" si="2">R14*T14*$D$8/100</f>
        <v>0</v>
      </c>
      <c r="W14" s="453">
        <v>0.9</v>
      </c>
      <c r="X14" s="454">
        <v>0.37</v>
      </c>
      <c r="Y14" s="455">
        <f t="shared" ref="Y14:Y41" si="3">ROUND((R14+U14+W14)*X14,4)</f>
        <v>2.4641999999999999</v>
      </c>
      <c r="Z14" s="455">
        <f t="shared" ref="Z14:Z41" si="4">ROUND(R14+U14+W14+Y14,4)</f>
        <v>9.1242000000000001</v>
      </c>
      <c r="AA14" s="464">
        <f t="shared" ref="AA14:AA41" si="5">ROUND(Z14*$D$8,0)</f>
        <v>16423560</v>
      </c>
      <c r="AB14" s="464"/>
      <c r="AC14" s="464">
        <f t="shared" ref="AC14:AC41" si="6">AA14/24*AB14</f>
        <v>0</v>
      </c>
      <c r="AD14" s="464">
        <f t="shared" ref="AD14:AD19" si="7">AA14/24*AB14*75%</f>
        <v>0</v>
      </c>
      <c r="AE14" s="464">
        <f t="shared" ref="AE14:AE41" si="8">ROUND(AA14-AC14+AD14,0)</f>
        <v>16423560</v>
      </c>
      <c r="AF14" s="465">
        <f t="shared" ref="AF14:AF41" si="9">AA14*8%</f>
        <v>1313884.8</v>
      </c>
      <c r="AG14" s="465">
        <f t="shared" ref="AG14:AG41" si="10">AA14*1.5%</f>
        <v>246353.4</v>
      </c>
      <c r="AH14" s="533">
        <f t="shared" ref="AH14:AH41" si="11">AA14*1%</f>
        <v>164235.6</v>
      </c>
      <c r="AI14" s="465"/>
      <c r="AJ14" s="465">
        <f t="shared" ref="AJ14:AJ41" si="12">SUM(AF14:AI14)</f>
        <v>1724473.8</v>
      </c>
      <c r="AK14" s="466"/>
      <c r="AL14" s="467">
        <f t="shared" ref="AL14:AL41" si="13">AK14*$D$8</f>
        <v>0</v>
      </c>
      <c r="AM14" s="467"/>
      <c r="AN14" s="467"/>
      <c r="AO14" s="929">
        <f t="shared" ref="AO14:AO29" si="14">R14+U14+W14</f>
        <v>6.66</v>
      </c>
      <c r="AP14" s="635">
        <v>0.25</v>
      </c>
      <c r="AQ14" s="653">
        <f t="shared" ref="AQ14:AQ41" si="15">ROUND(AO14*AP14,4)</f>
        <v>1.665</v>
      </c>
      <c r="AR14" s="465">
        <f t="shared" ref="AR14:AR41" si="16">ROUND(AQ14*$D$8,0)</f>
        <v>2997000</v>
      </c>
      <c r="AS14" s="465"/>
      <c r="AT14" s="465">
        <f t="shared" ref="AT14:AT41" si="17">ROUND(AE14-AJ14+AL14+AN14+AR14,0)</f>
        <v>17696086</v>
      </c>
      <c r="AU14" s="408">
        <f t="shared" ref="AU14:AU41" si="18">A14</f>
        <v>1</v>
      </c>
      <c r="AV14" s="468"/>
      <c r="AW14" s="187"/>
    </row>
    <row r="15" spans="1:59" s="189" customFormat="1" ht="28.5" customHeight="1" x14ac:dyDescent="0.25">
      <c r="A15" s="168">
        <f>_xlfn.AGGREGATE(4,7,A$13:A14)+1</f>
        <v>2</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263" t="str">
        <f>VLOOKUP(D15,'[6]Bao cao So GDDT'!$D$14:$S$282,11,FALSE)</f>
        <v>Giảng viên GDNN LT (hạng III)</v>
      </c>
      <c r="O15" s="390" t="s">
        <v>1438</v>
      </c>
      <c r="P15" s="172" t="s">
        <v>692</v>
      </c>
      <c r="Q15" s="173">
        <v>8</v>
      </c>
      <c r="R15" s="174">
        <v>4.9800000000000004</v>
      </c>
      <c r="S15" s="176">
        <f t="shared" si="0"/>
        <v>2.3749000000000002</v>
      </c>
      <c r="T15" s="370">
        <v>7</v>
      </c>
      <c r="U15" s="176">
        <f t="shared" si="1"/>
        <v>0.34860000000000002</v>
      </c>
      <c r="V15" s="175">
        <f t="shared" si="2"/>
        <v>627480</v>
      </c>
      <c r="W15" s="177">
        <v>0.7</v>
      </c>
      <c r="X15" s="179">
        <v>0.22</v>
      </c>
      <c r="Y15" s="216">
        <f t="shared" si="3"/>
        <v>1.3263</v>
      </c>
      <c r="Z15" s="216">
        <f t="shared" si="4"/>
        <v>7.3548999999999998</v>
      </c>
      <c r="AA15" s="180">
        <f t="shared" si="5"/>
        <v>13238820</v>
      </c>
      <c r="AB15" s="180"/>
      <c r="AC15" s="180">
        <f t="shared" si="6"/>
        <v>0</v>
      </c>
      <c r="AD15" s="180">
        <f t="shared" si="7"/>
        <v>0</v>
      </c>
      <c r="AE15" s="180">
        <f t="shared" si="8"/>
        <v>13238820</v>
      </c>
      <c r="AF15" s="178">
        <f t="shared" si="9"/>
        <v>1059105.6000000001</v>
      </c>
      <c r="AG15" s="178">
        <f t="shared" si="10"/>
        <v>198582.3</v>
      </c>
      <c r="AH15" s="178">
        <f t="shared" si="11"/>
        <v>132388.20000000001</v>
      </c>
      <c r="AI15" s="178"/>
      <c r="AJ15" s="178">
        <f t="shared" si="12"/>
        <v>1390076.1</v>
      </c>
      <c r="AK15" s="181"/>
      <c r="AL15" s="182">
        <f t="shared" si="13"/>
        <v>0</v>
      </c>
      <c r="AM15" s="182"/>
      <c r="AN15" s="182"/>
      <c r="AO15" s="183">
        <f t="shared" si="14"/>
        <v>6.0286000000000008</v>
      </c>
      <c r="AP15" s="443">
        <v>0.25</v>
      </c>
      <c r="AQ15" s="185">
        <f t="shared" si="15"/>
        <v>1.5072000000000001</v>
      </c>
      <c r="AR15" s="178">
        <f t="shared" si="16"/>
        <v>2712960</v>
      </c>
      <c r="AS15" s="178"/>
      <c r="AT15" s="178">
        <f t="shared" si="17"/>
        <v>14561704</v>
      </c>
      <c r="AU15" s="469">
        <f t="shared" si="18"/>
        <v>2</v>
      </c>
      <c r="AV15" s="195"/>
      <c r="AW15" s="195" t="s">
        <v>794</v>
      </c>
    </row>
    <row r="16" spans="1:59" s="191" customFormat="1" ht="28.5" customHeight="1" x14ac:dyDescent="0.25">
      <c r="A16" s="168">
        <f>_xlfn.AGGREGATE(4,7,A$13:A15)+1</f>
        <v>3</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263" t="str">
        <f>VLOOKUP(D16,'[6]Bao cao So GDDT'!$D$14:$S$282,11,FALSE)</f>
        <v>Giảng viên GDNN LT (hạng III)</v>
      </c>
      <c r="O16" s="391" t="s">
        <v>39</v>
      </c>
      <c r="P16" s="172" t="s">
        <v>692</v>
      </c>
      <c r="Q16" s="173">
        <v>8</v>
      </c>
      <c r="R16" s="174">
        <v>4.9800000000000004</v>
      </c>
      <c r="S16" s="176">
        <f t="shared" si="0"/>
        <v>1.0983999999999998</v>
      </c>
      <c r="T16" s="370">
        <v>8</v>
      </c>
      <c r="U16" s="176">
        <f t="shared" si="1"/>
        <v>0.39839999999999998</v>
      </c>
      <c r="V16" s="175">
        <f t="shared" si="2"/>
        <v>717120</v>
      </c>
      <c r="W16" s="177">
        <v>0.7</v>
      </c>
      <c r="X16" s="179">
        <f>VLOOKUP(D16,PCTN!D16:W283,20,FALSE)</f>
        <v>0</v>
      </c>
      <c r="Y16" s="216">
        <f t="shared" si="3"/>
        <v>0</v>
      </c>
      <c r="Z16" s="216">
        <f t="shared" si="4"/>
        <v>6.0784000000000002</v>
      </c>
      <c r="AA16" s="180">
        <f t="shared" si="5"/>
        <v>10941120</v>
      </c>
      <c r="AB16" s="180"/>
      <c r="AC16" s="180">
        <f t="shared" si="6"/>
        <v>0</v>
      </c>
      <c r="AD16" s="180">
        <f t="shared" si="7"/>
        <v>0</v>
      </c>
      <c r="AE16" s="180">
        <f t="shared" si="8"/>
        <v>10941120</v>
      </c>
      <c r="AF16" s="178">
        <f t="shared" si="9"/>
        <v>875289.59999999998</v>
      </c>
      <c r="AG16" s="178">
        <f t="shared" si="10"/>
        <v>164116.79999999999</v>
      </c>
      <c r="AH16" s="178">
        <f t="shared" si="11"/>
        <v>109411.2</v>
      </c>
      <c r="AI16" s="178"/>
      <c r="AJ16" s="178">
        <f t="shared" si="12"/>
        <v>1148817.5999999999</v>
      </c>
      <c r="AK16" s="181"/>
      <c r="AL16" s="182">
        <f t="shared" si="13"/>
        <v>0</v>
      </c>
      <c r="AM16" s="182"/>
      <c r="AN16" s="182"/>
      <c r="AO16" s="183">
        <f t="shared" si="14"/>
        <v>6.0784000000000002</v>
      </c>
      <c r="AP16" s="179"/>
      <c r="AQ16" s="185">
        <f t="shared" si="15"/>
        <v>0</v>
      </c>
      <c r="AR16" s="178">
        <f t="shared" si="16"/>
        <v>0</v>
      </c>
      <c r="AS16" s="178"/>
      <c r="AT16" s="178">
        <f t="shared" si="17"/>
        <v>9792302</v>
      </c>
      <c r="AU16" s="469">
        <f t="shared" si="18"/>
        <v>3</v>
      </c>
      <c r="AV16" s="195"/>
      <c r="AW16" s="187"/>
    </row>
    <row r="17" spans="1:59" s="189" customFormat="1" ht="28.5" customHeight="1" x14ac:dyDescent="0.25">
      <c r="A17" s="168">
        <f>_xlfn.AGGREGATE(4,7,A$13:A16)+1</f>
        <v>4</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263" t="str">
        <f>VLOOKUP(D17,'[6]Bao cao So GDDT'!$D$14:$S$282,11,FALSE)</f>
        <v>Giảng viên GDNN LT (hạng III)</v>
      </c>
      <c r="O17" s="390" t="s">
        <v>1438</v>
      </c>
      <c r="P17" s="172" t="s">
        <v>692</v>
      </c>
      <c r="Q17" s="173">
        <v>6</v>
      </c>
      <c r="R17" s="174">
        <v>4.6500000000000004</v>
      </c>
      <c r="S17" s="176">
        <f t="shared" si="0"/>
        <v>1.8234999999999999</v>
      </c>
      <c r="T17" s="370"/>
      <c r="U17" s="176">
        <f t="shared" si="1"/>
        <v>0</v>
      </c>
      <c r="V17" s="175">
        <f t="shared" si="2"/>
        <v>0</v>
      </c>
      <c r="W17" s="177">
        <v>0.7</v>
      </c>
      <c r="X17" s="179">
        <v>0.21</v>
      </c>
      <c r="Y17" s="216">
        <f t="shared" si="3"/>
        <v>1.1234999999999999</v>
      </c>
      <c r="Z17" s="216">
        <f t="shared" si="4"/>
        <v>6.4734999999999996</v>
      </c>
      <c r="AA17" s="180">
        <f t="shared" si="5"/>
        <v>11652300</v>
      </c>
      <c r="AB17" s="180"/>
      <c r="AC17" s="180">
        <f t="shared" si="6"/>
        <v>0</v>
      </c>
      <c r="AD17" s="180">
        <f t="shared" si="7"/>
        <v>0</v>
      </c>
      <c r="AE17" s="180">
        <f t="shared" si="8"/>
        <v>11652300</v>
      </c>
      <c r="AF17" s="178">
        <f t="shared" si="9"/>
        <v>932184</v>
      </c>
      <c r="AG17" s="178">
        <f t="shared" si="10"/>
        <v>174784.5</v>
      </c>
      <c r="AH17" s="178">
        <f t="shared" si="11"/>
        <v>116523</v>
      </c>
      <c r="AI17" s="178"/>
      <c r="AJ17" s="178">
        <f t="shared" si="12"/>
        <v>1223491.5</v>
      </c>
      <c r="AK17" s="181"/>
      <c r="AL17" s="182">
        <f t="shared" si="13"/>
        <v>0</v>
      </c>
      <c r="AM17" s="182"/>
      <c r="AN17" s="182"/>
      <c r="AO17" s="183">
        <f t="shared" si="14"/>
        <v>5.3500000000000005</v>
      </c>
      <c r="AP17" s="443">
        <v>0.25</v>
      </c>
      <c r="AQ17" s="185">
        <f t="shared" si="15"/>
        <v>1.3374999999999999</v>
      </c>
      <c r="AR17" s="178">
        <f t="shared" si="16"/>
        <v>2407500</v>
      </c>
      <c r="AS17" s="178"/>
      <c r="AT17" s="178">
        <f t="shared" si="17"/>
        <v>12836309</v>
      </c>
      <c r="AU17" s="469">
        <f t="shared" si="18"/>
        <v>4</v>
      </c>
      <c r="AV17" s="195"/>
      <c r="AW17" s="195" t="s">
        <v>1368</v>
      </c>
      <c r="AY17" s="670"/>
      <c r="AZ17" s="670"/>
    </row>
    <row r="18" spans="1:59" s="189" customFormat="1" ht="42.75" customHeight="1" x14ac:dyDescent="0.25">
      <c r="A18" s="168">
        <f>_xlfn.AGGREGATE(4,7,A$13:A17)+1</f>
        <v>5</v>
      </c>
      <c r="B18" s="168" t="s">
        <v>1552</v>
      </c>
      <c r="C18" s="361" t="s">
        <v>839</v>
      </c>
      <c r="D18" s="169" t="s">
        <v>799</v>
      </c>
      <c r="E18" s="263" t="s">
        <v>1303</v>
      </c>
      <c r="F18" s="169"/>
      <c r="G18" s="170"/>
      <c r="H18" s="170"/>
      <c r="I18" s="170"/>
      <c r="J18" s="169"/>
      <c r="K18" s="168" t="s">
        <v>1352</v>
      </c>
      <c r="L18" s="201"/>
      <c r="M18" s="201" t="s">
        <v>839</v>
      </c>
      <c r="N18" s="263" t="str">
        <f>VLOOKUP(D18,'[6]Bao cao So GDDT'!$D$14:$S$282,11,FALSE)</f>
        <v>Giảng viên GDNN LT (hạng III)</v>
      </c>
      <c r="O18" s="390" t="s">
        <v>1438</v>
      </c>
      <c r="P18" s="172" t="s">
        <v>692</v>
      </c>
      <c r="Q18" s="173">
        <v>7</v>
      </c>
      <c r="R18" s="174">
        <v>4.9800000000000004</v>
      </c>
      <c r="S18" s="176">
        <f t="shared" si="0"/>
        <v>1.9484000000000001</v>
      </c>
      <c r="T18" s="370">
        <v>5</v>
      </c>
      <c r="U18" s="176">
        <f t="shared" si="1"/>
        <v>0.249</v>
      </c>
      <c r="V18" s="175">
        <f t="shared" si="2"/>
        <v>448200.00000000006</v>
      </c>
      <c r="W18" s="170">
        <v>0.45</v>
      </c>
      <c r="X18" s="179">
        <v>0.22</v>
      </c>
      <c r="Y18" s="216">
        <f t="shared" si="3"/>
        <v>1.2494000000000001</v>
      </c>
      <c r="Z18" s="216">
        <f t="shared" si="4"/>
        <v>6.9283999999999999</v>
      </c>
      <c r="AA18" s="180">
        <f t="shared" si="5"/>
        <v>12471120</v>
      </c>
      <c r="AB18" s="180"/>
      <c r="AC18" s="180">
        <f t="shared" si="6"/>
        <v>0</v>
      </c>
      <c r="AD18" s="180">
        <f t="shared" si="7"/>
        <v>0</v>
      </c>
      <c r="AE18" s="180">
        <f t="shared" si="8"/>
        <v>12471120</v>
      </c>
      <c r="AF18" s="178">
        <f t="shared" si="9"/>
        <v>997689.6</v>
      </c>
      <c r="AG18" s="178">
        <f t="shared" si="10"/>
        <v>187066.8</v>
      </c>
      <c r="AH18" s="178">
        <f t="shared" si="11"/>
        <v>124711.2</v>
      </c>
      <c r="AI18" s="178"/>
      <c r="AJ18" s="178">
        <f t="shared" si="12"/>
        <v>1309467.5999999999</v>
      </c>
      <c r="AK18" s="192"/>
      <c r="AL18" s="182">
        <f t="shared" si="13"/>
        <v>0</v>
      </c>
      <c r="AM18" s="182"/>
      <c r="AN18" s="182"/>
      <c r="AO18" s="183">
        <f t="shared" si="14"/>
        <v>5.6790000000000003</v>
      </c>
      <c r="AP18" s="443">
        <v>0.25</v>
      </c>
      <c r="AQ18" s="185">
        <f t="shared" si="15"/>
        <v>1.4198</v>
      </c>
      <c r="AR18" s="178">
        <f t="shared" si="16"/>
        <v>2555640</v>
      </c>
      <c r="AS18" s="178"/>
      <c r="AT18" s="178">
        <f t="shared" si="17"/>
        <v>13717292</v>
      </c>
      <c r="AU18" s="469">
        <f t="shared" si="18"/>
        <v>5</v>
      </c>
      <c r="AV18" s="195"/>
      <c r="AW18" s="198"/>
      <c r="AY18" s="670"/>
      <c r="AZ18" s="670"/>
    </row>
    <row r="19" spans="1:59" s="189" customFormat="1" ht="32.25" customHeight="1" x14ac:dyDescent="0.25">
      <c r="A19" s="168">
        <f>_xlfn.AGGREGATE(4,7,A$13:A18)+1</f>
        <v>6</v>
      </c>
      <c r="B19" s="168" t="str">
        <f>VLOOKUP(D19,[1]LuongBC_T01!$B$9:$C$292,2,FALSE)</f>
        <v>0016100006806001</v>
      </c>
      <c r="C19" s="361" t="s">
        <v>838</v>
      </c>
      <c r="D19" s="169" t="s">
        <v>776</v>
      </c>
      <c r="E19" s="263" t="s">
        <v>1244</v>
      </c>
      <c r="F19" s="169"/>
      <c r="G19" s="170"/>
      <c r="H19" s="170"/>
      <c r="I19" s="170"/>
      <c r="J19" s="169"/>
      <c r="K19" s="170" t="str">
        <f>VLOOKUP(D19,[2]T3!$B$2:$D$328,3,FALSE)</f>
        <v>024891110</v>
      </c>
      <c r="L19" s="201" t="s">
        <v>788</v>
      </c>
      <c r="M19" s="201" t="s">
        <v>838</v>
      </c>
      <c r="N19" s="263" t="str">
        <f>VLOOKUP(D19,'[6]Bao cao So GDDT'!$D$14:$S$282,11,FALSE)</f>
        <v>Giảng viên GDNN LT (hạng III)</v>
      </c>
      <c r="O19" s="390" t="s">
        <v>1438</v>
      </c>
      <c r="P19" s="172" t="s">
        <v>692</v>
      </c>
      <c r="Q19" s="173">
        <v>7</v>
      </c>
      <c r="R19" s="174">
        <v>4.9800000000000004</v>
      </c>
      <c r="S19" s="176">
        <f t="shared" si="0"/>
        <v>2.0052000000000003</v>
      </c>
      <c r="T19" s="370">
        <v>5</v>
      </c>
      <c r="U19" s="176">
        <f t="shared" si="1"/>
        <v>0.249</v>
      </c>
      <c r="V19" s="175">
        <f t="shared" si="2"/>
        <v>448200.00000000006</v>
      </c>
      <c r="W19" s="170">
        <v>0.45</v>
      </c>
      <c r="X19" s="179">
        <v>0.23</v>
      </c>
      <c r="Y19" s="216">
        <f t="shared" si="3"/>
        <v>1.3062</v>
      </c>
      <c r="Z19" s="216">
        <f t="shared" si="4"/>
        <v>6.9851999999999999</v>
      </c>
      <c r="AA19" s="180">
        <f t="shared" si="5"/>
        <v>12573360</v>
      </c>
      <c r="AB19" s="180"/>
      <c r="AC19" s="180">
        <f t="shared" si="6"/>
        <v>0</v>
      </c>
      <c r="AD19" s="180">
        <f t="shared" si="7"/>
        <v>0</v>
      </c>
      <c r="AE19" s="180">
        <f t="shared" si="8"/>
        <v>12573360</v>
      </c>
      <c r="AF19" s="178">
        <f t="shared" si="9"/>
        <v>1005868.8</v>
      </c>
      <c r="AG19" s="178">
        <f t="shared" si="10"/>
        <v>188600.4</v>
      </c>
      <c r="AH19" s="178">
        <f t="shared" si="11"/>
        <v>125733.6</v>
      </c>
      <c r="AI19" s="178"/>
      <c r="AJ19" s="178">
        <f t="shared" si="12"/>
        <v>1320202.8</v>
      </c>
      <c r="AK19" s="192"/>
      <c r="AL19" s="182">
        <f t="shared" si="13"/>
        <v>0</v>
      </c>
      <c r="AM19" s="182"/>
      <c r="AN19" s="182"/>
      <c r="AO19" s="183">
        <f t="shared" si="14"/>
        <v>5.6790000000000003</v>
      </c>
      <c r="AP19" s="443">
        <v>0.25</v>
      </c>
      <c r="AQ19" s="185">
        <f t="shared" si="15"/>
        <v>1.4198</v>
      </c>
      <c r="AR19" s="178">
        <f t="shared" si="16"/>
        <v>2555640</v>
      </c>
      <c r="AS19" s="178"/>
      <c r="AT19" s="178">
        <f t="shared" si="17"/>
        <v>13808797</v>
      </c>
      <c r="AU19" s="469">
        <f t="shared" si="18"/>
        <v>6</v>
      </c>
      <c r="AV19" s="195"/>
      <c r="AW19" s="198"/>
      <c r="AY19" s="670"/>
      <c r="AZ19" s="670"/>
    </row>
    <row r="20" spans="1:59" s="191" customFormat="1" ht="39" customHeight="1" x14ac:dyDescent="0.25">
      <c r="A20" s="168">
        <f>_xlfn.AGGREGATE(4,7,A$13:A19)+1</f>
        <v>7</v>
      </c>
      <c r="B20" s="168" t="str">
        <f>VLOOKUP(D20,[1]LuongBC_T01!$B$9:$C$292,2,FALSE)</f>
        <v>0016100006495006</v>
      </c>
      <c r="C20" s="361" t="s">
        <v>847</v>
      </c>
      <c r="D20" s="169" t="s">
        <v>1148</v>
      </c>
      <c r="E20" s="263" t="s">
        <v>1247</v>
      </c>
      <c r="F20" s="169" t="s">
        <v>549</v>
      </c>
      <c r="G20" s="170"/>
      <c r="H20" s="170"/>
      <c r="I20" s="170" t="s">
        <v>283</v>
      </c>
      <c r="J20" s="169" t="s">
        <v>225</v>
      </c>
      <c r="K20" s="170" t="str">
        <f>VLOOKUP(D20,[2]T3!$B$2:$D$328,3,FALSE)</f>
        <v>079074000549</v>
      </c>
      <c r="L20" s="171" t="s">
        <v>91</v>
      </c>
      <c r="M20" s="171" t="s">
        <v>847</v>
      </c>
      <c r="N20" s="263" t="str">
        <f>VLOOKUP(D20,'[6]Bao cao So GDDT'!$D$14:$S$282,11,FALSE)</f>
        <v>Giảng viên GDNN LT (hạng III)</v>
      </c>
      <c r="O20" s="390" t="s">
        <v>1438</v>
      </c>
      <c r="P20" s="172" t="s">
        <v>692</v>
      </c>
      <c r="Q20" s="173">
        <v>8</v>
      </c>
      <c r="R20" s="174">
        <v>4.9800000000000004</v>
      </c>
      <c r="S20" s="176">
        <f t="shared" si="0"/>
        <v>1.9479000000000002</v>
      </c>
      <c r="T20" s="370">
        <v>7</v>
      </c>
      <c r="U20" s="176">
        <f t="shared" si="1"/>
        <v>0.34860000000000002</v>
      </c>
      <c r="V20" s="175">
        <f t="shared" si="2"/>
        <v>627480</v>
      </c>
      <c r="W20" s="170">
        <v>0.35</v>
      </c>
      <c r="X20" s="179">
        <v>0.22</v>
      </c>
      <c r="Y20" s="216">
        <f t="shared" si="3"/>
        <v>1.2493000000000001</v>
      </c>
      <c r="Z20" s="216">
        <f t="shared" si="4"/>
        <v>6.9279000000000002</v>
      </c>
      <c r="AA20" s="180">
        <f t="shared" si="5"/>
        <v>12470220</v>
      </c>
      <c r="AB20" s="180"/>
      <c r="AC20" s="180">
        <f t="shared" si="6"/>
        <v>0</v>
      </c>
      <c r="AD20" s="180">
        <v>0</v>
      </c>
      <c r="AE20" s="180">
        <f t="shared" si="8"/>
        <v>12470220</v>
      </c>
      <c r="AF20" s="178">
        <f t="shared" si="9"/>
        <v>997617.6</v>
      </c>
      <c r="AG20" s="178">
        <f t="shared" si="10"/>
        <v>187053.3</v>
      </c>
      <c r="AH20" s="178">
        <f t="shared" si="11"/>
        <v>124702.2</v>
      </c>
      <c r="AI20" s="178"/>
      <c r="AJ20" s="178">
        <f t="shared" si="12"/>
        <v>1309373.0999999999</v>
      </c>
      <c r="AK20" s="192"/>
      <c r="AL20" s="182">
        <f t="shared" si="13"/>
        <v>0</v>
      </c>
      <c r="AM20" s="182"/>
      <c r="AN20" s="182"/>
      <c r="AO20" s="183">
        <f t="shared" si="14"/>
        <v>5.6786000000000003</v>
      </c>
      <c r="AP20" s="443">
        <v>0.25</v>
      </c>
      <c r="AQ20" s="185">
        <f t="shared" si="15"/>
        <v>1.4197</v>
      </c>
      <c r="AR20" s="178">
        <f t="shared" si="16"/>
        <v>2555460</v>
      </c>
      <c r="AS20" s="178"/>
      <c r="AT20" s="178">
        <f t="shared" si="17"/>
        <v>13716307</v>
      </c>
      <c r="AU20" s="469">
        <f t="shared" si="18"/>
        <v>7</v>
      </c>
      <c r="AV20" s="195"/>
      <c r="AW20" s="218" t="s">
        <v>730</v>
      </c>
      <c r="AY20" s="872"/>
      <c r="AZ20" s="872"/>
    </row>
    <row r="21" spans="1:59" s="189" customFormat="1" ht="33.75" customHeight="1" x14ac:dyDescent="0.25">
      <c r="A21" s="168">
        <f>_xlfn.AGGREGATE(4,7,A$13:A20)+1</f>
        <v>8</v>
      </c>
      <c r="B21" s="168" t="str">
        <f>VLOOKUP(D21,[1]LuongBC_T01!$B$9:$C$292,2,FALSE)</f>
        <v>0016100006708007</v>
      </c>
      <c r="C21" s="199" t="s">
        <v>856</v>
      </c>
      <c r="D21" s="169" t="s">
        <v>1156</v>
      </c>
      <c r="E21" s="263" t="s">
        <v>1250</v>
      </c>
      <c r="F21" s="169" t="s">
        <v>549</v>
      </c>
      <c r="G21" s="170"/>
      <c r="H21" s="170" t="s">
        <v>283</v>
      </c>
      <c r="I21" s="170" t="s">
        <v>283</v>
      </c>
      <c r="J21" s="169" t="s">
        <v>214</v>
      </c>
      <c r="K21" s="170" t="str">
        <f>VLOOKUP(D21,[2]T3!$B$2:$D$328,3,FALSE)</f>
        <v>022688264</v>
      </c>
      <c r="L21" s="171" t="s">
        <v>96</v>
      </c>
      <c r="M21" s="171" t="s">
        <v>856</v>
      </c>
      <c r="N21" s="263" t="str">
        <f>VLOOKUP(D21,'[6]Bao cao So GDDT'!$D$14:$S$282,11,FALSE)</f>
        <v>Giảng viên GDNN LT (hạng III)</v>
      </c>
      <c r="O21" s="390" t="s">
        <v>1438</v>
      </c>
      <c r="P21" s="172" t="s">
        <v>692</v>
      </c>
      <c r="Q21" s="173">
        <v>7</v>
      </c>
      <c r="R21" s="174">
        <v>4.9800000000000004</v>
      </c>
      <c r="S21" s="176">
        <f t="shared" si="0"/>
        <v>1.7044000000000001</v>
      </c>
      <c r="T21" s="370">
        <v>5</v>
      </c>
      <c r="U21" s="176">
        <f t="shared" si="1"/>
        <v>0.249</v>
      </c>
      <c r="V21" s="175">
        <f t="shared" si="2"/>
        <v>448200.00000000006</v>
      </c>
      <c r="W21" s="170">
        <v>0.25</v>
      </c>
      <c r="X21" s="179">
        <v>0.22</v>
      </c>
      <c r="Y21" s="216">
        <f t="shared" si="3"/>
        <v>1.2054</v>
      </c>
      <c r="Z21" s="216">
        <f t="shared" si="4"/>
        <v>6.6844000000000001</v>
      </c>
      <c r="AA21" s="180">
        <f t="shared" si="5"/>
        <v>12031920</v>
      </c>
      <c r="AB21" s="180"/>
      <c r="AC21" s="180">
        <f t="shared" si="6"/>
        <v>0</v>
      </c>
      <c r="AD21" s="180">
        <v>0</v>
      </c>
      <c r="AE21" s="180">
        <f t="shared" si="8"/>
        <v>12031920</v>
      </c>
      <c r="AF21" s="178">
        <f t="shared" si="9"/>
        <v>962553.6</v>
      </c>
      <c r="AG21" s="178">
        <f t="shared" si="10"/>
        <v>180478.8</v>
      </c>
      <c r="AH21" s="178">
        <f t="shared" si="11"/>
        <v>120319.2</v>
      </c>
      <c r="AI21" s="178"/>
      <c r="AJ21" s="178">
        <f t="shared" si="12"/>
        <v>1263351.5999999999</v>
      </c>
      <c r="AK21" s="192"/>
      <c r="AL21" s="182">
        <f t="shared" si="13"/>
        <v>0</v>
      </c>
      <c r="AM21" s="182"/>
      <c r="AN21" s="182"/>
      <c r="AO21" s="183">
        <f t="shared" si="14"/>
        <v>5.4790000000000001</v>
      </c>
      <c r="AP21" s="443">
        <v>0.25</v>
      </c>
      <c r="AQ21" s="185">
        <f t="shared" si="15"/>
        <v>1.3697999999999999</v>
      </c>
      <c r="AR21" s="178">
        <f t="shared" si="16"/>
        <v>2465640</v>
      </c>
      <c r="AS21" s="178"/>
      <c r="AT21" s="178">
        <f t="shared" si="17"/>
        <v>13234208</v>
      </c>
      <c r="AU21" s="469">
        <f t="shared" si="18"/>
        <v>8</v>
      </c>
      <c r="AV21" s="195"/>
      <c r="AW21" s="198" t="s">
        <v>729</v>
      </c>
      <c r="AY21" s="670"/>
      <c r="AZ21" s="670"/>
    </row>
    <row r="22" spans="1:59" s="189" customFormat="1" ht="33.75" customHeight="1" x14ac:dyDescent="0.25">
      <c r="A22" s="168">
        <f>_xlfn.AGGREGATE(4,7,A$13:A21)+1</f>
        <v>9</v>
      </c>
      <c r="B22" s="168"/>
      <c r="C22" s="199"/>
      <c r="D22" s="875" t="s">
        <v>1623</v>
      </c>
      <c r="E22" s="263" t="s">
        <v>1247</v>
      </c>
      <c r="F22" s="169"/>
      <c r="G22" s="170"/>
      <c r="H22" s="170"/>
      <c r="I22" s="170"/>
      <c r="J22" s="169"/>
      <c r="K22" s="170"/>
      <c r="L22" s="171"/>
      <c r="M22" s="171"/>
      <c r="N22" s="263"/>
      <c r="O22" s="390" t="s">
        <v>1624</v>
      </c>
      <c r="P22" s="172"/>
      <c r="Q22" s="173"/>
      <c r="R22" s="174">
        <v>4.0599999999999996</v>
      </c>
      <c r="S22" s="176">
        <f t="shared" si="0"/>
        <v>0.75600000000000001</v>
      </c>
      <c r="T22" s="370">
        <v>10</v>
      </c>
      <c r="U22" s="176">
        <f t="shared" si="1"/>
        <v>0.40600000000000003</v>
      </c>
      <c r="V22" s="175">
        <f t="shared" si="2"/>
        <v>730799.99999999988</v>
      </c>
      <c r="W22" s="170">
        <v>0.35</v>
      </c>
      <c r="X22" s="179"/>
      <c r="Y22" s="216">
        <f t="shared" si="3"/>
        <v>0</v>
      </c>
      <c r="Z22" s="216">
        <f t="shared" si="4"/>
        <v>4.8159999999999998</v>
      </c>
      <c r="AA22" s="180">
        <f t="shared" si="5"/>
        <v>8668800</v>
      </c>
      <c r="AB22" s="180"/>
      <c r="AC22" s="180">
        <f t="shared" si="6"/>
        <v>0</v>
      </c>
      <c r="AD22" s="180">
        <v>0</v>
      </c>
      <c r="AE22" s="180">
        <f t="shared" si="8"/>
        <v>8668800</v>
      </c>
      <c r="AF22" s="178">
        <f t="shared" si="9"/>
        <v>693504</v>
      </c>
      <c r="AG22" s="178">
        <f t="shared" si="10"/>
        <v>130032</v>
      </c>
      <c r="AH22" s="178">
        <f t="shared" si="11"/>
        <v>86688</v>
      </c>
      <c r="AI22" s="178"/>
      <c r="AJ22" s="178">
        <f t="shared" si="12"/>
        <v>910224</v>
      </c>
      <c r="AK22" s="192"/>
      <c r="AL22" s="182">
        <f t="shared" si="13"/>
        <v>0</v>
      </c>
      <c r="AM22" s="182"/>
      <c r="AN22" s="182"/>
      <c r="AO22" s="183">
        <f t="shared" si="14"/>
        <v>4.8159999999999989</v>
      </c>
      <c r="AP22" s="443"/>
      <c r="AQ22" s="185">
        <f t="shared" si="15"/>
        <v>0</v>
      </c>
      <c r="AR22" s="178">
        <f t="shared" si="16"/>
        <v>0</v>
      </c>
      <c r="AS22" s="178"/>
      <c r="AT22" s="178">
        <f t="shared" si="17"/>
        <v>7758576</v>
      </c>
      <c r="AU22" s="469">
        <f t="shared" si="18"/>
        <v>9</v>
      </c>
      <c r="AV22" s="195"/>
      <c r="AW22" s="198"/>
      <c r="AY22" s="670"/>
      <c r="AZ22" s="670"/>
    </row>
    <row r="23" spans="1:59" s="189" customFormat="1" ht="35.25" customHeight="1" x14ac:dyDescent="0.25">
      <c r="A23" s="168">
        <f>_xlfn.AGGREGATE(4,7,A$13:A22)+1</f>
        <v>10</v>
      </c>
      <c r="B23" s="168" t="str">
        <f>VLOOKUP(D23,[1]LuongBC_T01!$B$9:$C$292,2,FALSE)</f>
        <v>0016100006567007</v>
      </c>
      <c r="C23" s="858" t="s">
        <v>843</v>
      </c>
      <c r="D23" s="169" t="s">
        <v>1145</v>
      </c>
      <c r="E23" s="263" t="s">
        <v>1246</v>
      </c>
      <c r="F23" s="169" t="s">
        <v>550</v>
      </c>
      <c r="G23" s="170" t="s">
        <v>25</v>
      </c>
      <c r="H23" s="170"/>
      <c r="I23" s="170" t="s">
        <v>280</v>
      </c>
      <c r="J23" s="169" t="s">
        <v>184</v>
      </c>
      <c r="K23" s="168" t="s">
        <v>1354</v>
      </c>
      <c r="L23" s="171" t="s">
        <v>160</v>
      </c>
      <c r="M23" s="171" t="s">
        <v>843</v>
      </c>
      <c r="N23" s="829" t="str">
        <f>VLOOKUP(D23,'[6]Bao cao So GDDT'!$D$14:$S$282,11,FALSE)</f>
        <v>Bác sĩ (hạng III)</v>
      </c>
      <c r="O23" s="391" t="s">
        <v>1119</v>
      </c>
      <c r="P23" s="172" t="s">
        <v>692</v>
      </c>
      <c r="Q23" s="173">
        <v>6</v>
      </c>
      <c r="R23" s="174">
        <v>4.6500000000000004</v>
      </c>
      <c r="S23" s="176">
        <f t="shared" si="0"/>
        <v>0.45</v>
      </c>
      <c r="T23" s="370"/>
      <c r="U23" s="176">
        <f t="shared" si="1"/>
        <v>0</v>
      </c>
      <c r="V23" s="175">
        <f t="shared" si="2"/>
        <v>0</v>
      </c>
      <c r="W23" s="170">
        <v>0.45</v>
      </c>
      <c r="X23" s="179">
        <f>VLOOKUP(D23,PCTN!D23:W290,20,FALSE)</f>
        <v>0</v>
      </c>
      <c r="Y23" s="216">
        <f t="shared" si="3"/>
        <v>0</v>
      </c>
      <c r="Z23" s="216">
        <f t="shared" si="4"/>
        <v>5.0999999999999996</v>
      </c>
      <c r="AA23" s="180">
        <f t="shared" si="5"/>
        <v>9180000</v>
      </c>
      <c r="AB23" s="180"/>
      <c r="AC23" s="180">
        <f t="shared" si="6"/>
        <v>0</v>
      </c>
      <c r="AD23" s="180">
        <f>AA23/24*AB23*75%</f>
        <v>0</v>
      </c>
      <c r="AE23" s="180">
        <f t="shared" si="8"/>
        <v>9180000</v>
      </c>
      <c r="AF23" s="178">
        <f t="shared" si="9"/>
        <v>734400</v>
      </c>
      <c r="AG23" s="178">
        <f t="shared" si="10"/>
        <v>137700</v>
      </c>
      <c r="AH23" s="178">
        <f t="shared" si="11"/>
        <v>91800</v>
      </c>
      <c r="AI23" s="178"/>
      <c r="AJ23" s="178">
        <f t="shared" si="12"/>
        <v>963900</v>
      </c>
      <c r="AK23" s="181"/>
      <c r="AL23" s="182">
        <f t="shared" si="13"/>
        <v>0</v>
      </c>
      <c r="AM23" s="182"/>
      <c r="AN23" s="182"/>
      <c r="AO23" s="183">
        <f t="shared" si="14"/>
        <v>5.1000000000000005</v>
      </c>
      <c r="AP23" s="184">
        <v>0.2</v>
      </c>
      <c r="AQ23" s="185">
        <f t="shared" si="15"/>
        <v>1.02</v>
      </c>
      <c r="AR23" s="178">
        <f t="shared" si="16"/>
        <v>1836000</v>
      </c>
      <c r="AS23" s="178"/>
      <c r="AT23" s="178">
        <f t="shared" si="17"/>
        <v>10052100</v>
      </c>
      <c r="AU23" s="469">
        <f t="shared" si="18"/>
        <v>10</v>
      </c>
      <c r="AV23" s="195" t="s">
        <v>795</v>
      </c>
      <c r="AW23" s="219" t="s">
        <v>713</v>
      </c>
      <c r="AX23" s="29"/>
      <c r="AY23" s="871"/>
      <c r="AZ23" s="871"/>
      <c r="BA23" s="29"/>
      <c r="BB23" s="29"/>
      <c r="BC23" s="29"/>
      <c r="BD23" s="29"/>
      <c r="BE23" s="29"/>
      <c r="BF23" s="29"/>
      <c r="BG23" s="29"/>
    </row>
    <row r="24" spans="1:59" s="191" customFormat="1" ht="31.5" customHeight="1" x14ac:dyDescent="0.25">
      <c r="A24" s="168">
        <f>_xlfn.AGGREGATE(4,7,A$13:A23)+1</f>
        <v>11</v>
      </c>
      <c r="B24" s="168" t="str">
        <f>VLOOKUP(D24,[1]LuongBC_T01!$B$9:$C$292,2,FALSE)</f>
        <v>0016100006705008</v>
      </c>
      <c r="C24" s="361" t="s">
        <v>834</v>
      </c>
      <c r="D24" s="169" t="s">
        <v>803</v>
      </c>
      <c r="E24" s="263" t="s">
        <v>1242</v>
      </c>
      <c r="F24" s="169"/>
      <c r="G24" s="170"/>
      <c r="H24" s="170"/>
      <c r="I24" s="170"/>
      <c r="J24" s="169"/>
      <c r="K24" s="170" t="str">
        <f>VLOOKUP(D24,[2]T3!$B$2:$D$328,3,FALSE)</f>
        <v>023147526</v>
      </c>
      <c r="L24" s="171"/>
      <c r="M24" s="171" t="s">
        <v>834</v>
      </c>
      <c r="N24" s="263" t="str">
        <f>VLOOKUP(D24,'[6]Bao cao So GDDT'!$D$14:$S$282,11,FALSE)</f>
        <v>Kế toán viên</v>
      </c>
      <c r="O24" s="391" t="s">
        <v>38</v>
      </c>
      <c r="P24" s="172" t="s">
        <v>692</v>
      </c>
      <c r="Q24" s="173">
        <v>9</v>
      </c>
      <c r="R24" s="174">
        <v>4.9800000000000004</v>
      </c>
      <c r="S24" s="176">
        <f t="shared" si="0"/>
        <v>2.2926000000000002</v>
      </c>
      <c r="T24" s="370">
        <v>37</v>
      </c>
      <c r="U24" s="176">
        <f t="shared" si="1"/>
        <v>1.8426</v>
      </c>
      <c r="V24" s="175">
        <f t="shared" si="2"/>
        <v>3316680.0000000005</v>
      </c>
      <c r="W24" s="177">
        <v>0.45</v>
      </c>
      <c r="X24" s="179">
        <v>0</v>
      </c>
      <c r="Y24" s="216">
        <f t="shared" si="3"/>
        <v>0</v>
      </c>
      <c r="Z24" s="216">
        <f t="shared" si="4"/>
        <v>7.2725999999999997</v>
      </c>
      <c r="AA24" s="180">
        <f t="shared" si="5"/>
        <v>13090680</v>
      </c>
      <c r="AB24" s="180"/>
      <c r="AC24" s="180">
        <f t="shared" si="6"/>
        <v>0</v>
      </c>
      <c r="AD24" s="180">
        <f>AA24/24*AB24*75%</f>
        <v>0</v>
      </c>
      <c r="AE24" s="180">
        <f t="shared" si="8"/>
        <v>13090680</v>
      </c>
      <c r="AF24" s="178">
        <f t="shared" si="9"/>
        <v>1047254.4</v>
      </c>
      <c r="AG24" s="178">
        <f t="shared" si="10"/>
        <v>196360.19999999998</v>
      </c>
      <c r="AH24" s="178">
        <f t="shared" si="11"/>
        <v>130906.8</v>
      </c>
      <c r="AI24" s="178"/>
      <c r="AJ24" s="178">
        <f t="shared" si="12"/>
        <v>1374521.4000000001</v>
      </c>
      <c r="AK24" s="181">
        <v>0.2</v>
      </c>
      <c r="AL24" s="182">
        <f t="shared" si="13"/>
        <v>360000</v>
      </c>
      <c r="AM24" s="182"/>
      <c r="AN24" s="182"/>
      <c r="AO24" s="183">
        <f t="shared" si="14"/>
        <v>7.2726000000000006</v>
      </c>
      <c r="AP24" s="246">
        <v>0</v>
      </c>
      <c r="AQ24" s="185">
        <f t="shared" si="15"/>
        <v>0</v>
      </c>
      <c r="AR24" s="178">
        <f t="shared" si="16"/>
        <v>0</v>
      </c>
      <c r="AS24" s="178"/>
      <c r="AT24" s="178">
        <f t="shared" si="17"/>
        <v>12076159</v>
      </c>
      <c r="AU24" s="469">
        <f t="shared" si="18"/>
        <v>11</v>
      </c>
      <c r="AV24" s="195" t="s">
        <v>1270</v>
      </c>
      <c r="AW24" s="187"/>
    </row>
    <row r="25" spans="1:59" s="191" customFormat="1" ht="47.25" customHeight="1" x14ac:dyDescent="0.25">
      <c r="A25" s="168">
        <f>_xlfn.AGGREGATE(4,7,A$13:A24)+1</f>
        <v>12</v>
      </c>
      <c r="B25" s="168" t="str">
        <f>VLOOKUP(D25,[1]LuongBC_T01!$B$9:$C$292,2,FALSE)</f>
        <v>0016100006766007</v>
      </c>
      <c r="C25" s="361" t="s">
        <v>845</v>
      </c>
      <c r="D25" s="169" t="s">
        <v>1147</v>
      </c>
      <c r="E25" s="263" t="s">
        <v>1677</v>
      </c>
      <c r="F25" s="169" t="s">
        <v>549</v>
      </c>
      <c r="G25" s="170"/>
      <c r="H25" s="170"/>
      <c r="I25" s="170" t="s">
        <v>284</v>
      </c>
      <c r="J25" s="169" t="s">
        <v>204</v>
      </c>
      <c r="K25" s="168" t="s">
        <v>1356</v>
      </c>
      <c r="L25" s="171" t="s">
        <v>155</v>
      </c>
      <c r="M25" s="171" t="s">
        <v>845</v>
      </c>
      <c r="N25" s="263" t="str">
        <f>VLOOKUP(D25,'[6]Bao cao So GDDT'!$D$14:$S$282,11,FALSE)</f>
        <v>Chuyên viên</v>
      </c>
      <c r="O25" s="391" t="s">
        <v>39</v>
      </c>
      <c r="P25" s="172" t="s">
        <v>692</v>
      </c>
      <c r="Q25" s="173">
        <v>8</v>
      </c>
      <c r="R25" s="174">
        <v>4.9800000000000004</v>
      </c>
      <c r="S25" s="176">
        <f t="shared" si="0"/>
        <v>0.79859999999999998</v>
      </c>
      <c r="T25" s="370">
        <v>7</v>
      </c>
      <c r="U25" s="176">
        <f t="shared" si="1"/>
        <v>0.34860000000000002</v>
      </c>
      <c r="V25" s="175">
        <f t="shared" si="2"/>
        <v>627480</v>
      </c>
      <c r="W25" s="711">
        <v>0.45</v>
      </c>
      <c r="X25" s="179">
        <f>VLOOKUP(D25,PCTN!D24:W291,20,FALSE)</f>
        <v>0</v>
      </c>
      <c r="Y25" s="216">
        <f t="shared" si="3"/>
        <v>0</v>
      </c>
      <c r="Z25" s="216">
        <f t="shared" si="4"/>
        <v>5.7786</v>
      </c>
      <c r="AA25" s="180">
        <f t="shared" si="5"/>
        <v>10401480</v>
      </c>
      <c r="AB25" s="180"/>
      <c r="AC25" s="180">
        <f t="shared" si="6"/>
        <v>0</v>
      </c>
      <c r="AD25" s="180">
        <f>AA25/24*AB25*75%</f>
        <v>0</v>
      </c>
      <c r="AE25" s="180">
        <f t="shared" si="8"/>
        <v>10401480</v>
      </c>
      <c r="AF25" s="178">
        <f t="shared" si="9"/>
        <v>832118.4</v>
      </c>
      <c r="AG25" s="178">
        <f t="shared" si="10"/>
        <v>156022.19999999998</v>
      </c>
      <c r="AH25" s="178">
        <f t="shared" si="11"/>
        <v>104014.8</v>
      </c>
      <c r="AI25" s="178"/>
      <c r="AJ25" s="178">
        <f t="shared" si="12"/>
        <v>1092155.3999999999</v>
      </c>
      <c r="AK25" s="555"/>
      <c r="AL25" s="182">
        <f t="shared" si="13"/>
        <v>0</v>
      </c>
      <c r="AM25" s="182"/>
      <c r="AN25" s="182"/>
      <c r="AO25" s="183">
        <f t="shared" si="14"/>
        <v>5.7786000000000008</v>
      </c>
      <c r="AP25" s="179"/>
      <c r="AQ25" s="185">
        <f t="shared" si="15"/>
        <v>0</v>
      </c>
      <c r="AR25" s="178">
        <f t="shared" si="16"/>
        <v>0</v>
      </c>
      <c r="AS25" s="178"/>
      <c r="AT25" s="178">
        <f t="shared" si="17"/>
        <v>9309325</v>
      </c>
      <c r="AU25" s="469">
        <f t="shared" si="18"/>
        <v>12</v>
      </c>
      <c r="AV25" s="195" t="s">
        <v>1671</v>
      </c>
      <c r="AW25" s="187"/>
      <c r="AX25" s="552"/>
      <c r="AY25" s="552"/>
      <c r="AZ25" s="552"/>
      <c r="BA25" s="552"/>
      <c r="BB25" s="552"/>
      <c r="BC25" s="552"/>
      <c r="BD25" s="552"/>
      <c r="BE25" s="552"/>
      <c r="BF25" s="552"/>
      <c r="BG25" s="552"/>
    </row>
    <row r="26" spans="1:59" s="191" customFormat="1" ht="42.75" customHeight="1" x14ac:dyDescent="0.25">
      <c r="A26" s="726">
        <f>_xlfn.AGGREGATE(4,7,A$13:A25)+1</f>
        <v>13</v>
      </c>
      <c r="B26" s="726" t="str">
        <f>VLOOKUP(D26,[1]LuongBC_T01!$B$9:$C$292,2,FALSE)</f>
        <v>0016100006783001</v>
      </c>
      <c r="C26" s="727" t="s">
        <v>872</v>
      </c>
      <c r="D26" s="728" t="s">
        <v>1173</v>
      </c>
      <c r="E26" s="729" t="s">
        <v>1374</v>
      </c>
      <c r="F26" s="728" t="s">
        <v>549</v>
      </c>
      <c r="G26" s="730"/>
      <c r="H26" s="730"/>
      <c r="I26" s="730" t="s">
        <v>283</v>
      </c>
      <c r="J26" s="728" t="s">
        <v>210</v>
      </c>
      <c r="K26" s="730" t="str">
        <f>VLOOKUP(D26,[2]T3!$B$2:$D$328,3,FALSE)</f>
        <v>022776286</v>
      </c>
      <c r="L26" s="731" t="s">
        <v>92</v>
      </c>
      <c r="M26" s="731" t="s">
        <v>872</v>
      </c>
      <c r="N26" s="729" t="str">
        <f>VLOOKUP(D26,'[6]Bao cao So GDDT'!$D$14:$S$282,11,FALSE)</f>
        <v>Giảng viên GDNN LT (hạng III)</v>
      </c>
      <c r="O26" s="732" t="s">
        <v>1438</v>
      </c>
      <c r="P26" s="733" t="s">
        <v>692</v>
      </c>
      <c r="Q26" s="734">
        <v>8</v>
      </c>
      <c r="R26" s="735">
        <v>4.9800000000000004</v>
      </c>
      <c r="S26" s="736">
        <f t="shared" si="0"/>
        <v>1.6274999999999999</v>
      </c>
      <c r="T26" s="737">
        <v>7</v>
      </c>
      <c r="U26" s="736">
        <f t="shared" si="1"/>
        <v>0.34860000000000002</v>
      </c>
      <c r="V26" s="738">
        <f t="shared" si="2"/>
        <v>627480</v>
      </c>
      <c r="W26" s="730"/>
      <c r="X26" s="739">
        <v>0.24</v>
      </c>
      <c r="Y26" s="740">
        <f t="shared" si="3"/>
        <v>1.2788999999999999</v>
      </c>
      <c r="Z26" s="740">
        <f t="shared" si="4"/>
        <v>6.6074999999999999</v>
      </c>
      <c r="AA26" s="741">
        <f t="shared" si="5"/>
        <v>11893500</v>
      </c>
      <c r="AB26" s="741"/>
      <c r="AC26" s="741">
        <f t="shared" si="6"/>
        <v>0</v>
      </c>
      <c r="AD26" s="741">
        <f>AA26/24*AB26*75%</f>
        <v>0</v>
      </c>
      <c r="AE26" s="741">
        <f t="shared" si="8"/>
        <v>11893500</v>
      </c>
      <c r="AF26" s="742">
        <f t="shared" si="9"/>
        <v>951480</v>
      </c>
      <c r="AG26" s="742">
        <f t="shared" si="10"/>
        <v>178402.5</v>
      </c>
      <c r="AH26" s="742">
        <f t="shared" si="11"/>
        <v>118935</v>
      </c>
      <c r="AI26" s="742"/>
      <c r="AJ26" s="742">
        <f t="shared" si="12"/>
        <v>1248817.5</v>
      </c>
      <c r="AK26" s="743"/>
      <c r="AL26" s="744">
        <f t="shared" si="13"/>
        <v>0</v>
      </c>
      <c r="AM26" s="744"/>
      <c r="AN26" s="744"/>
      <c r="AO26" s="745">
        <f t="shared" si="14"/>
        <v>5.3286000000000007</v>
      </c>
      <c r="AP26" s="746">
        <v>0.25</v>
      </c>
      <c r="AQ26" s="747">
        <f t="shared" si="15"/>
        <v>1.3322000000000001</v>
      </c>
      <c r="AR26" s="742">
        <f t="shared" si="16"/>
        <v>2397960</v>
      </c>
      <c r="AS26" s="742"/>
      <c r="AT26" s="742">
        <f t="shared" si="17"/>
        <v>13042643</v>
      </c>
      <c r="AU26" s="748">
        <f t="shared" si="18"/>
        <v>13</v>
      </c>
      <c r="AV26" s="749"/>
      <c r="AW26" s="244" t="s">
        <v>729</v>
      </c>
    </row>
    <row r="27" spans="1:59" s="191" customFormat="1" ht="44.25" customHeight="1" x14ac:dyDescent="0.25">
      <c r="A27" s="168">
        <f>_xlfn.AGGREGATE(4,7,A$13:A26)+1</f>
        <v>14</v>
      </c>
      <c r="B27" s="168" t="str">
        <f>VLOOKUP(D27,[1]LuongBC_T01!$B$9:$C$292,2,FALSE)</f>
        <v>0016100006715006</v>
      </c>
      <c r="C27" s="361" t="s">
        <v>891</v>
      </c>
      <c r="D27" s="169" t="s">
        <v>1188</v>
      </c>
      <c r="E27" s="263" t="s">
        <v>1677</v>
      </c>
      <c r="F27" s="169" t="s">
        <v>549</v>
      </c>
      <c r="G27" s="170"/>
      <c r="H27" s="170"/>
      <c r="I27" s="170" t="s">
        <v>284</v>
      </c>
      <c r="J27" s="169" t="s">
        <v>229</v>
      </c>
      <c r="K27" s="170" t="str">
        <f>VLOOKUP(D27,[2]T3!$B$2:$D$328,3,FALSE)</f>
        <v>023181301</v>
      </c>
      <c r="L27" s="171" t="s">
        <v>106</v>
      </c>
      <c r="M27" s="171" t="s">
        <v>891</v>
      </c>
      <c r="N27" s="263" t="str">
        <f>VLOOKUP(D27,'[6]Bao cao So GDDT'!$D$14:$S$282,11,FALSE)</f>
        <v>Chuyên viên</v>
      </c>
      <c r="O27" s="390" t="s">
        <v>39</v>
      </c>
      <c r="P27" s="172" t="s">
        <v>692</v>
      </c>
      <c r="Q27" s="173">
        <v>5</v>
      </c>
      <c r="R27" s="174">
        <v>4.32</v>
      </c>
      <c r="S27" s="176">
        <f t="shared" si="0"/>
        <v>0</v>
      </c>
      <c r="T27" s="370"/>
      <c r="U27" s="176">
        <f t="shared" si="1"/>
        <v>0</v>
      </c>
      <c r="V27" s="175">
        <f t="shared" si="2"/>
        <v>0</v>
      </c>
      <c r="W27" s="200"/>
      <c r="X27" s="179">
        <f>VLOOKUP(D27,PCTN!D75:W342,20,FALSE)</f>
        <v>0</v>
      </c>
      <c r="Y27" s="216">
        <f t="shared" si="3"/>
        <v>0</v>
      </c>
      <c r="Z27" s="216">
        <f t="shared" si="4"/>
        <v>4.32</v>
      </c>
      <c r="AA27" s="180">
        <f t="shared" si="5"/>
        <v>7776000</v>
      </c>
      <c r="AB27" s="180"/>
      <c r="AC27" s="180">
        <f t="shared" si="6"/>
        <v>0</v>
      </c>
      <c r="AD27" s="180">
        <v>0</v>
      </c>
      <c r="AE27" s="180">
        <f t="shared" si="8"/>
        <v>7776000</v>
      </c>
      <c r="AF27" s="178">
        <f t="shared" si="9"/>
        <v>622080</v>
      </c>
      <c r="AG27" s="178">
        <f t="shared" si="10"/>
        <v>116640</v>
      </c>
      <c r="AH27" s="178">
        <f t="shared" si="11"/>
        <v>77760</v>
      </c>
      <c r="AI27" s="178"/>
      <c r="AJ27" s="178">
        <f t="shared" si="12"/>
        <v>816480</v>
      </c>
      <c r="AK27" s="181"/>
      <c r="AL27" s="182">
        <f t="shared" si="13"/>
        <v>0</v>
      </c>
      <c r="AM27" s="182"/>
      <c r="AN27" s="182"/>
      <c r="AO27" s="183">
        <f t="shared" si="14"/>
        <v>4.32</v>
      </c>
      <c r="AP27" s="179"/>
      <c r="AQ27" s="185">
        <f t="shared" si="15"/>
        <v>0</v>
      </c>
      <c r="AR27" s="178">
        <f t="shared" si="16"/>
        <v>0</v>
      </c>
      <c r="AS27" s="178"/>
      <c r="AT27" s="178">
        <f t="shared" si="17"/>
        <v>6959520</v>
      </c>
      <c r="AU27" s="469">
        <f t="shared" si="18"/>
        <v>14</v>
      </c>
      <c r="AV27" s="195"/>
      <c r="AW27" s="198" t="s">
        <v>711</v>
      </c>
      <c r="AX27" s="552"/>
      <c r="AY27" s="552"/>
      <c r="AZ27" s="552"/>
      <c r="BA27" s="552"/>
      <c r="BB27" s="552"/>
      <c r="BC27" s="552"/>
      <c r="BD27" s="552"/>
      <c r="BE27" s="552"/>
      <c r="BF27" s="552"/>
      <c r="BG27" s="552"/>
    </row>
    <row r="28" spans="1:59" s="189" customFormat="1" ht="44.25" customHeight="1" x14ac:dyDescent="0.25">
      <c r="A28" s="168">
        <f>_xlfn.AGGREGATE(4,7,A$13:A27)+1</f>
        <v>15</v>
      </c>
      <c r="B28" s="168" t="str">
        <f>VLOOKUP(D28,[1]LuongBC_T01!$B$9:$C$292,2,FALSE)</f>
        <v>0016100006527005</v>
      </c>
      <c r="C28" s="361" t="s">
        <v>892</v>
      </c>
      <c r="D28" s="169" t="s">
        <v>1187</v>
      </c>
      <c r="E28" s="263" t="s">
        <v>1103</v>
      </c>
      <c r="F28" s="169" t="s">
        <v>549</v>
      </c>
      <c r="G28" s="170" t="s">
        <v>25</v>
      </c>
      <c r="H28" s="170"/>
      <c r="I28" s="170" t="s">
        <v>284</v>
      </c>
      <c r="J28" s="220" t="s">
        <v>230</v>
      </c>
      <c r="K28" s="170" t="str">
        <f>VLOOKUP(D28,[2]T3!$B$2:$D$328,3,FALSE)</f>
        <v>024734659</v>
      </c>
      <c r="L28" s="171" t="s">
        <v>152</v>
      </c>
      <c r="M28" s="171" t="s">
        <v>892</v>
      </c>
      <c r="N28" s="263" t="str">
        <f>VLOOKUP(D28,'[6]Bao cao So GDDT'!$D$14:$S$282,11,FALSE)</f>
        <v>Chuyên viên</v>
      </c>
      <c r="O28" s="390" t="s">
        <v>39</v>
      </c>
      <c r="P28" s="172" t="s">
        <v>692</v>
      </c>
      <c r="Q28" s="173">
        <v>6</v>
      </c>
      <c r="R28" s="174">
        <v>4.6500000000000004</v>
      </c>
      <c r="S28" s="176">
        <f t="shared" si="0"/>
        <v>0</v>
      </c>
      <c r="T28" s="370"/>
      <c r="U28" s="176">
        <f t="shared" si="1"/>
        <v>0</v>
      </c>
      <c r="V28" s="175">
        <f t="shared" si="2"/>
        <v>0</v>
      </c>
      <c r="W28" s="170"/>
      <c r="X28" s="179">
        <f>VLOOKUP(D28,PCTN!D74:W341,20,FALSE)</f>
        <v>0</v>
      </c>
      <c r="Y28" s="216">
        <f t="shared" si="3"/>
        <v>0</v>
      </c>
      <c r="Z28" s="216">
        <f t="shared" si="4"/>
        <v>4.6500000000000004</v>
      </c>
      <c r="AA28" s="180">
        <f t="shared" si="5"/>
        <v>8370000</v>
      </c>
      <c r="AB28" s="180"/>
      <c r="AC28" s="180">
        <f t="shared" si="6"/>
        <v>0</v>
      </c>
      <c r="AD28" s="180">
        <f t="shared" ref="AD28:AD37" si="19">AA28/24*AB28*75%</f>
        <v>0</v>
      </c>
      <c r="AE28" s="180">
        <f t="shared" si="8"/>
        <v>8370000</v>
      </c>
      <c r="AF28" s="178">
        <f t="shared" si="9"/>
        <v>669600</v>
      </c>
      <c r="AG28" s="178">
        <f t="shared" si="10"/>
        <v>125550</v>
      </c>
      <c r="AH28" s="178">
        <f t="shared" si="11"/>
        <v>83700</v>
      </c>
      <c r="AI28" s="178"/>
      <c r="AJ28" s="178">
        <f t="shared" si="12"/>
        <v>878850</v>
      </c>
      <c r="AK28" s="192"/>
      <c r="AL28" s="182">
        <f t="shared" si="13"/>
        <v>0</v>
      </c>
      <c r="AM28" s="182"/>
      <c r="AN28" s="182"/>
      <c r="AO28" s="183">
        <f t="shared" si="14"/>
        <v>4.6500000000000004</v>
      </c>
      <c r="AP28" s="179"/>
      <c r="AQ28" s="185">
        <f t="shared" si="15"/>
        <v>0</v>
      </c>
      <c r="AR28" s="178">
        <f t="shared" si="16"/>
        <v>0</v>
      </c>
      <c r="AS28" s="178"/>
      <c r="AT28" s="178">
        <f t="shared" si="17"/>
        <v>7491150</v>
      </c>
      <c r="AU28" s="469">
        <f t="shared" si="18"/>
        <v>15</v>
      </c>
      <c r="AV28" s="195"/>
      <c r="AW28" s="187" t="s">
        <v>705</v>
      </c>
    </row>
    <row r="29" spans="1:59" s="189" customFormat="1" ht="32.25" customHeight="1" x14ac:dyDescent="0.25">
      <c r="A29" s="168">
        <f>_xlfn.AGGREGATE(4,7,A$13:A28)+1</f>
        <v>16</v>
      </c>
      <c r="B29" s="168" t="str">
        <f>VLOOKUP(D29,[1]LuongBC_T01!$B$9:$C$292,2,FALSE)</f>
        <v>0016100006689005</v>
      </c>
      <c r="C29" s="361" t="s">
        <v>851</v>
      </c>
      <c r="D29" s="169" t="s">
        <v>1152</v>
      </c>
      <c r="E29" s="263" t="s">
        <v>1589</v>
      </c>
      <c r="F29" s="169" t="s">
        <v>549</v>
      </c>
      <c r="G29" s="170"/>
      <c r="H29" s="170"/>
      <c r="I29" s="170" t="s">
        <v>281</v>
      </c>
      <c r="J29" s="169" t="s">
        <v>191</v>
      </c>
      <c r="K29" s="170" t="str">
        <f>VLOOKUP(D29,[2]T3!$B$2:$D$328,3,FALSE)</f>
        <v>023176396</v>
      </c>
      <c r="L29" s="171" t="s">
        <v>75</v>
      </c>
      <c r="M29" s="171" t="s">
        <v>851</v>
      </c>
      <c r="N29" s="263" t="str">
        <f>VLOOKUP(D29,'[6]Bao cao So GDDT'!$D$14:$S$282,11,FALSE)</f>
        <v>Giảng viên GDNN LT (hạng III)</v>
      </c>
      <c r="O29" s="390" t="s">
        <v>1438</v>
      </c>
      <c r="P29" s="172" t="s">
        <v>692</v>
      </c>
      <c r="Q29" s="173">
        <v>5</v>
      </c>
      <c r="R29" s="174">
        <v>4.6500000000000004</v>
      </c>
      <c r="S29" s="176">
        <f t="shared" si="0"/>
        <v>1.419</v>
      </c>
      <c r="T29" s="370"/>
      <c r="U29" s="176">
        <f t="shared" si="1"/>
        <v>0</v>
      </c>
      <c r="V29" s="175">
        <f t="shared" si="2"/>
        <v>0</v>
      </c>
      <c r="W29" s="170">
        <v>0.45</v>
      </c>
      <c r="X29" s="179">
        <v>0.19</v>
      </c>
      <c r="Y29" s="216">
        <f t="shared" si="3"/>
        <v>0.96899999999999997</v>
      </c>
      <c r="Z29" s="216">
        <f t="shared" si="4"/>
        <v>6.069</v>
      </c>
      <c r="AA29" s="180">
        <f t="shared" si="5"/>
        <v>10924200</v>
      </c>
      <c r="AB29" s="180"/>
      <c r="AC29" s="180">
        <f t="shared" si="6"/>
        <v>0</v>
      </c>
      <c r="AD29" s="180">
        <f t="shared" si="19"/>
        <v>0</v>
      </c>
      <c r="AE29" s="180">
        <f t="shared" si="8"/>
        <v>10924200</v>
      </c>
      <c r="AF29" s="178">
        <f t="shared" si="9"/>
        <v>873936</v>
      </c>
      <c r="AG29" s="178">
        <f t="shared" si="10"/>
        <v>163863</v>
      </c>
      <c r="AH29" s="178">
        <f t="shared" si="11"/>
        <v>109242</v>
      </c>
      <c r="AI29" s="178"/>
      <c r="AJ29" s="178">
        <f t="shared" si="12"/>
        <v>1147041</v>
      </c>
      <c r="AK29" s="192"/>
      <c r="AL29" s="182">
        <f t="shared" si="13"/>
        <v>0</v>
      </c>
      <c r="AM29" s="182"/>
      <c r="AN29" s="182"/>
      <c r="AO29" s="183">
        <f t="shared" si="14"/>
        <v>5.1000000000000005</v>
      </c>
      <c r="AP29" s="443">
        <v>0.25</v>
      </c>
      <c r="AQ29" s="185">
        <f t="shared" si="15"/>
        <v>1.2749999999999999</v>
      </c>
      <c r="AR29" s="178">
        <f t="shared" si="16"/>
        <v>2295000</v>
      </c>
      <c r="AS29" s="178"/>
      <c r="AT29" s="178">
        <f t="shared" si="17"/>
        <v>12072159</v>
      </c>
      <c r="AU29" s="469">
        <f t="shared" si="18"/>
        <v>16</v>
      </c>
      <c r="AV29" s="195"/>
      <c r="AW29" s="198" t="s">
        <v>706</v>
      </c>
    </row>
    <row r="30" spans="1:59" s="191" customFormat="1" ht="30" customHeight="1" x14ac:dyDescent="0.25">
      <c r="A30" s="168">
        <f>_xlfn.AGGREGATE(4,7,A$13:A29)+1</f>
        <v>17</v>
      </c>
      <c r="B30" s="168" t="str">
        <f>VLOOKUP(D30,[1]LuongBC_T01!$B$9:$C$292,2,FALSE)</f>
        <v>0016100006721006</v>
      </c>
      <c r="C30" s="361" t="s">
        <v>1084</v>
      </c>
      <c r="D30" s="169" t="s">
        <v>1195</v>
      </c>
      <c r="E30" s="263" t="s">
        <v>1470</v>
      </c>
      <c r="F30" s="169" t="s">
        <v>549</v>
      </c>
      <c r="G30" s="170"/>
      <c r="H30" s="170"/>
      <c r="I30" s="170"/>
      <c r="J30" s="169"/>
      <c r="K30" s="170" t="str">
        <f>VLOOKUP(D30,[2]T3!$B$2:$D$328,3,FALSE)</f>
        <v>020933341</v>
      </c>
      <c r="L30" s="201" t="s">
        <v>685</v>
      </c>
      <c r="M30" s="201" t="s">
        <v>1084</v>
      </c>
      <c r="N30" s="263" t="str">
        <f>VLOOKUP(D30,'[6]Bao cao So GDDT'!$D$14:$S$282,11,FALSE)</f>
        <v>Chuyên viên</v>
      </c>
      <c r="O30" s="390" t="s">
        <v>39</v>
      </c>
      <c r="P30" s="172" t="s">
        <v>692</v>
      </c>
      <c r="Q30" s="173">
        <v>9</v>
      </c>
      <c r="R30" s="174">
        <v>4.9800000000000004</v>
      </c>
      <c r="S30" s="176">
        <f t="shared" si="0"/>
        <v>0.996</v>
      </c>
      <c r="T30" s="370">
        <v>20</v>
      </c>
      <c r="U30" s="176">
        <f t="shared" si="1"/>
        <v>0.996</v>
      </c>
      <c r="V30" s="175">
        <f t="shared" si="2"/>
        <v>1792800.0000000002</v>
      </c>
      <c r="W30" s="170"/>
      <c r="X30" s="179">
        <f>VLOOKUP(D30,PCTN!D84:W351,20,FALSE)</f>
        <v>0</v>
      </c>
      <c r="Y30" s="216">
        <f t="shared" si="3"/>
        <v>0</v>
      </c>
      <c r="Z30" s="216">
        <f t="shared" si="4"/>
        <v>5.976</v>
      </c>
      <c r="AA30" s="180">
        <f t="shared" si="5"/>
        <v>10756800</v>
      </c>
      <c r="AB30" s="180"/>
      <c r="AC30" s="180">
        <f t="shared" si="6"/>
        <v>0</v>
      </c>
      <c r="AD30" s="180">
        <v>0</v>
      </c>
      <c r="AE30" s="180">
        <f t="shared" si="8"/>
        <v>10756800</v>
      </c>
      <c r="AF30" s="178">
        <f t="shared" si="9"/>
        <v>860544</v>
      </c>
      <c r="AG30" s="178">
        <f t="shared" si="10"/>
        <v>161352</v>
      </c>
      <c r="AH30" s="178">
        <f t="shared" si="11"/>
        <v>107568</v>
      </c>
      <c r="AI30" s="178"/>
      <c r="AJ30" s="178">
        <f t="shared" si="12"/>
        <v>1129464</v>
      </c>
      <c r="AK30" s="192"/>
      <c r="AL30" s="182">
        <f t="shared" si="13"/>
        <v>0</v>
      </c>
      <c r="AM30" s="182"/>
      <c r="AN30" s="182"/>
      <c r="AO30" s="183"/>
      <c r="AP30" s="184"/>
      <c r="AQ30" s="185">
        <f t="shared" si="15"/>
        <v>0</v>
      </c>
      <c r="AR30" s="178">
        <f t="shared" si="16"/>
        <v>0</v>
      </c>
      <c r="AS30" s="178"/>
      <c r="AT30" s="178">
        <f t="shared" si="17"/>
        <v>9627336</v>
      </c>
      <c r="AU30" s="469">
        <f t="shared" si="18"/>
        <v>17</v>
      </c>
      <c r="AV30" s="195"/>
      <c r="AW30" s="187" t="s">
        <v>702</v>
      </c>
    </row>
    <row r="31" spans="1:59" s="191" customFormat="1" ht="32.25" customHeight="1" x14ac:dyDescent="0.25">
      <c r="A31" s="168">
        <f>_xlfn.AGGREGATE(4,7,A$13:A30)+1</f>
        <v>18</v>
      </c>
      <c r="B31" s="168" t="str">
        <f>VLOOKUP(D31,[1]LuongBC_T01!$B$9:$C$292,2,FALSE)</f>
        <v>0016100006501006</v>
      </c>
      <c r="C31" s="361" t="s">
        <v>869</v>
      </c>
      <c r="D31" s="169" t="s">
        <v>1171</v>
      </c>
      <c r="E31" s="263" t="s">
        <v>1416</v>
      </c>
      <c r="F31" s="169" t="s">
        <v>549</v>
      </c>
      <c r="G31" s="170"/>
      <c r="H31" s="170"/>
      <c r="I31" s="170" t="s">
        <v>283</v>
      </c>
      <c r="J31" s="169" t="s">
        <v>213</v>
      </c>
      <c r="K31" s="170" t="str">
        <f>VLOOKUP(D31,[2]T3!$B$2:$D$328,3,FALSE)</f>
        <v>020953956</v>
      </c>
      <c r="L31" s="171" t="s">
        <v>94</v>
      </c>
      <c r="M31" s="171" t="s">
        <v>869</v>
      </c>
      <c r="N31" s="263" t="str">
        <f>VLOOKUP(D31,'[6]Bao cao So GDDT'!$D$14:$S$282,11,FALSE)</f>
        <v>Giảng viên (hạng III)</v>
      </c>
      <c r="O31" s="390" t="s">
        <v>39</v>
      </c>
      <c r="P31" s="172" t="s">
        <v>692</v>
      </c>
      <c r="Q31" s="173">
        <v>8</v>
      </c>
      <c r="R31" s="174">
        <v>4.9800000000000004</v>
      </c>
      <c r="S31" s="176">
        <f t="shared" si="0"/>
        <v>0.249</v>
      </c>
      <c r="T31" s="370">
        <v>5</v>
      </c>
      <c r="U31" s="176">
        <f t="shared" si="1"/>
        <v>0.249</v>
      </c>
      <c r="V31" s="175">
        <f t="shared" si="2"/>
        <v>448200.00000000006</v>
      </c>
      <c r="W31" s="200"/>
      <c r="X31" s="179">
        <f>VLOOKUP(D31,PCTN!D53:W320,20,FALSE)</f>
        <v>0</v>
      </c>
      <c r="Y31" s="216">
        <f t="shared" si="3"/>
        <v>0</v>
      </c>
      <c r="Z31" s="216">
        <f t="shared" si="4"/>
        <v>5.2290000000000001</v>
      </c>
      <c r="AA31" s="180">
        <f t="shared" si="5"/>
        <v>9412200</v>
      </c>
      <c r="AB31" s="180"/>
      <c r="AC31" s="180">
        <f t="shared" si="6"/>
        <v>0</v>
      </c>
      <c r="AD31" s="180">
        <f t="shared" si="19"/>
        <v>0</v>
      </c>
      <c r="AE31" s="180">
        <f t="shared" si="8"/>
        <v>9412200</v>
      </c>
      <c r="AF31" s="178">
        <f t="shared" si="9"/>
        <v>752976</v>
      </c>
      <c r="AG31" s="178">
        <f t="shared" si="10"/>
        <v>141183</v>
      </c>
      <c r="AH31" s="178">
        <f t="shared" si="11"/>
        <v>94122</v>
      </c>
      <c r="AI31" s="178"/>
      <c r="AJ31" s="178">
        <f t="shared" si="12"/>
        <v>988281</v>
      </c>
      <c r="AK31" s="181"/>
      <c r="AL31" s="182">
        <f t="shared" si="13"/>
        <v>0</v>
      </c>
      <c r="AM31" s="182"/>
      <c r="AN31" s="182"/>
      <c r="AO31" s="183">
        <f t="shared" ref="AO31:AO59" si="20">R31+U31+W31</f>
        <v>5.2290000000000001</v>
      </c>
      <c r="AP31" s="179"/>
      <c r="AQ31" s="185">
        <f t="shared" si="15"/>
        <v>0</v>
      </c>
      <c r="AR31" s="178">
        <f t="shared" si="16"/>
        <v>0</v>
      </c>
      <c r="AS31" s="178"/>
      <c r="AT31" s="178">
        <f t="shared" si="17"/>
        <v>8423919</v>
      </c>
      <c r="AU31" s="469">
        <f t="shared" si="18"/>
        <v>18</v>
      </c>
      <c r="AV31" s="186"/>
      <c r="AW31" s="187" t="s">
        <v>704</v>
      </c>
    </row>
    <row r="32" spans="1:59" s="189" customFormat="1" ht="29.25" customHeight="1" x14ac:dyDescent="0.25">
      <c r="A32" s="168">
        <f>_xlfn.AGGREGATE(4,7,A$13:A31)+1</f>
        <v>19</v>
      </c>
      <c r="B32" s="168" t="str">
        <f>VLOOKUP(D32,[1]LuongBC_T01!$B$9:$C$292,2,FALSE)</f>
        <v>0016100006639008</v>
      </c>
      <c r="C32" s="361" t="s">
        <v>840</v>
      </c>
      <c r="D32" s="169" t="s">
        <v>800</v>
      </c>
      <c r="E32" s="263" t="s">
        <v>1535</v>
      </c>
      <c r="F32" s="169"/>
      <c r="G32" s="170"/>
      <c r="H32" s="170"/>
      <c r="I32" s="170"/>
      <c r="J32" s="169"/>
      <c r="K32" s="168" t="s">
        <v>1349</v>
      </c>
      <c r="L32" s="171"/>
      <c r="M32" s="171" t="s">
        <v>840</v>
      </c>
      <c r="N32" s="263" t="str">
        <f>VLOOKUP(D32,'[6]Bao cao So GDDT'!$D$14:$S$282,11,FALSE)</f>
        <v>Giảng viên GDNN LT (hạng III)</v>
      </c>
      <c r="O32" s="390" t="s">
        <v>1438</v>
      </c>
      <c r="P32" s="172" t="s">
        <v>692</v>
      </c>
      <c r="Q32" s="173">
        <v>7</v>
      </c>
      <c r="R32" s="174">
        <v>4.9800000000000004</v>
      </c>
      <c r="S32" s="176">
        <f t="shared" si="0"/>
        <v>1.3731</v>
      </c>
      <c r="T32" s="377"/>
      <c r="U32" s="176">
        <f t="shared" si="1"/>
        <v>0</v>
      </c>
      <c r="V32" s="175">
        <f t="shared" si="2"/>
        <v>0</v>
      </c>
      <c r="W32" s="170">
        <v>0.45</v>
      </c>
      <c r="X32" s="179">
        <v>0.17</v>
      </c>
      <c r="Y32" s="216">
        <f t="shared" si="3"/>
        <v>0.92310000000000003</v>
      </c>
      <c r="Z32" s="216">
        <f t="shared" si="4"/>
        <v>6.3531000000000004</v>
      </c>
      <c r="AA32" s="180">
        <f t="shared" si="5"/>
        <v>11435580</v>
      </c>
      <c r="AB32" s="180"/>
      <c r="AC32" s="180">
        <f t="shared" si="6"/>
        <v>0</v>
      </c>
      <c r="AD32" s="180">
        <f t="shared" si="19"/>
        <v>0</v>
      </c>
      <c r="AE32" s="180">
        <f t="shared" si="8"/>
        <v>11435580</v>
      </c>
      <c r="AF32" s="178">
        <f t="shared" si="9"/>
        <v>914846.4</v>
      </c>
      <c r="AG32" s="178">
        <f t="shared" si="10"/>
        <v>171533.69999999998</v>
      </c>
      <c r="AH32" s="178">
        <f t="shared" si="11"/>
        <v>114355.8</v>
      </c>
      <c r="AI32" s="178"/>
      <c r="AJ32" s="178">
        <f t="shared" si="12"/>
        <v>1200735.9000000001</v>
      </c>
      <c r="AK32" s="181"/>
      <c r="AL32" s="182">
        <f t="shared" si="13"/>
        <v>0</v>
      </c>
      <c r="AM32" s="182"/>
      <c r="AN32" s="182"/>
      <c r="AO32" s="183">
        <f t="shared" si="20"/>
        <v>5.4300000000000006</v>
      </c>
      <c r="AP32" s="443">
        <v>0.25</v>
      </c>
      <c r="AQ32" s="185">
        <f t="shared" si="15"/>
        <v>1.3574999999999999</v>
      </c>
      <c r="AR32" s="178">
        <f t="shared" si="16"/>
        <v>2443500</v>
      </c>
      <c r="AS32" s="178"/>
      <c r="AT32" s="178">
        <f t="shared" si="17"/>
        <v>12678344</v>
      </c>
      <c r="AU32" s="469">
        <f t="shared" si="18"/>
        <v>19</v>
      </c>
      <c r="AV32" s="195"/>
      <c r="AW32" s="198"/>
    </row>
    <row r="33" spans="1:52" s="191" customFormat="1" ht="33" customHeight="1" x14ac:dyDescent="0.25">
      <c r="A33" s="168">
        <f>_xlfn.AGGREGATE(4,7,A$13:A32)+1</f>
        <v>20</v>
      </c>
      <c r="B33" s="168" t="str">
        <f>VLOOKUP(D33,[1]LuongBC_T01!$B$9:$C$292,2,FALSE)</f>
        <v>0016100006574003</v>
      </c>
      <c r="C33" s="361" t="s">
        <v>1087</v>
      </c>
      <c r="D33" s="169" t="s">
        <v>767</v>
      </c>
      <c r="E33" s="263" t="s">
        <v>1646</v>
      </c>
      <c r="F33" s="169"/>
      <c r="G33" s="170" t="s">
        <v>25</v>
      </c>
      <c r="H33" s="170"/>
      <c r="I33" s="170"/>
      <c r="J33" s="169"/>
      <c r="K33" s="170" t="str">
        <f>VLOOKUP(D33,[2]T3!$B$2:$D$328,3,FALSE)</f>
        <v>022931960</v>
      </c>
      <c r="L33" s="930" t="s">
        <v>790</v>
      </c>
      <c r="M33" s="930" t="s">
        <v>1087</v>
      </c>
      <c r="N33" s="263" t="str">
        <f>VLOOKUP(D33,'[6]Bao cao So GDDT'!$D$14:$S$282,11,FALSE)</f>
        <v>Giảng viên GDNN LT (hạng III)</v>
      </c>
      <c r="O33" s="390" t="s">
        <v>1438</v>
      </c>
      <c r="P33" s="172" t="s">
        <v>692</v>
      </c>
      <c r="Q33" s="173">
        <v>7</v>
      </c>
      <c r="R33" s="174">
        <v>4.9800000000000004</v>
      </c>
      <c r="S33" s="176">
        <f t="shared" si="0"/>
        <v>1.3994</v>
      </c>
      <c r="T33" s="370">
        <v>5</v>
      </c>
      <c r="U33" s="176">
        <f t="shared" si="1"/>
        <v>0.249</v>
      </c>
      <c r="V33" s="175">
        <f t="shared" si="2"/>
        <v>448200.00000000006</v>
      </c>
      <c r="W33" s="200"/>
      <c r="X33" s="179">
        <v>0.22</v>
      </c>
      <c r="Y33" s="216">
        <f t="shared" si="3"/>
        <v>1.1504000000000001</v>
      </c>
      <c r="Z33" s="216">
        <f t="shared" si="4"/>
        <v>6.3794000000000004</v>
      </c>
      <c r="AA33" s="180">
        <f t="shared" si="5"/>
        <v>11482920</v>
      </c>
      <c r="AB33" s="180"/>
      <c r="AC33" s="180">
        <f t="shared" si="6"/>
        <v>0</v>
      </c>
      <c r="AD33" s="180">
        <f t="shared" si="19"/>
        <v>0</v>
      </c>
      <c r="AE33" s="180">
        <f t="shared" si="8"/>
        <v>11482920</v>
      </c>
      <c r="AF33" s="178">
        <f t="shared" si="9"/>
        <v>918633.6</v>
      </c>
      <c r="AG33" s="178">
        <f t="shared" si="10"/>
        <v>172243.8</v>
      </c>
      <c r="AH33" s="178">
        <f t="shared" si="11"/>
        <v>114829.2</v>
      </c>
      <c r="AI33" s="178"/>
      <c r="AJ33" s="178">
        <f t="shared" si="12"/>
        <v>1205706.5999999999</v>
      </c>
      <c r="AK33" s="181"/>
      <c r="AL33" s="182">
        <f t="shared" si="13"/>
        <v>0</v>
      </c>
      <c r="AM33" s="182"/>
      <c r="AN33" s="182"/>
      <c r="AO33" s="183">
        <f t="shared" si="20"/>
        <v>5.2290000000000001</v>
      </c>
      <c r="AP33" s="443">
        <v>0.25</v>
      </c>
      <c r="AQ33" s="185">
        <f t="shared" si="15"/>
        <v>1.3072999999999999</v>
      </c>
      <c r="AR33" s="178">
        <f t="shared" si="16"/>
        <v>2353140</v>
      </c>
      <c r="AS33" s="178"/>
      <c r="AT33" s="178">
        <f t="shared" si="17"/>
        <v>12630353</v>
      </c>
      <c r="AU33" s="469">
        <f t="shared" si="18"/>
        <v>20</v>
      </c>
      <c r="AV33" s="195"/>
      <c r="AW33" s="195" t="s">
        <v>768</v>
      </c>
    </row>
    <row r="34" spans="1:52" s="189" customFormat="1" ht="30.75" customHeight="1" x14ac:dyDescent="0.25">
      <c r="A34" s="168">
        <f>_xlfn.AGGREGATE(4,7,A$13:A33)+1</f>
        <v>21</v>
      </c>
      <c r="B34" s="168" t="str">
        <f>VLOOKUP(D34,[1]LuongBC_T01!$B$9:$C$292,2,FALSE)</f>
        <v>0016100006519002</v>
      </c>
      <c r="C34" s="361" t="s">
        <v>1079</v>
      </c>
      <c r="D34" s="169" t="s">
        <v>24</v>
      </c>
      <c r="E34" s="263" t="s">
        <v>1425</v>
      </c>
      <c r="F34" s="169" t="s">
        <v>549</v>
      </c>
      <c r="G34" s="170" t="s">
        <v>25</v>
      </c>
      <c r="H34" s="170"/>
      <c r="I34" s="170" t="s">
        <v>283</v>
      </c>
      <c r="J34" s="169" t="s">
        <v>237</v>
      </c>
      <c r="K34" s="170" t="str">
        <f>VLOOKUP(D34,[2]T3!$B$2:$D$328,3,FALSE)</f>
        <v>023331855</v>
      </c>
      <c r="L34" s="171" t="s">
        <v>293</v>
      </c>
      <c r="M34" s="171" t="s">
        <v>1079</v>
      </c>
      <c r="N34" s="263" t="str">
        <f>VLOOKUP(D34,'[6]Bao cao So GDDT'!$D$14:$S$282,11,FALSE)</f>
        <v>Giảng viên GDNN LT (hạng III)</v>
      </c>
      <c r="O34" s="666" t="s">
        <v>1438</v>
      </c>
      <c r="P34" s="172" t="s">
        <v>692</v>
      </c>
      <c r="Q34" s="173">
        <v>6</v>
      </c>
      <c r="R34" s="174">
        <v>4.9800000000000004</v>
      </c>
      <c r="S34" s="176">
        <f t="shared" si="0"/>
        <v>1.4274</v>
      </c>
      <c r="T34" s="370"/>
      <c r="U34" s="176">
        <f t="shared" si="1"/>
        <v>0</v>
      </c>
      <c r="V34" s="175">
        <f t="shared" si="2"/>
        <v>0</v>
      </c>
      <c r="W34" s="170">
        <v>0.45</v>
      </c>
      <c r="X34" s="179">
        <v>0.18</v>
      </c>
      <c r="Y34" s="216">
        <f t="shared" si="3"/>
        <v>0.97740000000000005</v>
      </c>
      <c r="Z34" s="216">
        <f t="shared" si="4"/>
        <v>6.4074</v>
      </c>
      <c r="AA34" s="180">
        <f t="shared" si="5"/>
        <v>11533320</v>
      </c>
      <c r="AB34" s="180"/>
      <c r="AC34" s="180">
        <f t="shared" si="6"/>
        <v>0</v>
      </c>
      <c r="AD34" s="180">
        <f t="shared" si="19"/>
        <v>0</v>
      </c>
      <c r="AE34" s="180">
        <f t="shared" si="8"/>
        <v>11533320</v>
      </c>
      <c r="AF34" s="178">
        <f t="shared" si="9"/>
        <v>922665.6</v>
      </c>
      <c r="AG34" s="178">
        <f t="shared" si="10"/>
        <v>172999.8</v>
      </c>
      <c r="AH34" s="178">
        <f t="shared" si="11"/>
        <v>115333.2</v>
      </c>
      <c r="AI34" s="178"/>
      <c r="AJ34" s="178">
        <f t="shared" si="12"/>
        <v>1210998.5999999999</v>
      </c>
      <c r="AK34" s="181"/>
      <c r="AL34" s="182">
        <f t="shared" si="13"/>
        <v>0</v>
      </c>
      <c r="AM34" s="182"/>
      <c r="AN34" s="182"/>
      <c r="AO34" s="183">
        <f t="shared" si="20"/>
        <v>5.4300000000000006</v>
      </c>
      <c r="AP34" s="443">
        <v>0.25</v>
      </c>
      <c r="AQ34" s="185">
        <f t="shared" si="15"/>
        <v>1.3574999999999999</v>
      </c>
      <c r="AR34" s="178">
        <f t="shared" si="16"/>
        <v>2443500</v>
      </c>
      <c r="AS34" s="178"/>
      <c r="AT34" s="178">
        <f t="shared" si="17"/>
        <v>12765821</v>
      </c>
      <c r="AU34" s="469">
        <f t="shared" si="18"/>
        <v>21</v>
      </c>
      <c r="AV34" s="195"/>
      <c r="AW34" s="186" t="s">
        <v>731</v>
      </c>
    </row>
    <row r="35" spans="1:52" s="189" customFormat="1" ht="30.75" customHeight="1" x14ac:dyDescent="0.25">
      <c r="A35" s="168">
        <f>_xlfn.AGGREGATE(4,7,A$13:A34)+1</f>
        <v>22</v>
      </c>
      <c r="B35" s="168" t="str">
        <f>VLOOKUP(D35,[1]LuongBC_T01!$B$9:$C$292,2,FALSE)</f>
        <v>0016100006615001</v>
      </c>
      <c r="C35" s="361" t="s">
        <v>854</v>
      </c>
      <c r="D35" s="169" t="s">
        <v>1155</v>
      </c>
      <c r="E35" s="263" t="s">
        <v>1094</v>
      </c>
      <c r="F35" s="169" t="s">
        <v>549</v>
      </c>
      <c r="G35" s="170" t="s">
        <v>25</v>
      </c>
      <c r="H35" s="170" t="s">
        <v>283</v>
      </c>
      <c r="I35" s="170" t="s">
        <v>283</v>
      </c>
      <c r="J35" s="169" t="s">
        <v>212</v>
      </c>
      <c r="K35" s="170" t="str">
        <f>VLOOKUP(D35,[2]T3!$B$2:$D$328,3,FALSE)</f>
        <v>040174000144</v>
      </c>
      <c r="L35" s="171" t="s">
        <v>93</v>
      </c>
      <c r="M35" s="171" t="s">
        <v>854</v>
      </c>
      <c r="N35" s="263" t="str">
        <f>VLOOKUP(D35,'[6]Bao cao So GDDT'!$D$14:$S$282,11,FALSE)</f>
        <v>Giảng viên
(hạng III)</v>
      </c>
      <c r="O35" s="390" t="s">
        <v>807</v>
      </c>
      <c r="P35" s="172" t="s">
        <v>692</v>
      </c>
      <c r="Q35" s="173">
        <v>8</v>
      </c>
      <c r="R35" s="174">
        <v>4.9800000000000004</v>
      </c>
      <c r="S35" s="176">
        <f t="shared" si="0"/>
        <v>1.5656999999999999</v>
      </c>
      <c r="T35" s="370">
        <v>6</v>
      </c>
      <c r="U35" s="176">
        <f t="shared" si="1"/>
        <v>0.29880000000000001</v>
      </c>
      <c r="V35" s="175">
        <f t="shared" si="2"/>
        <v>537840.00000000012</v>
      </c>
      <c r="W35" s="170"/>
      <c r="X35" s="179">
        <v>0.24</v>
      </c>
      <c r="Y35" s="216">
        <f t="shared" si="3"/>
        <v>1.2668999999999999</v>
      </c>
      <c r="Z35" s="216">
        <f t="shared" si="4"/>
        <v>6.5457000000000001</v>
      </c>
      <c r="AA35" s="180">
        <f t="shared" si="5"/>
        <v>11782260</v>
      </c>
      <c r="AB35" s="180"/>
      <c r="AC35" s="180">
        <f t="shared" si="6"/>
        <v>0</v>
      </c>
      <c r="AD35" s="180">
        <f t="shared" si="19"/>
        <v>0</v>
      </c>
      <c r="AE35" s="180">
        <f t="shared" si="8"/>
        <v>11782260</v>
      </c>
      <c r="AF35" s="178">
        <f t="shared" si="9"/>
        <v>942580.8</v>
      </c>
      <c r="AG35" s="178">
        <f t="shared" si="10"/>
        <v>176733.9</v>
      </c>
      <c r="AH35" s="178">
        <f t="shared" si="11"/>
        <v>117822.6</v>
      </c>
      <c r="AI35" s="178"/>
      <c r="AJ35" s="178">
        <f t="shared" si="12"/>
        <v>1237137.3</v>
      </c>
      <c r="AK35" s="192"/>
      <c r="AL35" s="182">
        <f t="shared" si="13"/>
        <v>0</v>
      </c>
      <c r="AM35" s="182"/>
      <c r="AN35" s="182"/>
      <c r="AO35" s="183">
        <f t="shared" si="20"/>
        <v>5.2788000000000004</v>
      </c>
      <c r="AP35" s="443">
        <v>0.25</v>
      </c>
      <c r="AQ35" s="185">
        <f t="shared" si="15"/>
        <v>1.3197000000000001</v>
      </c>
      <c r="AR35" s="178">
        <f t="shared" si="16"/>
        <v>2375460</v>
      </c>
      <c r="AS35" s="178"/>
      <c r="AT35" s="178">
        <f t="shared" si="17"/>
        <v>12920583</v>
      </c>
      <c r="AU35" s="469">
        <f t="shared" si="18"/>
        <v>22</v>
      </c>
      <c r="AV35" s="195"/>
      <c r="AW35" s="187" t="s">
        <v>710</v>
      </c>
    </row>
    <row r="36" spans="1:52" s="189" customFormat="1" ht="30.75" customHeight="1" x14ac:dyDescent="0.25">
      <c r="A36" s="168">
        <f>_xlfn.AGGREGATE(4,7,A$13:A35)+1</f>
        <v>23</v>
      </c>
      <c r="B36" s="168" t="str">
        <f>VLOOKUP(D36,[1]LuongBC_T01!$B$9:$C$292,2,FALSE)</f>
        <v>0016100006688009</v>
      </c>
      <c r="C36" s="361" t="s">
        <v>882</v>
      </c>
      <c r="D36" s="169" t="s">
        <v>1179</v>
      </c>
      <c r="E36" s="263" t="s">
        <v>1094</v>
      </c>
      <c r="F36" s="169" t="s">
        <v>549</v>
      </c>
      <c r="G36" s="170"/>
      <c r="H36" s="170" t="s">
        <v>283</v>
      </c>
      <c r="I36" s="170" t="s">
        <v>283</v>
      </c>
      <c r="J36" s="169" t="s">
        <v>217</v>
      </c>
      <c r="K36" s="170" t="str">
        <f>VLOOKUP(D36,[2]T3!$B$2:$D$328,3,FALSE)</f>
        <v>023622113</v>
      </c>
      <c r="L36" s="171" t="s">
        <v>98</v>
      </c>
      <c r="M36" s="171" t="s">
        <v>882</v>
      </c>
      <c r="N36" s="263" t="str">
        <f>VLOOKUP(D36,'[6]Bao cao So GDDT'!$D$14:$S$282,11,FALSE)</f>
        <v>Giảng viên
(hạng III)</v>
      </c>
      <c r="O36" s="390" t="s">
        <v>807</v>
      </c>
      <c r="P36" s="172" t="s">
        <v>692</v>
      </c>
      <c r="Q36" s="173">
        <v>6</v>
      </c>
      <c r="R36" s="174">
        <v>4.6500000000000004</v>
      </c>
      <c r="S36" s="176">
        <f t="shared" si="0"/>
        <v>0.97650000000000003</v>
      </c>
      <c r="T36" s="370"/>
      <c r="U36" s="176">
        <f t="shared" si="1"/>
        <v>0</v>
      </c>
      <c r="V36" s="175">
        <f t="shared" si="2"/>
        <v>0</v>
      </c>
      <c r="W36" s="170"/>
      <c r="X36" s="179">
        <v>0.21</v>
      </c>
      <c r="Y36" s="216">
        <f t="shared" si="3"/>
        <v>0.97650000000000003</v>
      </c>
      <c r="Z36" s="216">
        <f t="shared" si="4"/>
        <v>5.6265000000000001</v>
      </c>
      <c r="AA36" s="180">
        <f t="shared" si="5"/>
        <v>10127700</v>
      </c>
      <c r="AB36" s="180"/>
      <c r="AC36" s="180">
        <f t="shared" si="6"/>
        <v>0</v>
      </c>
      <c r="AD36" s="180">
        <f t="shared" si="19"/>
        <v>0</v>
      </c>
      <c r="AE36" s="180">
        <f t="shared" si="8"/>
        <v>10127700</v>
      </c>
      <c r="AF36" s="178">
        <f t="shared" si="9"/>
        <v>810216</v>
      </c>
      <c r="AG36" s="178">
        <f t="shared" si="10"/>
        <v>151915.5</v>
      </c>
      <c r="AH36" s="178">
        <f t="shared" si="11"/>
        <v>101277</v>
      </c>
      <c r="AI36" s="178"/>
      <c r="AJ36" s="178">
        <f t="shared" si="12"/>
        <v>1063408.5</v>
      </c>
      <c r="AK36" s="192"/>
      <c r="AL36" s="182">
        <f t="shared" si="13"/>
        <v>0</v>
      </c>
      <c r="AM36" s="182"/>
      <c r="AN36" s="182"/>
      <c r="AO36" s="183">
        <f t="shared" si="20"/>
        <v>4.6500000000000004</v>
      </c>
      <c r="AP36" s="443">
        <v>0.25</v>
      </c>
      <c r="AQ36" s="185">
        <f t="shared" si="15"/>
        <v>1.1625000000000001</v>
      </c>
      <c r="AR36" s="178">
        <f t="shared" si="16"/>
        <v>2092500</v>
      </c>
      <c r="AS36" s="178"/>
      <c r="AT36" s="178">
        <f t="shared" si="17"/>
        <v>11156792</v>
      </c>
      <c r="AU36" s="469">
        <f t="shared" si="18"/>
        <v>23</v>
      </c>
      <c r="AV36" s="186"/>
      <c r="AW36" s="198" t="s">
        <v>710</v>
      </c>
    </row>
    <row r="37" spans="1:52" s="189" customFormat="1" ht="30.75" customHeight="1" x14ac:dyDescent="0.25">
      <c r="A37" s="168">
        <f>_xlfn.AGGREGATE(4,7,A$13:A36)+1</f>
        <v>24</v>
      </c>
      <c r="B37" s="168" t="str">
        <f>VLOOKUP(D37,[1]LuongBC_T01!$B$9:$C$292,2,FALSE)</f>
        <v>0016100006622008</v>
      </c>
      <c r="C37" s="361" t="s">
        <v>863</v>
      </c>
      <c r="D37" s="169" t="s">
        <v>1166</v>
      </c>
      <c r="E37" s="263" t="s">
        <v>1094</v>
      </c>
      <c r="F37" s="169" t="s">
        <v>549</v>
      </c>
      <c r="G37" s="170"/>
      <c r="H37" s="170" t="s">
        <v>283</v>
      </c>
      <c r="I37" s="170" t="s">
        <v>283</v>
      </c>
      <c r="J37" s="169" t="s">
        <v>211</v>
      </c>
      <c r="K37" s="170" t="str">
        <f>VLOOKUP(D37,[2]T3!$B$2:$D$328,3,FALSE)</f>
        <v>079076002757</v>
      </c>
      <c r="L37" s="171" t="s">
        <v>145</v>
      </c>
      <c r="M37" s="171" t="s">
        <v>863</v>
      </c>
      <c r="N37" s="263" t="str">
        <f>VLOOKUP(D37,'[6]Bao cao So GDDT'!$D$14:$S$282,11,FALSE)</f>
        <v>Giảng viên
(hạng III)</v>
      </c>
      <c r="O37" s="390" t="s">
        <v>807</v>
      </c>
      <c r="P37" s="172" t="s">
        <v>692</v>
      </c>
      <c r="Q37" s="173">
        <v>8</v>
      </c>
      <c r="R37" s="174">
        <v>4.9800000000000004</v>
      </c>
      <c r="S37" s="176">
        <f t="shared" si="0"/>
        <v>1.6892</v>
      </c>
      <c r="T37" s="370">
        <v>8</v>
      </c>
      <c r="U37" s="176">
        <f t="shared" si="1"/>
        <v>0.39839999999999998</v>
      </c>
      <c r="V37" s="175">
        <f t="shared" si="2"/>
        <v>717120</v>
      </c>
      <c r="W37" s="170"/>
      <c r="X37" s="179">
        <v>0.24</v>
      </c>
      <c r="Y37" s="216">
        <f t="shared" si="3"/>
        <v>1.2907999999999999</v>
      </c>
      <c r="Z37" s="216">
        <f t="shared" si="4"/>
        <v>6.6692</v>
      </c>
      <c r="AA37" s="180">
        <f t="shared" si="5"/>
        <v>12004560</v>
      </c>
      <c r="AB37" s="180"/>
      <c r="AC37" s="180">
        <f t="shared" si="6"/>
        <v>0</v>
      </c>
      <c r="AD37" s="180">
        <f t="shared" si="19"/>
        <v>0</v>
      </c>
      <c r="AE37" s="180">
        <f t="shared" si="8"/>
        <v>12004560</v>
      </c>
      <c r="AF37" s="178">
        <f t="shared" si="9"/>
        <v>960364.8</v>
      </c>
      <c r="AG37" s="178">
        <f t="shared" si="10"/>
        <v>180068.4</v>
      </c>
      <c r="AH37" s="178">
        <f t="shared" si="11"/>
        <v>120045.6</v>
      </c>
      <c r="AI37" s="178"/>
      <c r="AJ37" s="178">
        <f t="shared" si="12"/>
        <v>1260478.8</v>
      </c>
      <c r="AK37" s="192"/>
      <c r="AL37" s="182">
        <f t="shared" si="13"/>
        <v>0</v>
      </c>
      <c r="AM37" s="182"/>
      <c r="AN37" s="182"/>
      <c r="AO37" s="183">
        <f t="shared" si="20"/>
        <v>5.3784000000000001</v>
      </c>
      <c r="AP37" s="443">
        <v>0.25</v>
      </c>
      <c r="AQ37" s="185">
        <f t="shared" si="15"/>
        <v>1.3446</v>
      </c>
      <c r="AR37" s="178">
        <f t="shared" si="16"/>
        <v>2420280</v>
      </c>
      <c r="AS37" s="178"/>
      <c r="AT37" s="178">
        <f t="shared" si="17"/>
        <v>13164361</v>
      </c>
      <c r="AU37" s="469">
        <f t="shared" si="18"/>
        <v>24</v>
      </c>
      <c r="AV37" s="195"/>
      <c r="AW37" s="198" t="s">
        <v>710</v>
      </c>
      <c r="AY37" s="670">
        <f>185*500000</f>
        <v>92500000</v>
      </c>
    </row>
    <row r="38" spans="1:52" s="191" customFormat="1" ht="30.75" customHeight="1" x14ac:dyDescent="0.25">
      <c r="A38" s="168">
        <f>_xlfn.AGGREGATE(4,7,A$13:A37)+1</f>
        <v>25</v>
      </c>
      <c r="B38" s="168" t="str">
        <f>VLOOKUP(D38,[1]LuongBC_T01!$B$9:$C$292,2,FALSE)</f>
        <v>0016100006810009</v>
      </c>
      <c r="C38" s="361" t="s">
        <v>855</v>
      </c>
      <c r="D38" s="169" t="s">
        <v>1157</v>
      </c>
      <c r="E38" s="263" t="s">
        <v>1287</v>
      </c>
      <c r="F38" s="169" t="s">
        <v>550</v>
      </c>
      <c r="G38" s="170" t="s">
        <v>25</v>
      </c>
      <c r="H38" s="170" t="s">
        <v>283</v>
      </c>
      <c r="I38" s="170" t="s">
        <v>282</v>
      </c>
      <c r="J38" s="169" t="s">
        <v>198</v>
      </c>
      <c r="K38" s="170" t="str">
        <f>VLOOKUP(D38,[2]T3!$B$2:$D$328,3,FALSE)</f>
        <v>040176000521</v>
      </c>
      <c r="L38" s="171" t="s">
        <v>166</v>
      </c>
      <c r="M38" s="171" t="s">
        <v>855</v>
      </c>
      <c r="N38" s="263" t="str">
        <f>VLOOKUP(D38,'[6]Bao cao So GDDT'!$D$14:$S$282,11,FALSE)</f>
        <v>Giảng viên
(hạng III)</v>
      </c>
      <c r="O38" s="390" t="s">
        <v>807</v>
      </c>
      <c r="P38" s="172" t="s">
        <v>692</v>
      </c>
      <c r="Q38" s="173">
        <v>6</v>
      </c>
      <c r="R38" s="174">
        <v>4.9800000000000004</v>
      </c>
      <c r="S38" s="176">
        <f t="shared" si="0"/>
        <v>1.4693000000000001</v>
      </c>
      <c r="T38" s="370"/>
      <c r="U38" s="176">
        <f t="shared" si="1"/>
        <v>0</v>
      </c>
      <c r="V38" s="175">
        <f t="shared" si="2"/>
        <v>0</v>
      </c>
      <c r="W38" s="177">
        <v>0.35</v>
      </c>
      <c r="X38" s="179">
        <v>0.21</v>
      </c>
      <c r="Y38" s="216">
        <f t="shared" si="3"/>
        <v>1.1193</v>
      </c>
      <c r="Z38" s="216">
        <f t="shared" si="4"/>
        <v>6.4493</v>
      </c>
      <c r="AA38" s="180">
        <f t="shared" si="5"/>
        <v>11608740</v>
      </c>
      <c r="AB38" s="180"/>
      <c r="AC38" s="180">
        <f t="shared" si="6"/>
        <v>0</v>
      </c>
      <c r="AD38" s="180">
        <v>0</v>
      </c>
      <c r="AE38" s="180">
        <f t="shared" si="8"/>
        <v>11608740</v>
      </c>
      <c r="AF38" s="178">
        <f t="shared" si="9"/>
        <v>928699.20000000007</v>
      </c>
      <c r="AG38" s="178">
        <f t="shared" si="10"/>
        <v>174131.1</v>
      </c>
      <c r="AH38" s="178">
        <f t="shared" si="11"/>
        <v>116087.40000000001</v>
      </c>
      <c r="AI38" s="178"/>
      <c r="AJ38" s="178">
        <f t="shared" si="12"/>
        <v>1218917.7</v>
      </c>
      <c r="AK38" s="192"/>
      <c r="AL38" s="182">
        <f t="shared" si="13"/>
        <v>0</v>
      </c>
      <c r="AM38" s="182"/>
      <c r="AN38" s="182"/>
      <c r="AO38" s="183">
        <f t="shared" si="20"/>
        <v>5.33</v>
      </c>
      <c r="AP38" s="443">
        <v>0.25</v>
      </c>
      <c r="AQ38" s="185">
        <f t="shared" si="15"/>
        <v>1.3325</v>
      </c>
      <c r="AR38" s="178">
        <f t="shared" si="16"/>
        <v>2398500</v>
      </c>
      <c r="AS38" s="178"/>
      <c r="AT38" s="178">
        <f t="shared" si="17"/>
        <v>12788322</v>
      </c>
      <c r="AU38" s="469">
        <f t="shared" si="18"/>
        <v>25</v>
      </c>
      <c r="AV38" s="195"/>
      <c r="AW38" s="198" t="s">
        <v>710</v>
      </c>
    </row>
    <row r="39" spans="1:52" s="189" customFormat="1" ht="37.5" customHeight="1" x14ac:dyDescent="0.25">
      <c r="A39" s="168">
        <f>_xlfn.AGGREGATE(4,7,A$13:A38)+1</f>
        <v>26</v>
      </c>
      <c r="B39" s="168" t="str">
        <f>VLOOKUP(D39,[1]LuongBC_T01!$B$9:$C$292,2,FALSE)</f>
        <v>0016100006753005</v>
      </c>
      <c r="C39" s="361" t="s">
        <v>873</v>
      </c>
      <c r="D39" s="169" t="s">
        <v>1174</v>
      </c>
      <c r="E39" s="263" t="s">
        <v>1094</v>
      </c>
      <c r="F39" s="169" t="s">
        <v>550</v>
      </c>
      <c r="G39" s="170" t="s">
        <v>25</v>
      </c>
      <c r="H39" s="170" t="s">
        <v>283</v>
      </c>
      <c r="I39" s="170" t="s">
        <v>283</v>
      </c>
      <c r="J39" s="169" t="s">
        <v>226</v>
      </c>
      <c r="K39" s="170" t="str">
        <f>VLOOKUP(D39,[2]T3!$B$2:$D$328,3,FALSE)</f>
        <v>023837190</v>
      </c>
      <c r="L39" s="171" t="s">
        <v>95</v>
      </c>
      <c r="M39" s="171" t="s">
        <v>873</v>
      </c>
      <c r="N39" s="263" t="str">
        <f>VLOOKUP(D39,'[6]Bao cao So GDDT'!$D$14:$S$282,11,FALSE)</f>
        <v>Giảng viên
(hạng III)</v>
      </c>
      <c r="O39" s="390" t="s">
        <v>807</v>
      </c>
      <c r="P39" s="172" t="s">
        <v>692</v>
      </c>
      <c r="Q39" s="173">
        <v>8</v>
      </c>
      <c r="R39" s="174">
        <v>4.9800000000000004</v>
      </c>
      <c r="S39" s="176">
        <f t="shared" si="0"/>
        <v>1.3994</v>
      </c>
      <c r="T39" s="370">
        <v>5</v>
      </c>
      <c r="U39" s="176">
        <f t="shared" si="1"/>
        <v>0.249</v>
      </c>
      <c r="V39" s="175">
        <f t="shared" si="2"/>
        <v>448200.00000000006</v>
      </c>
      <c r="W39" s="170"/>
      <c r="X39" s="179">
        <v>0.22</v>
      </c>
      <c r="Y39" s="216">
        <f t="shared" si="3"/>
        <v>1.1504000000000001</v>
      </c>
      <c r="Z39" s="216">
        <f t="shared" si="4"/>
        <v>6.3794000000000004</v>
      </c>
      <c r="AA39" s="180">
        <f t="shared" si="5"/>
        <v>11482920</v>
      </c>
      <c r="AB39" s="180"/>
      <c r="AC39" s="180">
        <f t="shared" si="6"/>
        <v>0</v>
      </c>
      <c r="AD39" s="180">
        <v>0</v>
      </c>
      <c r="AE39" s="180">
        <f t="shared" si="8"/>
        <v>11482920</v>
      </c>
      <c r="AF39" s="178">
        <f t="shared" si="9"/>
        <v>918633.6</v>
      </c>
      <c r="AG39" s="178">
        <f t="shared" si="10"/>
        <v>172243.8</v>
      </c>
      <c r="AH39" s="178">
        <f t="shared" si="11"/>
        <v>114829.2</v>
      </c>
      <c r="AI39" s="178"/>
      <c r="AJ39" s="178">
        <f t="shared" si="12"/>
        <v>1205706.5999999999</v>
      </c>
      <c r="AK39" s="192"/>
      <c r="AL39" s="182">
        <f t="shared" si="13"/>
        <v>0</v>
      </c>
      <c r="AM39" s="182"/>
      <c r="AN39" s="182"/>
      <c r="AO39" s="183">
        <f t="shared" si="20"/>
        <v>5.2290000000000001</v>
      </c>
      <c r="AP39" s="443">
        <v>0.25</v>
      </c>
      <c r="AQ39" s="185">
        <f t="shared" si="15"/>
        <v>1.3072999999999999</v>
      </c>
      <c r="AR39" s="178">
        <f t="shared" si="16"/>
        <v>2353140</v>
      </c>
      <c r="AS39" s="178"/>
      <c r="AT39" s="178">
        <f t="shared" si="17"/>
        <v>12630353</v>
      </c>
      <c r="AU39" s="469">
        <f t="shared" si="18"/>
        <v>26</v>
      </c>
      <c r="AV39" s="195"/>
      <c r="AW39" s="187" t="s">
        <v>710</v>
      </c>
    </row>
    <row r="40" spans="1:52" s="191" customFormat="1" ht="30.75" customHeight="1" x14ac:dyDescent="0.25">
      <c r="A40" s="168">
        <f>_xlfn.AGGREGATE(4,7,A$13:A39)+1</f>
        <v>27</v>
      </c>
      <c r="B40" s="168" t="str">
        <f>VLOOKUP(D40,[1]LuongBC_T01!$B$9:$C$292,2,FALSE)</f>
        <v>0016100006735007</v>
      </c>
      <c r="C40" s="361" t="s">
        <v>880</v>
      </c>
      <c r="D40" s="169" t="s">
        <v>47</v>
      </c>
      <c r="E40" s="263" t="s">
        <v>1625</v>
      </c>
      <c r="F40" s="169" t="s">
        <v>550</v>
      </c>
      <c r="G40" s="170" t="s">
        <v>25</v>
      </c>
      <c r="H40" s="170" t="s">
        <v>283</v>
      </c>
      <c r="I40" s="170" t="s">
        <v>282</v>
      </c>
      <c r="J40" s="169" t="s">
        <v>202</v>
      </c>
      <c r="K40" s="168" t="s">
        <v>1367</v>
      </c>
      <c r="L40" s="171" t="s">
        <v>86</v>
      </c>
      <c r="M40" s="171" t="s">
        <v>880</v>
      </c>
      <c r="N40" s="263" t="str">
        <f>VLOOKUP(D40,'[6]Bao cao So GDDT'!$D$14:$S$282,11,FALSE)</f>
        <v>Giảng viên GDNN LT (hạng III)</v>
      </c>
      <c r="O40" s="390" t="s">
        <v>1438</v>
      </c>
      <c r="P40" s="172" t="s">
        <v>692</v>
      </c>
      <c r="Q40" s="173">
        <v>6</v>
      </c>
      <c r="R40" s="174">
        <v>4.6500000000000004</v>
      </c>
      <c r="S40" s="176">
        <f t="shared" si="0"/>
        <v>0.97650000000000003</v>
      </c>
      <c r="T40" s="370"/>
      <c r="U40" s="176">
        <f t="shared" si="1"/>
        <v>0</v>
      </c>
      <c r="V40" s="175">
        <f t="shared" si="2"/>
        <v>0</v>
      </c>
      <c r="W40" s="509"/>
      <c r="X40" s="179">
        <v>0.21</v>
      </c>
      <c r="Y40" s="216">
        <f t="shared" si="3"/>
        <v>0.97650000000000003</v>
      </c>
      <c r="Z40" s="216">
        <f t="shared" si="4"/>
        <v>5.6265000000000001</v>
      </c>
      <c r="AA40" s="180">
        <f t="shared" si="5"/>
        <v>10127700</v>
      </c>
      <c r="AB40" s="180"/>
      <c r="AC40" s="180">
        <f t="shared" si="6"/>
        <v>0</v>
      </c>
      <c r="AD40" s="180">
        <f t="shared" ref="AD40:AD75" si="21">AA40/24*AB40*75%</f>
        <v>0</v>
      </c>
      <c r="AE40" s="180">
        <f t="shared" si="8"/>
        <v>10127700</v>
      </c>
      <c r="AF40" s="178">
        <f t="shared" si="9"/>
        <v>810216</v>
      </c>
      <c r="AG40" s="178">
        <f t="shared" si="10"/>
        <v>151915.5</v>
      </c>
      <c r="AH40" s="178">
        <f t="shared" si="11"/>
        <v>101277</v>
      </c>
      <c r="AI40" s="178"/>
      <c r="AJ40" s="178">
        <f t="shared" si="12"/>
        <v>1063408.5</v>
      </c>
      <c r="AK40" s="192"/>
      <c r="AL40" s="182">
        <f t="shared" si="13"/>
        <v>0</v>
      </c>
      <c r="AM40" s="182"/>
      <c r="AN40" s="182"/>
      <c r="AO40" s="183">
        <f t="shared" si="20"/>
        <v>4.6500000000000004</v>
      </c>
      <c r="AP40" s="443">
        <v>0.25</v>
      </c>
      <c r="AQ40" s="185">
        <f t="shared" si="15"/>
        <v>1.1625000000000001</v>
      </c>
      <c r="AR40" s="178">
        <f t="shared" si="16"/>
        <v>2092500</v>
      </c>
      <c r="AS40" s="178"/>
      <c r="AT40" s="178">
        <f t="shared" si="17"/>
        <v>11156792</v>
      </c>
      <c r="AU40" s="469">
        <f t="shared" si="18"/>
        <v>27</v>
      </c>
      <c r="AV40" s="195"/>
      <c r="AW40" s="187" t="s">
        <v>710</v>
      </c>
    </row>
    <row r="41" spans="1:52" s="191" customFormat="1" ht="30.75" customHeight="1" x14ac:dyDescent="0.25">
      <c r="A41" s="168">
        <f>_xlfn.AGGREGATE(4,7,A$13:A40)+1</f>
        <v>28</v>
      </c>
      <c r="B41" s="168" t="str">
        <f>VLOOKUP(D41,[1]LuongBC_T01!$B$9:$C$292,2,FALSE)</f>
        <v>0016100006801007</v>
      </c>
      <c r="C41" s="361" t="s">
        <v>885</v>
      </c>
      <c r="D41" s="169" t="s">
        <v>1182</v>
      </c>
      <c r="E41" s="263" t="s">
        <v>1625</v>
      </c>
      <c r="F41" s="169" t="s">
        <v>550</v>
      </c>
      <c r="G41" s="170" t="s">
        <v>25</v>
      </c>
      <c r="H41" s="170" t="s">
        <v>283</v>
      </c>
      <c r="I41" s="170" t="s">
        <v>283</v>
      </c>
      <c r="J41" s="169" t="s">
        <v>221</v>
      </c>
      <c r="K41" s="170" t="str">
        <f>VLOOKUP(D41,[2]T3!$B$2:$D$328,3,FALSE)</f>
        <v>023334538</v>
      </c>
      <c r="L41" s="171" t="s">
        <v>101</v>
      </c>
      <c r="M41" s="171" t="s">
        <v>885</v>
      </c>
      <c r="N41" s="263" t="str">
        <f>VLOOKUP(D41,'[6]Bao cao So GDDT'!$D$14:$S$282,11,FALSE)</f>
        <v>Giảng viên GDNN LT (hạng III)</v>
      </c>
      <c r="O41" s="390" t="s">
        <v>1438</v>
      </c>
      <c r="P41" s="172" t="s">
        <v>692</v>
      </c>
      <c r="Q41" s="173">
        <v>6</v>
      </c>
      <c r="R41" s="174">
        <v>4.6500000000000004</v>
      </c>
      <c r="S41" s="176">
        <f t="shared" si="0"/>
        <v>0.97650000000000003</v>
      </c>
      <c r="T41" s="370"/>
      <c r="U41" s="176">
        <f t="shared" si="1"/>
        <v>0</v>
      </c>
      <c r="V41" s="175">
        <f t="shared" si="2"/>
        <v>0</v>
      </c>
      <c r="W41" s="200"/>
      <c r="X41" s="179">
        <v>0.21</v>
      </c>
      <c r="Y41" s="216">
        <f t="shared" si="3"/>
        <v>0.97650000000000003</v>
      </c>
      <c r="Z41" s="216">
        <f t="shared" si="4"/>
        <v>5.6265000000000001</v>
      </c>
      <c r="AA41" s="180">
        <f t="shared" si="5"/>
        <v>10127700</v>
      </c>
      <c r="AB41" s="180"/>
      <c r="AC41" s="180">
        <f t="shared" si="6"/>
        <v>0</v>
      </c>
      <c r="AD41" s="180">
        <f t="shared" si="21"/>
        <v>0</v>
      </c>
      <c r="AE41" s="180">
        <f t="shared" si="8"/>
        <v>10127700</v>
      </c>
      <c r="AF41" s="178">
        <f t="shared" si="9"/>
        <v>810216</v>
      </c>
      <c r="AG41" s="178">
        <f t="shared" si="10"/>
        <v>151915.5</v>
      </c>
      <c r="AH41" s="178">
        <f t="shared" si="11"/>
        <v>101277</v>
      </c>
      <c r="AI41" s="178"/>
      <c r="AJ41" s="178">
        <f t="shared" si="12"/>
        <v>1063408.5</v>
      </c>
      <c r="AK41" s="181"/>
      <c r="AL41" s="182">
        <f t="shared" si="13"/>
        <v>0</v>
      </c>
      <c r="AM41" s="182"/>
      <c r="AN41" s="182"/>
      <c r="AO41" s="183">
        <f t="shared" si="20"/>
        <v>4.6500000000000004</v>
      </c>
      <c r="AP41" s="443">
        <v>0.25</v>
      </c>
      <c r="AQ41" s="185">
        <f t="shared" si="15"/>
        <v>1.1625000000000001</v>
      </c>
      <c r="AR41" s="178">
        <f t="shared" si="16"/>
        <v>2092500</v>
      </c>
      <c r="AS41" s="178"/>
      <c r="AT41" s="178">
        <f t="shared" si="17"/>
        <v>11156792</v>
      </c>
      <c r="AU41" s="469">
        <f t="shared" si="18"/>
        <v>28</v>
      </c>
      <c r="AV41" s="186"/>
      <c r="AW41" s="187" t="s">
        <v>710</v>
      </c>
    </row>
    <row r="42" spans="1:52" s="189" customFormat="1" ht="30.75" customHeight="1" x14ac:dyDescent="0.25">
      <c r="A42" s="168">
        <f>_xlfn.AGGREGATE(4,7,A$13:A41)+1</f>
        <v>29</v>
      </c>
      <c r="B42" s="168" t="str">
        <f>VLOOKUP(D42,[1]LuongBC_T01!$B$9:$C$292,2,FALSE)</f>
        <v>0016100006618008</v>
      </c>
      <c r="C42" s="361" t="s">
        <v>883</v>
      </c>
      <c r="D42" s="169" t="s">
        <v>1181</v>
      </c>
      <c r="E42" s="263" t="s">
        <v>1625</v>
      </c>
      <c r="F42" s="169" t="s">
        <v>549</v>
      </c>
      <c r="G42" s="170" t="s">
        <v>25</v>
      </c>
      <c r="H42" s="170" t="s">
        <v>283</v>
      </c>
      <c r="I42" s="170" t="s">
        <v>283</v>
      </c>
      <c r="J42" s="169" t="s">
        <v>220</v>
      </c>
      <c r="K42" s="170" t="str">
        <f>VLOOKUP(D42,[2]T3!$B$2:$D$328,3,FALSE)</f>
        <v>022848142</v>
      </c>
      <c r="L42" s="171" t="s">
        <v>100</v>
      </c>
      <c r="M42" s="171" t="s">
        <v>883</v>
      </c>
      <c r="N42" s="263" t="str">
        <f>VLOOKUP(D42,'[6]Bao cao So GDDT'!$D$14:$S$282,11,FALSE)</f>
        <v>Giảng viên GDNN LT (hạng III)</v>
      </c>
      <c r="O42" s="390" t="s">
        <v>1438</v>
      </c>
      <c r="P42" s="172" t="s">
        <v>692</v>
      </c>
      <c r="Q42" s="173">
        <v>6</v>
      </c>
      <c r="R42" s="174">
        <v>4.6500000000000004</v>
      </c>
      <c r="S42" s="176">
        <f t="shared" ref="S42:S69" si="22">U42+W42+Y42</f>
        <v>0.97650000000000003</v>
      </c>
      <c r="T42" s="370"/>
      <c r="U42" s="176">
        <f t="shared" ref="U42:U69" si="23">ROUND(R42*T42/100,4)</f>
        <v>0</v>
      </c>
      <c r="V42" s="175">
        <f t="shared" ref="V42:V69" si="24">R42*T42*$D$8/100</f>
        <v>0</v>
      </c>
      <c r="W42" s="170"/>
      <c r="X42" s="179">
        <v>0.21</v>
      </c>
      <c r="Y42" s="216">
        <f t="shared" ref="Y42:Y69" si="25">ROUND((R42+U42+W42)*X42,4)</f>
        <v>0.97650000000000003</v>
      </c>
      <c r="Z42" s="216">
        <f t="shared" ref="Z42:Z69" si="26">ROUND(R42+U42+W42+Y42,4)</f>
        <v>5.6265000000000001</v>
      </c>
      <c r="AA42" s="180">
        <f t="shared" ref="AA42:AA69" si="27">ROUND(Z42*$D$8,0)</f>
        <v>10127700</v>
      </c>
      <c r="AB42" s="180"/>
      <c r="AC42" s="180">
        <f t="shared" ref="AC42:AC69" si="28">AA42/24*AB42</f>
        <v>0</v>
      </c>
      <c r="AD42" s="180">
        <f t="shared" si="21"/>
        <v>0</v>
      </c>
      <c r="AE42" s="180">
        <f t="shared" ref="AE42:AE69" si="29">ROUND(AA42-AC42+AD42,0)</f>
        <v>10127700</v>
      </c>
      <c r="AF42" s="178">
        <f t="shared" ref="AF42:AF69" si="30">AA42*8%</f>
        <v>810216</v>
      </c>
      <c r="AG42" s="178">
        <f t="shared" ref="AG42:AG69" si="31">AA42*1.5%</f>
        <v>151915.5</v>
      </c>
      <c r="AH42" s="178">
        <f t="shared" ref="AH42:AH69" si="32">AA42*1%</f>
        <v>101277</v>
      </c>
      <c r="AI42" s="178"/>
      <c r="AJ42" s="178">
        <f t="shared" ref="AJ42:AJ69" si="33">SUM(AF42:AI42)</f>
        <v>1063408.5</v>
      </c>
      <c r="AK42" s="192"/>
      <c r="AL42" s="182">
        <f t="shared" ref="AL42:AL69" si="34">AK42*$D$8</f>
        <v>0</v>
      </c>
      <c r="AM42" s="182"/>
      <c r="AN42" s="182"/>
      <c r="AO42" s="183">
        <f t="shared" si="20"/>
        <v>4.6500000000000004</v>
      </c>
      <c r="AP42" s="443">
        <v>0.25</v>
      </c>
      <c r="AQ42" s="185">
        <f t="shared" ref="AQ42:AQ69" si="35">ROUND(AO42*AP42,4)</f>
        <v>1.1625000000000001</v>
      </c>
      <c r="AR42" s="178">
        <f t="shared" ref="AR42:AR69" si="36">ROUND(AQ42*$D$8,0)</f>
        <v>2092500</v>
      </c>
      <c r="AS42" s="178"/>
      <c r="AT42" s="178">
        <f t="shared" ref="AT42:AT69" si="37">ROUND(AE42-AJ42+AL42+AN42+AR42,0)</f>
        <v>11156792</v>
      </c>
      <c r="AU42" s="469">
        <f t="shared" ref="AU42:AU69" si="38">A42</f>
        <v>29</v>
      </c>
      <c r="AV42" s="186"/>
      <c r="AW42" s="198" t="s">
        <v>710</v>
      </c>
    </row>
    <row r="43" spans="1:52" s="189" customFormat="1" ht="30.75" customHeight="1" x14ac:dyDescent="0.25">
      <c r="A43" s="168">
        <f>_xlfn.AGGREGATE(4,7,A$13:A42)+1</f>
        <v>30</v>
      </c>
      <c r="B43" s="168" t="str">
        <f>VLOOKUP(D43,[1]LuongBC_T01!$B$9:$C$292,2,FALSE)</f>
        <v>0016100006704004</v>
      </c>
      <c r="C43" s="361" t="s">
        <v>876</v>
      </c>
      <c r="D43" s="169" t="s">
        <v>287</v>
      </c>
      <c r="E43" s="263" t="s">
        <v>1625</v>
      </c>
      <c r="F43" s="169" t="s">
        <v>549</v>
      </c>
      <c r="G43" s="170" t="s">
        <v>25</v>
      </c>
      <c r="H43" s="170" t="s">
        <v>283</v>
      </c>
      <c r="I43" s="170" t="s">
        <v>283</v>
      </c>
      <c r="J43" s="169" t="s">
        <v>288</v>
      </c>
      <c r="K43" s="170" t="str">
        <f>VLOOKUP(D43,[2]T3!$B$2:$D$328,3,FALSE)</f>
        <v>024917765</v>
      </c>
      <c r="L43" s="171" t="s">
        <v>289</v>
      </c>
      <c r="M43" s="171" t="s">
        <v>876</v>
      </c>
      <c r="N43" s="263" t="str">
        <f>VLOOKUP(D43,'[6]Bao cao So GDDT'!$D$14:$S$282,11,FALSE)</f>
        <v>Giảng viên GDNN LT (hạng III)</v>
      </c>
      <c r="O43" s="390" t="s">
        <v>1438</v>
      </c>
      <c r="P43" s="172" t="s">
        <v>692</v>
      </c>
      <c r="Q43" s="173">
        <v>7</v>
      </c>
      <c r="R43" s="174">
        <v>4.9800000000000004</v>
      </c>
      <c r="S43" s="176">
        <f t="shared" si="22"/>
        <v>1.1952</v>
      </c>
      <c r="T43" s="377"/>
      <c r="U43" s="176">
        <f t="shared" si="23"/>
        <v>0</v>
      </c>
      <c r="V43" s="175">
        <f t="shared" si="24"/>
        <v>0</v>
      </c>
      <c r="W43" s="200"/>
      <c r="X43" s="179">
        <v>0.24</v>
      </c>
      <c r="Y43" s="216">
        <f t="shared" si="25"/>
        <v>1.1952</v>
      </c>
      <c r="Z43" s="216">
        <f t="shared" si="26"/>
        <v>6.1752000000000002</v>
      </c>
      <c r="AA43" s="180">
        <f t="shared" si="27"/>
        <v>11115360</v>
      </c>
      <c r="AB43" s="180"/>
      <c r="AC43" s="180">
        <f t="shared" si="28"/>
        <v>0</v>
      </c>
      <c r="AD43" s="180">
        <f t="shared" si="21"/>
        <v>0</v>
      </c>
      <c r="AE43" s="180">
        <f t="shared" si="29"/>
        <v>11115360</v>
      </c>
      <c r="AF43" s="178">
        <f t="shared" si="30"/>
        <v>889228.80000000005</v>
      </c>
      <c r="AG43" s="178">
        <f t="shared" si="31"/>
        <v>166730.4</v>
      </c>
      <c r="AH43" s="178">
        <f t="shared" si="32"/>
        <v>111153.60000000001</v>
      </c>
      <c r="AI43" s="178"/>
      <c r="AJ43" s="178">
        <f t="shared" si="33"/>
        <v>1167112.8</v>
      </c>
      <c r="AK43" s="181"/>
      <c r="AL43" s="182">
        <f t="shared" si="34"/>
        <v>0</v>
      </c>
      <c r="AM43" s="182"/>
      <c r="AN43" s="182"/>
      <c r="AO43" s="183">
        <f t="shared" si="20"/>
        <v>4.9800000000000004</v>
      </c>
      <c r="AP43" s="443">
        <v>0.25</v>
      </c>
      <c r="AQ43" s="185">
        <f t="shared" si="35"/>
        <v>1.2450000000000001</v>
      </c>
      <c r="AR43" s="178">
        <f t="shared" si="36"/>
        <v>2241000</v>
      </c>
      <c r="AS43" s="178"/>
      <c r="AT43" s="178">
        <f t="shared" si="37"/>
        <v>12189247</v>
      </c>
      <c r="AU43" s="469">
        <f t="shared" si="38"/>
        <v>30</v>
      </c>
      <c r="AV43" s="186"/>
      <c r="AW43" s="198" t="s">
        <v>710</v>
      </c>
      <c r="AZ43" s="918"/>
    </row>
    <row r="44" spans="1:52" s="191" customFormat="1" ht="33" customHeight="1" x14ac:dyDescent="0.25">
      <c r="A44" s="168">
        <f>_xlfn.AGGREGATE(4,7,A$13:A43)+1</f>
        <v>31</v>
      </c>
      <c r="B44" s="168" t="str">
        <f>VLOOKUP(D44,[1]LuongBC_T01!$B$9:$C$292,2,FALSE)</f>
        <v>0016100006731001</v>
      </c>
      <c r="C44" s="361" t="s">
        <v>881</v>
      </c>
      <c r="D44" s="169" t="s">
        <v>1178</v>
      </c>
      <c r="E44" s="263" t="s">
        <v>1251</v>
      </c>
      <c r="F44" s="169" t="s">
        <v>549</v>
      </c>
      <c r="G44" s="200" t="s">
        <v>25</v>
      </c>
      <c r="H44" s="170" t="s">
        <v>283</v>
      </c>
      <c r="I44" s="200" t="s">
        <v>283</v>
      </c>
      <c r="J44" s="220" t="s">
        <v>216</v>
      </c>
      <c r="K44" s="170" t="str">
        <f>VLOOKUP(D44,[2]T3!$B$2:$D$328,3,FALSE)</f>
        <v>024106611</v>
      </c>
      <c r="L44" s="241" t="s">
        <v>167</v>
      </c>
      <c r="M44" s="241" t="s">
        <v>881</v>
      </c>
      <c r="N44" s="263" t="str">
        <f>VLOOKUP(D44,'[6]Bao cao So GDDT'!$D$14:$S$282,11,FALSE)</f>
        <v>Giảng viên GDNN LT (hạng III)</v>
      </c>
      <c r="O44" s="390" t="s">
        <v>1438</v>
      </c>
      <c r="P44" s="172" t="s">
        <v>692</v>
      </c>
      <c r="Q44" s="173">
        <v>6</v>
      </c>
      <c r="R44" s="174">
        <v>4.6500000000000004</v>
      </c>
      <c r="S44" s="176">
        <f t="shared" si="22"/>
        <v>0.97650000000000003</v>
      </c>
      <c r="T44" s="377"/>
      <c r="U44" s="176">
        <f t="shared" si="23"/>
        <v>0</v>
      </c>
      <c r="V44" s="175">
        <f t="shared" si="24"/>
        <v>0</v>
      </c>
      <c r="W44" s="200"/>
      <c r="X44" s="179">
        <v>0.21</v>
      </c>
      <c r="Y44" s="216">
        <f t="shared" si="25"/>
        <v>0.97650000000000003</v>
      </c>
      <c r="Z44" s="216">
        <f t="shared" si="26"/>
        <v>5.6265000000000001</v>
      </c>
      <c r="AA44" s="180">
        <f t="shared" si="27"/>
        <v>10127700</v>
      </c>
      <c r="AB44" s="180"/>
      <c r="AC44" s="180">
        <f t="shared" si="28"/>
        <v>0</v>
      </c>
      <c r="AD44" s="180">
        <f t="shared" si="21"/>
        <v>0</v>
      </c>
      <c r="AE44" s="180">
        <f t="shared" si="29"/>
        <v>10127700</v>
      </c>
      <c r="AF44" s="178">
        <f t="shared" si="30"/>
        <v>810216</v>
      </c>
      <c r="AG44" s="178">
        <f t="shared" si="31"/>
        <v>151915.5</v>
      </c>
      <c r="AH44" s="178">
        <f t="shared" si="32"/>
        <v>101277</v>
      </c>
      <c r="AI44" s="178"/>
      <c r="AJ44" s="178">
        <f t="shared" si="33"/>
        <v>1063408.5</v>
      </c>
      <c r="AK44" s="181"/>
      <c r="AL44" s="182">
        <f t="shared" si="34"/>
        <v>0</v>
      </c>
      <c r="AM44" s="182"/>
      <c r="AN44" s="182"/>
      <c r="AO44" s="183">
        <f t="shared" si="20"/>
        <v>4.6500000000000004</v>
      </c>
      <c r="AP44" s="443">
        <v>0.45</v>
      </c>
      <c r="AQ44" s="185">
        <f t="shared" si="35"/>
        <v>2.0924999999999998</v>
      </c>
      <c r="AR44" s="178">
        <f t="shared" si="36"/>
        <v>3766500</v>
      </c>
      <c r="AS44" s="178"/>
      <c r="AT44" s="178">
        <f t="shared" si="37"/>
        <v>12830792</v>
      </c>
      <c r="AU44" s="469">
        <f t="shared" si="38"/>
        <v>31</v>
      </c>
      <c r="AV44" s="186"/>
      <c r="AW44" s="186" t="s">
        <v>710</v>
      </c>
    </row>
    <row r="45" spans="1:52" s="189" customFormat="1" ht="33" customHeight="1" x14ac:dyDescent="0.25">
      <c r="A45" s="168">
        <f>_xlfn.AGGREGATE(4,7,A$13:A44)+1</f>
        <v>32</v>
      </c>
      <c r="B45" s="168" t="str">
        <f>VLOOKUP(D45,[1]LuongBC_T01!$B$9:$C$292,2,FALSE)</f>
        <v>0016100006588004</v>
      </c>
      <c r="C45" s="361" t="s">
        <v>879</v>
      </c>
      <c r="D45" s="169" t="s">
        <v>1177</v>
      </c>
      <c r="E45" s="263" t="s">
        <v>1251</v>
      </c>
      <c r="F45" s="169" t="s">
        <v>549</v>
      </c>
      <c r="G45" s="170"/>
      <c r="H45" s="170" t="s">
        <v>283</v>
      </c>
      <c r="I45" s="170" t="s">
        <v>282</v>
      </c>
      <c r="J45" s="169" t="s">
        <v>201</v>
      </c>
      <c r="K45" s="170" t="str">
        <f>VLOOKUP(D45,[2]T3!$B$2:$D$328,3,FALSE)</f>
        <v>021513654</v>
      </c>
      <c r="L45" s="171" t="s">
        <v>85</v>
      </c>
      <c r="M45" s="171" t="s">
        <v>879</v>
      </c>
      <c r="N45" s="263" t="str">
        <f>VLOOKUP(D45,'[6]Bao cao So GDDT'!$D$14:$S$282,11,FALSE)</f>
        <v>Giảng viên GDNN LT (hạng III)</v>
      </c>
      <c r="O45" s="390" t="s">
        <v>1438</v>
      </c>
      <c r="P45" s="172" t="s">
        <v>692</v>
      </c>
      <c r="Q45" s="173">
        <v>5</v>
      </c>
      <c r="R45" s="174">
        <v>4.32</v>
      </c>
      <c r="S45" s="176">
        <f t="shared" si="22"/>
        <v>0.86399999999999999</v>
      </c>
      <c r="T45" s="370"/>
      <c r="U45" s="176">
        <f t="shared" si="23"/>
        <v>0</v>
      </c>
      <c r="V45" s="175">
        <f t="shared" si="24"/>
        <v>0</v>
      </c>
      <c r="W45" s="170"/>
      <c r="X45" s="179">
        <v>0.2</v>
      </c>
      <c r="Y45" s="216">
        <f t="shared" si="25"/>
        <v>0.86399999999999999</v>
      </c>
      <c r="Z45" s="216">
        <f t="shared" si="26"/>
        <v>5.1840000000000002</v>
      </c>
      <c r="AA45" s="180">
        <f t="shared" si="27"/>
        <v>9331200</v>
      </c>
      <c r="AB45" s="180"/>
      <c r="AC45" s="180">
        <f t="shared" si="28"/>
        <v>0</v>
      </c>
      <c r="AD45" s="180">
        <f t="shared" si="21"/>
        <v>0</v>
      </c>
      <c r="AE45" s="180">
        <f t="shared" si="29"/>
        <v>9331200</v>
      </c>
      <c r="AF45" s="178">
        <f t="shared" si="30"/>
        <v>746496</v>
      </c>
      <c r="AG45" s="178">
        <f t="shared" si="31"/>
        <v>139968</v>
      </c>
      <c r="AH45" s="178">
        <f t="shared" si="32"/>
        <v>93312</v>
      </c>
      <c r="AI45" s="178"/>
      <c r="AJ45" s="178">
        <f t="shared" si="33"/>
        <v>979776</v>
      </c>
      <c r="AK45" s="181"/>
      <c r="AL45" s="182">
        <f t="shared" si="34"/>
        <v>0</v>
      </c>
      <c r="AM45" s="182"/>
      <c r="AN45" s="182"/>
      <c r="AO45" s="183">
        <f t="shared" si="20"/>
        <v>4.32</v>
      </c>
      <c r="AP45" s="443">
        <v>0.45</v>
      </c>
      <c r="AQ45" s="185">
        <f t="shared" si="35"/>
        <v>1.944</v>
      </c>
      <c r="AR45" s="178">
        <f t="shared" si="36"/>
        <v>3499200</v>
      </c>
      <c r="AS45" s="178"/>
      <c r="AT45" s="178">
        <f t="shared" si="37"/>
        <v>11850624</v>
      </c>
      <c r="AU45" s="469">
        <f t="shared" si="38"/>
        <v>32</v>
      </c>
      <c r="AV45" s="195"/>
      <c r="AW45" s="187" t="s">
        <v>710</v>
      </c>
    </row>
    <row r="46" spans="1:52" s="189" customFormat="1" ht="29.25" customHeight="1" x14ac:dyDescent="0.25">
      <c r="A46" s="168">
        <f>_xlfn.AGGREGATE(4,7,A$13:A45)+1</f>
        <v>33</v>
      </c>
      <c r="B46" s="168" t="str">
        <f>VLOOKUP(D46,[1]LuongBC_T01!$B$9:$C$292,2,FALSE)</f>
        <v>0016100006760001</v>
      </c>
      <c r="C46" s="361" t="s">
        <v>867</v>
      </c>
      <c r="D46" s="169" t="s">
        <v>1169</v>
      </c>
      <c r="E46" s="263" t="s">
        <v>1374</v>
      </c>
      <c r="F46" s="169" t="s">
        <v>550</v>
      </c>
      <c r="G46" s="170" t="s">
        <v>25</v>
      </c>
      <c r="H46" s="170" t="s">
        <v>283</v>
      </c>
      <c r="I46" s="170" t="s">
        <v>282</v>
      </c>
      <c r="J46" s="169" t="s">
        <v>195</v>
      </c>
      <c r="K46" s="170" t="str">
        <f>VLOOKUP(D46,[2]T3!$B$2:$D$328,3,FALSE)</f>
        <v>023044182</v>
      </c>
      <c r="L46" s="171" t="s">
        <v>79</v>
      </c>
      <c r="M46" s="171" t="s">
        <v>867</v>
      </c>
      <c r="N46" s="263" t="str">
        <f>VLOOKUP(D46,'[6]Bao cao So GDDT'!$D$14:$S$282,11,FALSE)</f>
        <v>Giảng viên GDNN LT (hạng III)</v>
      </c>
      <c r="O46" s="390" t="s">
        <v>1438</v>
      </c>
      <c r="P46" s="172" t="s">
        <v>692</v>
      </c>
      <c r="Q46" s="173">
        <v>8</v>
      </c>
      <c r="R46" s="174">
        <v>4.9800000000000004</v>
      </c>
      <c r="S46" s="176">
        <f t="shared" si="22"/>
        <v>1.6274999999999999</v>
      </c>
      <c r="T46" s="370">
        <v>7</v>
      </c>
      <c r="U46" s="176">
        <f t="shared" si="23"/>
        <v>0.34860000000000002</v>
      </c>
      <c r="V46" s="175">
        <f t="shared" si="24"/>
        <v>627480</v>
      </c>
      <c r="W46" s="170"/>
      <c r="X46" s="179">
        <v>0.24</v>
      </c>
      <c r="Y46" s="216">
        <f t="shared" si="25"/>
        <v>1.2788999999999999</v>
      </c>
      <c r="Z46" s="216">
        <f t="shared" si="26"/>
        <v>6.6074999999999999</v>
      </c>
      <c r="AA46" s="180">
        <f t="shared" si="27"/>
        <v>11893500</v>
      </c>
      <c r="AB46" s="180"/>
      <c r="AC46" s="180">
        <f t="shared" si="28"/>
        <v>0</v>
      </c>
      <c r="AD46" s="180">
        <f t="shared" si="21"/>
        <v>0</v>
      </c>
      <c r="AE46" s="180">
        <f t="shared" si="29"/>
        <v>11893500</v>
      </c>
      <c r="AF46" s="178">
        <f t="shared" si="30"/>
        <v>951480</v>
      </c>
      <c r="AG46" s="178">
        <f t="shared" si="31"/>
        <v>178402.5</v>
      </c>
      <c r="AH46" s="178">
        <f t="shared" si="32"/>
        <v>118935</v>
      </c>
      <c r="AI46" s="178"/>
      <c r="AJ46" s="178">
        <f t="shared" si="33"/>
        <v>1248817.5</v>
      </c>
      <c r="AK46" s="181"/>
      <c r="AL46" s="182">
        <f t="shared" si="34"/>
        <v>0</v>
      </c>
      <c r="AM46" s="182"/>
      <c r="AN46" s="182"/>
      <c r="AO46" s="183">
        <f t="shared" si="20"/>
        <v>5.3286000000000007</v>
      </c>
      <c r="AP46" s="443">
        <v>0.25</v>
      </c>
      <c r="AQ46" s="185">
        <f t="shared" si="35"/>
        <v>1.3322000000000001</v>
      </c>
      <c r="AR46" s="178">
        <f t="shared" si="36"/>
        <v>2397960</v>
      </c>
      <c r="AS46" s="178"/>
      <c r="AT46" s="178">
        <f t="shared" si="37"/>
        <v>13042643</v>
      </c>
      <c r="AU46" s="469">
        <f t="shared" si="38"/>
        <v>33</v>
      </c>
      <c r="AV46" s="186"/>
      <c r="AW46" s="218" t="s">
        <v>709</v>
      </c>
      <c r="AY46" s="670">
        <f>22*50000</f>
        <v>1100000</v>
      </c>
    </row>
    <row r="47" spans="1:52" s="189" customFormat="1" ht="38.25" customHeight="1" x14ac:dyDescent="0.25">
      <c r="A47" s="168">
        <f>_xlfn.AGGREGATE(4,7,A$13:A46)+1</f>
        <v>34</v>
      </c>
      <c r="B47" s="168" t="str">
        <f>VLOOKUP(D47,[1]LuongBC_T01!$B$9:$C$292,2,FALSE)</f>
        <v>0016100006763008</v>
      </c>
      <c r="C47" s="361" t="s">
        <v>868</v>
      </c>
      <c r="D47" s="169" t="s">
        <v>1170</v>
      </c>
      <c r="E47" s="263" t="s">
        <v>1374</v>
      </c>
      <c r="F47" s="169" t="s">
        <v>549</v>
      </c>
      <c r="G47" s="170" t="s">
        <v>25</v>
      </c>
      <c r="H47" s="170" t="s">
        <v>283</v>
      </c>
      <c r="I47" s="170" t="s">
        <v>282</v>
      </c>
      <c r="J47" s="169" t="s">
        <v>196</v>
      </c>
      <c r="K47" s="170" t="str">
        <f>VLOOKUP(D47,[2]T3!$B$2:$D$328,3,FALSE)</f>
        <v>022813516</v>
      </c>
      <c r="L47" s="171" t="s">
        <v>80</v>
      </c>
      <c r="M47" s="171" t="s">
        <v>868</v>
      </c>
      <c r="N47" s="263" t="str">
        <f>VLOOKUP(D47,'[6]Bao cao So GDDT'!$D$14:$S$282,11,FALSE)</f>
        <v>Giảng viên GDNN LT (hạng III)</v>
      </c>
      <c r="O47" s="390" t="s">
        <v>1438</v>
      </c>
      <c r="P47" s="172" t="s">
        <v>692</v>
      </c>
      <c r="Q47" s="173">
        <v>8</v>
      </c>
      <c r="R47" s="174">
        <v>4.9800000000000004</v>
      </c>
      <c r="S47" s="176">
        <f t="shared" si="22"/>
        <v>1.5742</v>
      </c>
      <c r="T47" s="370">
        <v>7</v>
      </c>
      <c r="U47" s="176">
        <f t="shared" si="23"/>
        <v>0.34860000000000002</v>
      </c>
      <c r="V47" s="175">
        <f t="shared" si="24"/>
        <v>627480</v>
      </c>
      <c r="W47" s="170"/>
      <c r="X47" s="179">
        <v>0.23</v>
      </c>
      <c r="Y47" s="216">
        <f t="shared" si="25"/>
        <v>1.2256</v>
      </c>
      <c r="Z47" s="216">
        <f t="shared" si="26"/>
        <v>6.5541999999999998</v>
      </c>
      <c r="AA47" s="180">
        <f t="shared" si="27"/>
        <v>11797560</v>
      </c>
      <c r="AB47" s="180"/>
      <c r="AC47" s="180">
        <f t="shared" si="28"/>
        <v>0</v>
      </c>
      <c r="AD47" s="180">
        <f t="shared" si="21"/>
        <v>0</v>
      </c>
      <c r="AE47" s="180">
        <f t="shared" si="29"/>
        <v>11797560</v>
      </c>
      <c r="AF47" s="178">
        <f t="shared" si="30"/>
        <v>943804.8</v>
      </c>
      <c r="AG47" s="178">
        <f t="shared" si="31"/>
        <v>176963.4</v>
      </c>
      <c r="AH47" s="178">
        <f t="shared" si="32"/>
        <v>117975.6</v>
      </c>
      <c r="AI47" s="178"/>
      <c r="AJ47" s="178">
        <f t="shared" si="33"/>
        <v>1238743.8</v>
      </c>
      <c r="AK47" s="192"/>
      <c r="AL47" s="182">
        <f t="shared" si="34"/>
        <v>0</v>
      </c>
      <c r="AM47" s="182"/>
      <c r="AN47" s="182"/>
      <c r="AO47" s="183">
        <f t="shared" si="20"/>
        <v>5.3286000000000007</v>
      </c>
      <c r="AP47" s="443">
        <v>0.25</v>
      </c>
      <c r="AQ47" s="185">
        <f t="shared" si="35"/>
        <v>1.3322000000000001</v>
      </c>
      <c r="AR47" s="178">
        <f t="shared" si="36"/>
        <v>2397960</v>
      </c>
      <c r="AS47" s="178"/>
      <c r="AT47" s="178">
        <f t="shared" si="37"/>
        <v>12956776</v>
      </c>
      <c r="AU47" s="469">
        <f t="shared" si="38"/>
        <v>34</v>
      </c>
      <c r="AV47" s="186"/>
      <c r="AW47" s="198" t="s">
        <v>709</v>
      </c>
      <c r="AY47" s="670">
        <f>SUM(AY37:AY46)</f>
        <v>93600000</v>
      </c>
    </row>
    <row r="48" spans="1:52" s="189" customFormat="1" ht="31.5" customHeight="1" x14ac:dyDescent="0.25">
      <c r="A48" s="168">
        <f>_xlfn.AGGREGATE(4,7,A$13:A47)+1</f>
        <v>35</v>
      </c>
      <c r="B48" s="168" t="str">
        <f>VLOOKUP(D48,[1]LuongBC_T01!$B$9:$C$292,2,FALSE)</f>
        <v>0016100006815008</v>
      </c>
      <c r="C48" s="361" t="s">
        <v>858</v>
      </c>
      <c r="D48" s="169" t="s">
        <v>1160</v>
      </c>
      <c r="E48" s="263" t="s">
        <v>1374</v>
      </c>
      <c r="F48" s="169" t="s">
        <v>549</v>
      </c>
      <c r="G48" s="170"/>
      <c r="H48" s="170" t="s">
        <v>283</v>
      </c>
      <c r="I48" s="170" t="s">
        <v>283</v>
      </c>
      <c r="J48" s="169" t="s">
        <v>205</v>
      </c>
      <c r="K48" s="170" t="str">
        <f>VLOOKUP(D48,[2]T3!$B$2:$D$328,3,FALSE)</f>
        <v>021314535</v>
      </c>
      <c r="L48" s="171" t="s">
        <v>525</v>
      </c>
      <c r="M48" s="171" t="s">
        <v>858</v>
      </c>
      <c r="N48" s="263" t="str">
        <f>VLOOKUP(D48,'[6]Bao cao So GDDT'!$D$14:$S$282,11,FALSE)</f>
        <v>Giảng viên GDNN LT (hạng III)</v>
      </c>
      <c r="O48" s="390" t="s">
        <v>1438</v>
      </c>
      <c r="P48" s="172" t="s">
        <v>692</v>
      </c>
      <c r="Q48" s="173">
        <v>9</v>
      </c>
      <c r="R48" s="174">
        <v>4.9800000000000004</v>
      </c>
      <c r="S48" s="176">
        <f t="shared" si="22"/>
        <v>2.6941999999999999</v>
      </c>
      <c r="T48" s="370">
        <v>15</v>
      </c>
      <c r="U48" s="176">
        <f t="shared" si="23"/>
        <v>0.747</v>
      </c>
      <c r="V48" s="175">
        <f t="shared" si="24"/>
        <v>1344600</v>
      </c>
      <c r="W48" s="170"/>
      <c r="X48" s="179">
        <v>0.34</v>
      </c>
      <c r="Y48" s="216">
        <f t="shared" si="25"/>
        <v>1.9472</v>
      </c>
      <c r="Z48" s="216">
        <f t="shared" si="26"/>
        <v>7.6741999999999999</v>
      </c>
      <c r="AA48" s="180">
        <f t="shared" si="27"/>
        <v>13813560</v>
      </c>
      <c r="AB48" s="180"/>
      <c r="AC48" s="180">
        <f t="shared" si="28"/>
        <v>0</v>
      </c>
      <c r="AD48" s="180">
        <f t="shared" si="21"/>
        <v>0</v>
      </c>
      <c r="AE48" s="180">
        <f t="shared" si="29"/>
        <v>13813560</v>
      </c>
      <c r="AF48" s="178">
        <f t="shared" si="30"/>
        <v>1105084.8</v>
      </c>
      <c r="AG48" s="178">
        <f t="shared" si="31"/>
        <v>207203.4</v>
      </c>
      <c r="AH48" s="178">
        <f t="shared" si="32"/>
        <v>138135.6</v>
      </c>
      <c r="AI48" s="178"/>
      <c r="AJ48" s="178">
        <f t="shared" si="33"/>
        <v>1450423.8</v>
      </c>
      <c r="AK48" s="192"/>
      <c r="AL48" s="182">
        <f t="shared" si="34"/>
        <v>0</v>
      </c>
      <c r="AM48" s="182"/>
      <c r="AN48" s="182"/>
      <c r="AO48" s="183">
        <f t="shared" si="20"/>
        <v>5.7270000000000003</v>
      </c>
      <c r="AP48" s="443">
        <v>0.25</v>
      </c>
      <c r="AQ48" s="185">
        <f t="shared" si="35"/>
        <v>1.4318</v>
      </c>
      <c r="AR48" s="178">
        <f t="shared" si="36"/>
        <v>2577240</v>
      </c>
      <c r="AS48" s="178"/>
      <c r="AT48" s="178">
        <f t="shared" si="37"/>
        <v>14940376</v>
      </c>
      <c r="AU48" s="469">
        <f t="shared" si="38"/>
        <v>35</v>
      </c>
      <c r="AV48" s="195"/>
      <c r="AW48" s="187" t="s">
        <v>709</v>
      </c>
    </row>
    <row r="49" spans="1:51" s="189" customFormat="1" ht="31.5" customHeight="1" x14ac:dyDescent="0.25">
      <c r="A49" s="168">
        <f>_xlfn.AGGREGATE(4,7,A$13:A48)+1</f>
        <v>36</v>
      </c>
      <c r="B49" s="168" t="str">
        <f>VLOOKUP(D49,[1]LuongBC_T01!$B$9:$C$292,2,FALSE)</f>
        <v>0016100006758007</v>
      </c>
      <c r="C49" s="361" t="s">
        <v>865</v>
      </c>
      <c r="D49" s="169" t="s">
        <v>1168</v>
      </c>
      <c r="E49" s="263" t="s">
        <v>1374</v>
      </c>
      <c r="F49" s="169" t="s">
        <v>549</v>
      </c>
      <c r="G49" s="170"/>
      <c r="H49" s="170" t="s">
        <v>283</v>
      </c>
      <c r="I49" s="170" t="s">
        <v>282</v>
      </c>
      <c r="J49" s="169" t="s">
        <v>197</v>
      </c>
      <c r="K49" s="170" t="str">
        <f>VLOOKUP(D49,[2]T3!$B$2:$D$328,3,FALSE)</f>
        <v>022355188</v>
      </c>
      <c r="L49" s="171" t="s">
        <v>81</v>
      </c>
      <c r="M49" s="171" t="s">
        <v>865</v>
      </c>
      <c r="N49" s="263" t="str">
        <f>VLOOKUP(D49,'[6]Bao cao So GDDT'!$D$14:$S$282,11,FALSE)</f>
        <v>Giảng viên GDNN LT (hạng III)</v>
      </c>
      <c r="O49" s="390" t="s">
        <v>1438</v>
      </c>
      <c r="P49" s="172" t="s">
        <v>692</v>
      </c>
      <c r="Q49" s="173">
        <v>8</v>
      </c>
      <c r="R49" s="174">
        <v>4.9800000000000004</v>
      </c>
      <c r="S49" s="176">
        <f t="shared" si="22"/>
        <v>1.5656999999999999</v>
      </c>
      <c r="T49" s="370">
        <v>6</v>
      </c>
      <c r="U49" s="176">
        <f t="shared" si="23"/>
        <v>0.29880000000000001</v>
      </c>
      <c r="V49" s="175">
        <f t="shared" si="24"/>
        <v>537840.00000000012</v>
      </c>
      <c r="W49" s="170"/>
      <c r="X49" s="179">
        <v>0.24</v>
      </c>
      <c r="Y49" s="216">
        <f t="shared" si="25"/>
        <v>1.2668999999999999</v>
      </c>
      <c r="Z49" s="216">
        <f t="shared" si="26"/>
        <v>6.5457000000000001</v>
      </c>
      <c r="AA49" s="180">
        <f t="shared" si="27"/>
        <v>11782260</v>
      </c>
      <c r="AB49" s="180"/>
      <c r="AC49" s="180">
        <f t="shared" si="28"/>
        <v>0</v>
      </c>
      <c r="AD49" s="180">
        <f t="shared" si="21"/>
        <v>0</v>
      </c>
      <c r="AE49" s="180">
        <f t="shared" si="29"/>
        <v>11782260</v>
      </c>
      <c r="AF49" s="178">
        <f t="shared" si="30"/>
        <v>942580.8</v>
      </c>
      <c r="AG49" s="178">
        <f t="shared" si="31"/>
        <v>176733.9</v>
      </c>
      <c r="AH49" s="178">
        <f t="shared" si="32"/>
        <v>117822.6</v>
      </c>
      <c r="AI49" s="178"/>
      <c r="AJ49" s="178">
        <f t="shared" si="33"/>
        <v>1237137.3</v>
      </c>
      <c r="AK49" s="192"/>
      <c r="AL49" s="182">
        <f t="shared" si="34"/>
        <v>0</v>
      </c>
      <c r="AM49" s="182"/>
      <c r="AN49" s="182"/>
      <c r="AO49" s="183">
        <f t="shared" si="20"/>
        <v>5.2788000000000004</v>
      </c>
      <c r="AP49" s="443">
        <v>0.25</v>
      </c>
      <c r="AQ49" s="185">
        <f t="shared" si="35"/>
        <v>1.3197000000000001</v>
      </c>
      <c r="AR49" s="178">
        <f t="shared" si="36"/>
        <v>2375460</v>
      </c>
      <c r="AS49" s="178"/>
      <c r="AT49" s="178">
        <f t="shared" si="37"/>
        <v>12920583</v>
      </c>
      <c r="AU49" s="469">
        <f t="shared" si="38"/>
        <v>36</v>
      </c>
      <c r="AV49" s="186"/>
      <c r="AW49" s="219" t="s">
        <v>709</v>
      </c>
      <c r="AY49" s="670">
        <f>56*100000</f>
        <v>5600000</v>
      </c>
    </row>
    <row r="50" spans="1:51" s="191" customFormat="1" ht="29.25" customHeight="1" x14ac:dyDescent="0.25">
      <c r="A50" s="168">
        <f>_xlfn.AGGREGATE(4,7,A$13:A49)+1</f>
        <v>37</v>
      </c>
      <c r="B50" s="168" t="str">
        <f>VLOOKUP(D50,[1]LuongBC_T01!$B$9:$C$292,2,FALSE)</f>
        <v>0016100006811005</v>
      </c>
      <c r="C50" s="361" t="s">
        <v>871</v>
      </c>
      <c r="D50" s="169" t="s">
        <v>1172</v>
      </c>
      <c r="E50" s="263" t="s">
        <v>1374</v>
      </c>
      <c r="F50" s="169" t="s">
        <v>549</v>
      </c>
      <c r="G50" s="170" t="s">
        <v>25</v>
      </c>
      <c r="H50" s="170" t="s">
        <v>283</v>
      </c>
      <c r="I50" s="170" t="s">
        <v>283</v>
      </c>
      <c r="J50" s="169" t="s">
        <v>235</v>
      </c>
      <c r="K50" s="170" t="str">
        <f>VLOOKUP(D50,[2]T3!$B$2:$D$328,3,FALSE)</f>
        <v>024283935</v>
      </c>
      <c r="L50" s="171" t="s">
        <v>144</v>
      </c>
      <c r="M50" s="171" t="s">
        <v>871</v>
      </c>
      <c r="N50" s="263" t="str">
        <f>VLOOKUP(D50,'[6]Bao cao So GDDT'!$D$14:$S$282,11,FALSE)</f>
        <v>Giảng viên GDNN LT (hạng III)</v>
      </c>
      <c r="O50" s="390" t="s">
        <v>1438</v>
      </c>
      <c r="P50" s="172" t="s">
        <v>692</v>
      </c>
      <c r="Q50" s="173">
        <v>8</v>
      </c>
      <c r="R50" s="174">
        <v>4.9800000000000004</v>
      </c>
      <c r="S50" s="176">
        <f t="shared" si="22"/>
        <v>1.4517000000000002</v>
      </c>
      <c r="T50" s="370">
        <v>5</v>
      </c>
      <c r="U50" s="176">
        <f t="shared" si="23"/>
        <v>0.249</v>
      </c>
      <c r="V50" s="175">
        <f t="shared" si="24"/>
        <v>448200.00000000006</v>
      </c>
      <c r="W50" s="200"/>
      <c r="X50" s="179">
        <v>0.23</v>
      </c>
      <c r="Y50" s="216">
        <f t="shared" si="25"/>
        <v>1.2027000000000001</v>
      </c>
      <c r="Z50" s="216">
        <f t="shared" si="26"/>
        <v>6.4317000000000002</v>
      </c>
      <c r="AA50" s="180">
        <f t="shared" si="27"/>
        <v>11577060</v>
      </c>
      <c r="AB50" s="180"/>
      <c r="AC50" s="180">
        <f t="shared" si="28"/>
        <v>0</v>
      </c>
      <c r="AD50" s="180">
        <f t="shared" si="21"/>
        <v>0</v>
      </c>
      <c r="AE50" s="180">
        <f t="shared" si="29"/>
        <v>11577060</v>
      </c>
      <c r="AF50" s="178">
        <f t="shared" si="30"/>
        <v>926164.8</v>
      </c>
      <c r="AG50" s="178">
        <f t="shared" si="31"/>
        <v>173655.9</v>
      </c>
      <c r="AH50" s="178">
        <f t="shared" si="32"/>
        <v>115770.6</v>
      </c>
      <c r="AI50" s="178"/>
      <c r="AJ50" s="178">
        <f t="shared" si="33"/>
        <v>1215591.3</v>
      </c>
      <c r="AK50" s="181"/>
      <c r="AL50" s="182">
        <f t="shared" si="34"/>
        <v>0</v>
      </c>
      <c r="AM50" s="182"/>
      <c r="AN50" s="182"/>
      <c r="AO50" s="183">
        <f t="shared" si="20"/>
        <v>5.2290000000000001</v>
      </c>
      <c r="AP50" s="443">
        <v>0.25</v>
      </c>
      <c r="AQ50" s="185">
        <f t="shared" si="35"/>
        <v>1.3072999999999999</v>
      </c>
      <c r="AR50" s="178">
        <f t="shared" si="36"/>
        <v>2353140</v>
      </c>
      <c r="AS50" s="178"/>
      <c r="AT50" s="178">
        <f t="shared" si="37"/>
        <v>12714609</v>
      </c>
      <c r="AU50" s="469">
        <f t="shared" si="38"/>
        <v>37</v>
      </c>
      <c r="AV50" s="186"/>
      <c r="AW50" s="187" t="s">
        <v>709</v>
      </c>
    </row>
    <row r="51" spans="1:51" s="191" customFormat="1" ht="31.5" customHeight="1" x14ac:dyDescent="0.25">
      <c r="A51" s="168">
        <f>_xlfn.AGGREGATE(4,7,A$13:A50)+1</f>
        <v>38</v>
      </c>
      <c r="B51" s="168" t="str">
        <f>VLOOKUP(D51,[1]LuongBC_T01!$B$9:$C$292,2,FALSE)</f>
        <v>0016100006759003</v>
      </c>
      <c r="C51" s="361" t="s">
        <v>1085</v>
      </c>
      <c r="D51" s="169" t="s">
        <v>1196</v>
      </c>
      <c r="E51" s="263" t="s">
        <v>1374</v>
      </c>
      <c r="F51" s="169" t="s">
        <v>551</v>
      </c>
      <c r="G51" s="170"/>
      <c r="H51" s="170"/>
      <c r="I51" s="170" t="s">
        <v>283</v>
      </c>
      <c r="J51" s="169" t="s">
        <v>240</v>
      </c>
      <c r="K51" s="170" t="str">
        <f>VLOOKUP(D51,[2]T3!$B$2:$D$328,3,FALSE)</f>
        <v>021722359</v>
      </c>
      <c r="L51" s="171" t="s">
        <v>113</v>
      </c>
      <c r="M51" s="171" t="s">
        <v>1085</v>
      </c>
      <c r="N51" s="263" t="str">
        <f>VLOOKUP(D51,'[6]Bao cao So GDDT'!$D$14:$S$282,11,FALSE)</f>
        <v>Giảng viên GDNN LT (hạng III)</v>
      </c>
      <c r="O51" s="666" t="s">
        <v>1438</v>
      </c>
      <c r="P51" s="172" t="s">
        <v>697</v>
      </c>
      <c r="Q51" s="173">
        <v>10</v>
      </c>
      <c r="R51" s="174">
        <v>4.9800000000000004</v>
      </c>
      <c r="S51" s="176">
        <f t="shared" si="22"/>
        <v>2.0865999999999998</v>
      </c>
      <c r="T51" s="370">
        <v>10</v>
      </c>
      <c r="U51" s="176">
        <f t="shared" si="23"/>
        <v>0.498</v>
      </c>
      <c r="V51" s="175">
        <f t="shared" si="24"/>
        <v>896400.00000000012</v>
      </c>
      <c r="W51" s="170"/>
      <c r="X51" s="179">
        <v>0.28999999999999998</v>
      </c>
      <c r="Y51" s="216">
        <f t="shared" si="25"/>
        <v>1.5886</v>
      </c>
      <c r="Z51" s="216">
        <f t="shared" si="26"/>
        <v>7.0666000000000002</v>
      </c>
      <c r="AA51" s="180">
        <f t="shared" si="27"/>
        <v>12719880</v>
      </c>
      <c r="AB51" s="180"/>
      <c r="AC51" s="180">
        <f t="shared" si="28"/>
        <v>0</v>
      </c>
      <c r="AD51" s="180">
        <f t="shared" si="21"/>
        <v>0</v>
      </c>
      <c r="AE51" s="180">
        <f t="shared" si="29"/>
        <v>12719880</v>
      </c>
      <c r="AF51" s="178">
        <f t="shared" si="30"/>
        <v>1017590.4</v>
      </c>
      <c r="AG51" s="178">
        <f t="shared" si="31"/>
        <v>190798.19999999998</v>
      </c>
      <c r="AH51" s="178">
        <f t="shared" si="32"/>
        <v>127198.8</v>
      </c>
      <c r="AI51" s="178"/>
      <c r="AJ51" s="178">
        <f t="shared" si="33"/>
        <v>1335587.4000000001</v>
      </c>
      <c r="AK51" s="181"/>
      <c r="AL51" s="182">
        <f t="shared" si="34"/>
        <v>0</v>
      </c>
      <c r="AM51" s="182"/>
      <c r="AN51" s="182"/>
      <c r="AO51" s="183">
        <f t="shared" si="20"/>
        <v>5.4780000000000006</v>
      </c>
      <c r="AP51" s="443">
        <v>0.25</v>
      </c>
      <c r="AQ51" s="185">
        <f t="shared" si="35"/>
        <v>1.3694999999999999</v>
      </c>
      <c r="AR51" s="178">
        <f t="shared" si="36"/>
        <v>2465100</v>
      </c>
      <c r="AS51" s="178"/>
      <c r="AT51" s="178">
        <f t="shared" si="37"/>
        <v>13849393</v>
      </c>
      <c r="AU51" s="469">
        <f t="shared" si="38"/>
        <v>38</v>
      </c>
      <c r="AV51" s="195"/>
      <c r="AW51" s="244" t="s">
        <v>730</v>
      </c>
    </row>
    <row r="52" spans="1:51" s="191" customFormat="1" ht="37.5" customHeight="1" x14ac:dyDescent="0.25">
      <c r="A52" s="168">
        <f>_xlfn.AGGREGATE(4,7,A$13:A51)+1</f>
        <v>39</v>
      </c>
      <c r="B52" s="168" t="str">
        <f>VLOOKUP(D52,[1]LuongBC_T01!$B$9:$C$292,2,FALSE)</f>
        <v>0016100006814004</v>
      </c>
      <c r="C52" s="361" t="s">
        <v>862</v>
      </c>
      <c r="D52" s="169" t="s">
        <v>1164</v>
      </c>
      <c r="E52" s="263" t="s">
        <v>1374</v>
      </c>
      <c r="F52" s="169" t="s">
        <v>549</v>
      </c>
      <c r="G52" s="170"/>
      <c r="H52" s="170"/>
      <c r="I52" s="170" t="s">
        <v>284</v>
      </c>
      <c r="J52" s="169" t="s">
        <v>208</v>
      </c>
      <c r="K52" s="170" t="str">
        <f>VLOOKUP(D52,[2]T3!$B$2:$D$328,3,FALSE)</f>
        <v>022102283</v>
      </c>
      <c r="L52" s="171" t="s">
        <v>159</v>
      </c>
      <c r="M52" s="171" t="s">
        <v>862</v>
      </c>
      <c r="N52" s="263" t="str">
        <f>VLOOKUP(D52,'[6]Bao cao So GDDT'!$D$14:$S$282,11,FALSE)</f>
        <v>Giảng viên GDNN LT (hạng III)</v>
      </c>
      <c r="O52" s="390" t="s">
        <v>1438</v>
      </c>
      <c r="P52" s="172" t="s">
        <v>692</v>
      </c>
      <c r="Q52" s="173">
        <v>8</v>
      </c>
      <c r="R52" s="174">
        <v>4.9800000000000004</v>
      </c>
      <c r="S52" s="176">
        <f t="shared" si="22"/>
        <v>1.2545000000000002</v>
      </c>
      <c r="T52" s="370">
        <v>7</v>
      </c>
      <c r="U52" s="176">
        <f t="shared" si="23"/>
        <v>0.34860000000000002</v>
      </c>
      <c r="V52" s="175">
        <f t="shared" si="24"/>
        <v>627480</v>
      </c>
      <c r="W52" s="200"/>
      <c r="X52" s="179">
        <v>0.17</v>
      </c>
      <c r="Y52" s="216">
        <f t="shared" si="25"/>
        <v>0.90590000000000004</v>
      </c>
      <c r="Z52" s="216">
        <f t="shared" si="26"/>
        <v>6.2344999999999997</v>
      </c>
      <c r="AA52" s="180">
        <f t="shared" si="27"/>
        <v>11222100</v>
      </c>
      <c r="AB52" s="180"/>
      <c r="AC52" s="180">
        <f t="shared" si="28"/>
        <v>0</v>
      </c>
      <c r="AD52" s="180">
        <f t="shared" si="21"/>
        <v>0</v>
      </c>
      <c r="AE52" s="180">
        <f t="shared" si="29"/>
        <v>11222100</v>
      </c>
      <c r="AF52" s="178">
        <f t="shared" si="30"/>
        <v>897768</v>
      </c>
      <c r="AG52" s="178">
        <f t="shared" si="31"/>
        <v>168331.5</v>
      </c>
      <c r="AH52" s="178">
        <f t="shared" si="32"/>
        <v>112221</v>
      </c>
      <c r="AI52" s="178"/>
      <c r="AJ52" s="178">
        <f t="shared" si="33"/>
        <v>1178320.5</v>
      </c>
      <c r="AK52" s="181"/>
      <c r="AL52" s="182">
        <f t="shared" si="34"/>
        <v>0</v>
      </c>
      <c r="AM52" s="182"/>
      <c r="AN52" s="182"/>
      <c r="AO52" s="183">
        <f t="shared" si="20"/>
        <v>5.3286000000000007</v>
      </c>
      <c r="AP52" s="246">
        <v>0.25</v>
      </c>
      <c r="AQ52" s="185">
        <f t="shared" si="35"/>
        <v>1.3322000000000001</v>
      </c>
      <c r="AR52" s="178">
        <f t="shared" si="36"/>
        <v>2397960</v>
      </c>
      <c r="AS52" s="178"/>
      <c r="AT52" s="178">
        <f t="shared" si="37"/>
        <v>12441740</v>
      </c>
      <c r="AU52" s="469">
        <f t="shared" si="38"/>
        <v>39</v>
      </c>
      <c r="AV52" s="186"/>
      <c r="AW52" s="198" t="s">
        <v>709</v>
      </c>
    </row>
    <row r="53" spans="1:51" s="189" customFormat="1" ht="33.75" customHeight="1" x14ac:dyDescent="0.25">
      <c r="A53" s="168">
        <f>_xlfn.AGGREGATE(4,7,A$13:A52)+1</f>
        <v>40</v>
      </c>
      <c r="B53" s="168" t="str">
        <f>VLOOKUP(D53,[1]LuongBC_T01!$B$9:$C$292,2,FALSE)</f>
        <v>0016100006614005</v>
      </c>
      <c r="C53" s="361" t="s">
        <v>898</v>
      </c>
      <c r="D53" s="169" t="s">
        <v>1194</v>
      </c>
      <c r="E53" s="263" t="s">
        <v>1374</v>
      </c>
      <c r="F53" s="169" t="s">
        <v>549</v>
      </c>
      <c r="G53" s="170"/>
      <c r="H53" s="170"/>
      <c r="I53" s="170" t="s">
        <v>283</v>
      </c>
      <c r="J53" s="169" t="s">
        <v>239</v>
      </c>
      <c r="K53" s="170" t="str">
        <f>VLOOKUP(D53,[2]T3!$B$2:$D$328,3,FALSE)</f>
        <v>038065000896</v>
      </c>
      <c r="L53" s="171" t="s">
        <v>151</v>
      </c>
      <c r="M53" s="171" t="s">
        <v>898</v>
      </c>
      <c r="N53" s="263" t="str">
        <f>VLOOKUP(D53,'[6]Bao cao So GDDT'!$D$14:$S$282,11,FALSE)</f>
        <v>Giảng viên GDNN LT (hạng III)</v>
      </c>
      <c r="O53" s="666" t="s">
        <v>1438</v>
      </c>
      <c r="P53" s="172" t="s">
        <v>692</v>
      </c>
      <c r="Q53" s="173">
        <v>9</v>
      </c>
      <c r="R53" s="174">
        <v>4.9800000000000004</v>
      </c>
      <c r="S53" s="176">
        <f t="shared" si="22"/>
        <v>2.3167</v>
      </c>
      <c r="T53" s="370">
        <v>11</v>
      </c>
      <c r="U53" s="176">
        <f t="shared" si="23"/>
        <v>0.54779999999999995</v>
      </c>
      <c r="V53" s="175">
        <f t="shared" si="24"/>
        <v>986040</v>
      </c>
      <c r="W53" s="170"/>
      <c r="X53" s="179">
        <v>0.32</v>
      </c>
      <c r="Y53" s="216">
        <f t="shared" si="25"/>
        <v>1.7688999999999999</v>
      </c>
      <c r="Z53" s="216">
        <f t="shared" si="26"/>
        <v>7.2967000000000004</v>
      </c>
      <c r="AA53" s="180">
        <f t="shared" si="27"/>
        <v>13134060</v>
      </c>
      <c r="AB53" s="180"/>
      <c r="AC53" s="180">
        <f t="shared" si="28"/>
        <v>0</v>
      </c>
      <c r="AD53" s="180">
        <f t="shared" si="21"/>
        <v>0</v>
      </c>
      <c r="AE53" s="180">
        <f t="shared" si="29"/>
        <v>13134060</v>
      </c>
      <c r="AF53" s="178">
        <f t="shared" si="30"/>
        <v>1050724.8</v>
      </c>
      <c r="AG53" s="178">
        <f t="shared" si="31"/>
        <v>197010.9</v>
      </c>
      <c r="AH53" s="178">
        <f t="shared" si="32"/>
        <v>131340.6</v>
      </c>
      <c r="AI53" s="178"/>
      <c r="AJ53" s="178">
        <f t="shared" si="33"/>
        <v>1379076.3</v>
      </c>
      <c r="AK53" s="192"/>
      <c r="AL53" s="182">
        <f t="shared" si="34"/>
        <v>0</v>
      </c>
      <c r="AM53" s="182"/>
      <c r="AN53" s="182"/>
      <c r="AO53" s="183">
        <f t="shared" si="20"/>
        <v>5.5278</v>
      </c>
      <c r="AP53" s="246">
        <v>0.25</v>
      </c>
      <c r="AQ53" s="185">
        <f t="shared" si="35"/>
        <v>1.3819999999999999</v>
      </c>
      <c r="AR53" s="178">
        <f t="shared" si="36"/>
        <v>2487600</v>
      </c>
      <c r="AS53" s="178"/>
      <c r="AT53" s="178">
        <f t="shared" si="37"/>
        <v>14242584</v>
      </c>
      <c r="AU53" s="469">
        <f t="shared" si="38"/>
        <v>40</v>
      </c>
      <c r="AV53" s="195"/>
      <c r="AW53" s="198" t="s">
        <v>705</v>
      </c>
    </row>
    <row r="54" spans="1:51" s="189" customFormat="1" ht="33.75" customHeight="1" x14ac:dyDescent="0.25">
      <c r="A54" s="168">
        <f>_xlfn.AGGREGATE(4,7,A$13:A53)+1</f>
        <v>41</v>
      </c>
      <c r="B54" s="168" t="str">
        <f>VLOOKUP(D54,[1]LuongBC_T01!$B$9:$C$292,2,FALSE)</f>
        <v>0016100006592001</v>
      </c>
      <c r="C54" s="361" t="s">
        <v>849</v>
      </c>
      <c r="D54" s="169" t="s">
        <v>1151</v>
      </c>
      <c r="E54" s="263" t="s">
        <v>1600</v>
      </c>
      <c r="F54" s="169" t="s">
        <v>549</v>
      </c>
      <c r="G54" s="170"/>
      <c r="H54" s="170" t="s">
        <v>283</v>
      </c>
      <c r="I54" s="170" t="s">
        <v>282</v>
      </c>
      <c r="J54" s="169" t="s">
        <v>199</v>
      </c>
      <c r="K54" s="170" t="str">
        <f>VLOOKUP(D54,[2]T3!$B$2:$D$328,3,FALSE)</f>
        <v>024257826</v>
      </c>
      <c r="L54" s="171" t="s">
        <v>82</v>
      </c>
      <c r="M54" s="171" t="s">
        <v>849</v>
      </c>
      <c r="N54" s="263" t="str">
        <f>VLOOKUP(D54,'[6]Bao cao So GDDT'!$D$14:$S$282,11,FALSE)</f>
        <v>Giảng viên GDNN LT (hạng III)</v>
      </c>
      <c r="O54" s="390" t="s">
        <v>1438</v>
      </c>
      <c r="P54" s="172" t="s">
        <v>692</v>
      </c>
      <c r="Q54" s="173">
        <v>6</v>
      </c>
      <c r="R54" s="174">
        <v>4.6500000000000004</v>
      </c>
      <c r="S54" s="176">
        <f t="shared" si="22"/>
        <v>1.929</v>
      </c>
      <c r="T54" s="370"/>
      <c r="U54" s="176">
        <f t="shared" si="23"/>
        <v>0</v>
      </c>
      <c r="V54" s="175">
        <f t="shared" si="24"/>
        <v>0</v>
      </c>
      <c r="W54" s="170">
        <v>0.45</v>
      </c>
      <c r="X54" s="179">
        <v>0.28999999999999998</v>
      </c>
      <c r="Y54" s="216">
        <f t="shared" si="25"/>
        <v>1.4790000000000001</v>
      </c>
      <c r="Z54" s="216">
        <f t="shared" si="26"/>
        <v>6.5789999999999997</v>
      </c>
      <c r="AA54" s="180">
        <f t="shared" si="27"/>
        <v>11842200</v>
      </c>
      <c r="AB54" s="180"/>
      <c r="AC54" s="180">
        <f t="shared" si="28"/>
        <v>0</v>
      </c>
      <c r="AD54" s="180">
        <f t="shared" si="21"/>
        <v>0</v>
      </c>
      <c r="AE54" s="180">
        <f t="shared" si="29"/>
        <v>11842200</v>
      </c>
      <c r="AF54" s="178">
        <f t="shared" si="30"/>
        <v>947376</v>
      </c>
      <c r="AG54" s="178">
        <f t="shared" si="31"/>
        <v>177633</v>
      </c>
      <c r="AH54" s="178">
        <f t="shared" si="32"/>
        <v>118422</v>
      </c>
      <c r="AI54" s="178"/>
      <c r="AJ54" s="178">
        <f t="shared" si="33"/>
        <v>1243431</v>
      </c>
      <c r="AK54" s="192"/>
      <c r="AL54" s="182">
        <f t="shared" si="34"/>
        <v>0</v>
      </c>
      <c r="AM54" s="182"/>
      <c r="AN54" s="182"/>
      <c r="AO54" s="183">
        <f t="shared" si="20"/>
        <v>5.1000000000000005</v>
      </c>
      <c r="AP54" s="443">
        <v>0.25</v>
      </c>
      <c r="AQ54" s="185">
        <f t="shared" si="35"/>
        <v>1.2749999999999999</v>
      </c>
      <c r="AR54" s="178">
        <f t="shared" si="36"/>
        <v>2295000</v>
      </c>
      <c r="AS54" s="178"/>
      <c r="AT54" s="178">
        <f t="shared" si="37"/>
        <v>12893769</v>
      </c>
      <c r="AU54" s="469">
        <f t="shared" si="38"/>
        <v>41</v>
      </c>
      <c r="AV54" s="195"/>
      <c r="AW54" s="198" t="s">
        <v>704</v>
      </c>
    </row>
    <row r="55" spans="1:51" s="191" customFormat="1" ht="33.75" customHeight="1" x14ac:dyDescent="0.25">
      <c r="A55" s="168">
        <f>_xlfn.AGGREGATE(4,7,A$13:A54)+1</f>
        <v>42</v>
      </c>
      <c r="B55" s="168" t="str">
        <f>VLOOKUP(D55,[1]LuongBC_T01!$B$9:$C$292,2,FALSE)</f>
        <v>0016100006660007</v>
      </c>
      <c r="C55" s="361" t="s">
        <v>844</v>
      </c>
      <c r="D55" s="169" t="s">
        <v>1146</v>
      </c>
      <c r="E55" s="263" t="s">
        <v>1396</v>
      </c>
      <c r="F55" s="169" t="s">
        <v>549</v>
      </c>
      <c r="G55" s="170"/>
      <c r="H55" s="170" t="s">
        <v>283</v>
      </c>
      <c r="I55" s="170" t="s">
        <v>281</v>
      </c>
      <c r="J55" s="169" t="s">
        <v>186</v>
      </c>
      <c r="K55" s="168" t="s">
        <v>1355</v>
      </c>
      <c r="L55" s="171" t="s">
        <v>73</v>
      </c>
      <c r="M55" s="171" t="s">
        <v>844</v>
      </c>
      <c r="N55" s="263" t="str">
        <f>VLOOKUP(D55,'[6]Bao cao So GDDT'!$D$14:$S$282,11,FALSE)</f>
        <v>Giảng viên GDNN LT (hạng III)</v>
      </c>
      <c r="O55" s="390" t="s">
        <v>1438</v>
      </c>
      <c r="P55" s="172" t="s">
        <v>692</v>
      </c>
      <c r="Q55" s="173">
        <v>9</v>
      </c>
      <c r="R55" s="174">
        <v>4.9800000000000004</v>
      </c>
      <c r="S55" s="176">
        <f t="shared" si="22"/>
        <v>3.2298999999999998</v>
      </c>
      <c r="T55" s="370">
        <v>16</v>
      </c>
      <c r="U55" s="176">
        <f t="shared" si="23"/>
        <v>0.79679999999999995</v>
      </c>
      <c r="V55" s="175">
        <f t="shared" si="24"/>
        <v>1434240</v>
      </c>
      <c r="W55" s="170">
        <v>0.35</v>
      </c>
      <c r="X55" s="179">
        <v>0.34</v>
      </c>
      <c r="Y55" s="216">
        <f t="shared" si="25"/>
        <v>2.0831</v>
      </c>
      <c r="Z55" s="216">
        <f t="shared" si="26"/>
        <v>8.2098999999999993</v>
      </c>
      <c r="AA55" s="180">
        <f t="shared" si="27"/>
        <v>14777820</v>
      </c>
      <c r="AB55" s="180"/>
      <c r="AC55" s="180">
        <f t="shared" si="28"/>
        <v>0</v>
      </c>
      <c r="AD55" s="180">
        <f t="shared" si="21"/>
        <v>0</v>
      </c>
      <c r="AE55" s="180">
        <f t="shared" si="29"/>
        <v>14777820</v>
      </c>
      <c r="AF55" s="178">
        <f t="shared" si="30"/>
        <v>1182225.6000000001</v>
      </c>
      <c r="AG55" s="178">
        <f t="shared" si="31"/>
        <v>221667.3</v>
      </c>
      <c r="AH55" s="178">
        <f t="shared" si="32"/>
        <v>147778.20000000001</v>
      </c>
      <c r="AI55" s="178"/>
      <c r="AJ55" s="178">
        <f t="shared" si="33"/>
        <v>1551671.1</v>
      </c>
      <c r="AK55" s="192"/>
      <c r="AL55" s="182">
        <f t="shared" si="34"/>
        <v>0</v>
      </c>
      <c r="AM55" s="182"/>
      <c r="AN55" s="182"/>
      <c r="AO55" s="183">
        <f t="shared" si="20"/>
        <v>6.1268000000000002</v>
      </c>
      <c r="AP55" s="443">
        <v>0.25</v>
      </c>
      <c r="AQ55" s="185">
        <f t="shared" si="35"/>
        <v>1.5317000000000001</v>
      </c>
      <c r="AR55" s="178">
        <f t="shared" si="36"/>
        <v>2757060</v>
      </c>
      <c r="AS55" s="178"/>
      <c r="AT55" s="178">
        <f t="shared" si="37"/>
        <v>15983209</v>
      </c>
      <c r="AU55" s="469">
        <f t="shared" si="38"/>
        <v>42</v>
      </c>
      <c r="AV55" s="195"/>
      <c r="AW55" s="198" t="s">
        <v>285</v>
      </c>
    </row>
    <row r="56" spans="1:51" s="189" customFormat="1" ht="34.5" customHeight="1" x14ac:dyDescent="0.25">
      <c r="A56" s="168">
        <f>_xlfn.AGGREGATE(4,7,A$13:A55)+1</f>
        <v>43</v>
      </c>
      <c r="B56" s="168" t="str">
        <f>VLOOKUP(D56,[1]LuongBC_T01!$B$9:$C$292,2,FALSE)</f>
        <v>0016100006617004</v>
      </c>
      <c r="C56" s="361" t="s">
        <v>853</v>
      </c>
      <c r="D56" s="169" t="s">
        <v>1154</v>
      </c>
      <c r="E56" s="263" t="s">
        <v>1396</v>
      </c>
      <c r="F56" s="169" t="s">
        <v>550</v>
      </c>
      <c r="G56" s="170"/>
      <c r="H56" s="170" t="s">
        <v>283</v>
      </c>
      <c r="I56" s="170" t="s">
        <v>282</v>
      </c>
      <c r="J56" s="169" t="s">
        <v>193</v>
      </c>
      <c r="K56" s="170" t="str">
        <f>VLOOKUP(D56,[2]T3!$B$2:$D$328,3,FALSE)</f>
        <v>023230246</v>
      </c>
      <c r="L56" s="171" t="s">
        <v>77</v>
      </c>
      <c r="M56" s="171" t="s">
        <v>853</v>
      </c>
      <c r="N56" s="263" t="str">
        <f>VLOOKUP(D56,'[6]Bao cao So GDDT'!$D$14:$S$282,11,FALSE)</f>
        <v>Giảng viên GDNN LT (hạng III)</v>
      </c>
      <c r="O56" s="390" t="s">
        <v>1438</v>
      </c>
      <c r="P56" s="172" t="s">
        <v>692</v>
      </c>
      <c r="Q56" s="173">
        <v>9</v>
      </c>
      <c r="R56" s="174">
        <v>4.9800000000000004</v>
      </c>
      <c r="S56" s="176">
        <f t="shared" si="22"/>
        <v>2.1804999999999999</v>
      </c>
      <c r="T56" s="370">
        <v>8</v>
      </c>
      <c r="U56" s="176">
        <f t="shared" si="23"/>
        <v>0.39839999999999998</v>
      </c>
      <c r="V56" s="175">
        <f t="shared" si="24"/>
        <v>717120</v>
      </c>
      <c r="W56" s="170">
        <v>0.35</v>
      </c>
      <c r="X56" s="179">
        <v>0.25</v>
      </c>
      <c r="Y56" s="216">
        <f t="shared" si="25"/>
        <v>1.4320999999999999</v>
      </c>
      <c r="Z56" s="216">
        <f t="shared" si="26"/>
        <v>7.1604999999999999</v>
      </c>
      <c r="AA56" s="180">
        <f t="shared" si="27"/>
        <v>12888900</v>
      </c>
      <c r="AB56" s="180"/>
      <c r="AC56" s="180">
        <f t="shared" si="28"/>
        <v>0</v>
      </c>
      <c r="AD56" s="180">
        <f t="shared" si="21"/>
        <v>0</v>
      </c>
      <c r="AE56" s="180">
        <f t="shared" si="29"/>
        <v>12888900</v>
      </c>
      <c r="AF56" s="178">
        <f t="shared" si="30"/>
        <v>1031112</v>
      </c>
      <c r="AG56" s="178">
        <f t="shared" si="31"/>
        <v>193333.5</v>
      </c>
      <c r="AH56" s="178">
        <f t="shared" si="32"/>
        <v>128889</v>
      </c>
      <c r="AI56" s="178"/>
      <c r="AJ56" s="178">
        <f t="shared" si="33"/>
        <v>1353334.5</v>
      </c>
      <c r="AK56" s="192"/>
      <c r="AL56" s="182">
        <f t="shared" si="34"/>
        <v>0</v>
      </c>
      <c r="AM56" s="182"/>
      <c r="AN56" s="182"/>
      <c r="AO56" s="183">
        <f t="shared" si="20"/>
        <v>5.7283999999999997</v>
      </c>
      <c r="AP56" s="443">
        <v>0.25</v>
      </c>
      <c r="AQ56" s="185">
        <f t="shared" si="35"/>
        <v>1.4320999999999999</v>
      </c>
      <c r="AR56" s="178">
        <f t="shared" si="36"/>
        <v>2577780</v>
      </c>
      <c r="AS56" s="178"/>
      <c r="AT56" s="178">
        <f t="shared" si="37"/>
        <v>14113346</v>
      </c>
      <c r="AU56" s="469">
        <f t="shared" si="38"/>
        <v>43</v>
      </c>
      <c r="AV56" s="195"/>
      <c r="AW56" s="198" t="s">
        <v>704</v>
      </c>
    </row>
    <row r="57" spans="1:51" s="189" customFormat="1" ht="29.25" customHeight="1" x14ac:dyDescent="0.25">
      <c r="A57" s="168">
        <f>_xlfn.AGGREGATE(4,7,A$13:A56)+1</f>
        <v>44</v>
      </c>
      <c r="B57" s="168" t="str">
        <f>VLOOKUP(D57,[1]LuongBC_T01!$B$9:$C$292,2,FALSE)</f>
        <v>0016100006530006</v>
      </c>
      <c r="C57" s="361" t="s">
        <v>866</v>
      </c>
      <c r="D57" s="169" t="s">
        <v>1167</v>
      </c>
      <c r="E57" s="263" t="s">
        <v>1376</v>
      </c>
      <c r="F57" s="169" t="s">
        <v>549</v>
      </c>
      <c r="G57" s="170"/>
      <c r="H57" s="170" t="s">
        <v>283</v>
      </c>
      <c r="I57" s="170" t="s">
        <v>281</v>
      </c>
      <c r="J57" s="169" t="s">
        <v>188</v>
      </c>
      <c r="K57" s="168" t="s">
        <v>1344</v>
      </c>
      <c r="L57" s="171" t="s">
        <v>74</v>
      </c>
      <c r="M57" s="171" t="s">
        <v>866</v>
      </c>
      <c r="N57" s="263" t="str">
        <f>VLOOKUP(D57,'[6]Bao cao So GDDT'!$D$14:$S$282,11,FALSE)</f>
        <v>Giảng viên GDNN LT (hạng III)</v>
      </c>
      <c r="O57" s="390" t="s">
        <v>1438</v>
      </c>
      <c r="P57" s="172" t="s">
        <v>692</v>
      </c>
      <c r="Q57" s="173">
        <v>8</v>
      </c>
      <c r="R57" s="174">
        <v>4.9800000000000004</v>
      </c>
      <c r="S57" s="176">
        <f t="shared" si="22"/>
        <v>1.5128999999999999</v>
      </c>
      <c r="T57" s="370">
        <v>6</v>
      </c>
      <c r="U57" s="176">
        <f t="shared" si="23"/>
        <v>0.29880000000000001</v>
      </c>
      <c r="V57" s="175">
        <f t="shared" si="24"/>
        <v>537840.00000000012</v>
      </c>
      <c r="W57" s="170"/>
      <c r="X57" s="179">
        <v>0.23</v>
      </c>
      <c r="Y57" s="216">
        <f t="shared" si="25"/>
        <v>1.2141</v>
      </c>
      <c r="Z57" s="216">
        <f t="shared" si="26"/>
        <v>6.4928999999999997</v>
      </c>
      <c r="AA57" s="180">
        <f t="shared" si="27"/>
        <v>11687220</v>
      </c>
      <c r="AB57" s="180"/>
      <c r="AC57" s="180">
        <f t="shared" si="28"/>
        <v>0</v>
      </c>
      <c r="AD57" s="180">
        <f t="shared" si="21"/>
        <v>0</v>
      </c>
      <c r="AE57" s="180">
        <f t="shared" si="29"/>
        <v>11687220</v>
      </c>
      <c r="AF57" s="178">
        <f t="shared" si="30"/>
        <v>934977.6</v>
      </c>
      <c r="AG57" s="178">
        <f t="shared" si="31"/>
        <v>175308.3</v>
      </c>
      <c r="AH57" s="178">
        <f t="shared" si="32"/>
        <v>116872.2</v>
      </c>
      <c r="AI57" s="178"/>
      <c r="AJ57" s="178">
        <f t="shared" si="33"/>
        <v>1227158.0999999999</v>
      </c>
      <c r="AK57" s="181"/>
      <c r="AL57" s="182">
        <f t="shared" si="34"/>
        <v>0</v>
      </c>
      <c r="AM57" s="182"/>
      <c r="AN57" s="182"/>
      <c r="AO57" s="183">
        <f t="shared" si="20"/>
        <v>5.2788000000000004</v>
      </c>
      <c r="AP57" s="443">
        <v>0.25</v>
      </c>
      <c r="AQ57" s="185">
        <f t="shared" si="35"/>
        <v>1.3197000000000001</v>
      </c>
      <c r="AR57" s="178">
        <f t="shared" si="36"/>
        <v>2375460</v>
      </c>
      <c r="AS57" s="178"/>
      <c r="AT57" s="178">
        <f t="shared" si="37"/>
        <v>12835522</v>
      </c>
      <c r="AU57" s="469">
        <f t="shared" si="38"/>
        <v>44</v>
      </c>
      <c r="AV57" s="186"/>
      <c r="AW57" s="218" t="s">
        <v>704</v>
      </c>
      <c r="AY57" s="670">
        <f>44*200000</f>
        <v>8800000</v>
      </c>
    </row>
    <row r="58" spans="1:51" s="189" customFormat="1" ht="30" customHeight="1" x14ac:dyDescent="0.25">
      <c r="A58" s="168">
        <f>_xlfn.AGGREGATE(4,7,A$13:A57)+1</f>
        <v>45</v>
      </c>
      <c r="B58" s="168" t="s">
        <v>1263</v>
      </c>
      <c r="C58" s="361" t="s">
        <v>870</v>
      </c>
      <c r="D58" s="169" t="s">
        <v>1159</v>
      </c>
      <c r="E58" s="263" t="s">
        <v>1392</v>
      </c>
      <c r="F58" s="169" t="s">
        <v>549</v>
      </c>
      <c r="G58" s="170"/>
      <c r="H58" s="170" t="s">
        <v>283</v>
      </c>
      <c r="I58" s="170" t="s">
        <v>283</v>
      </c>
      <c r="J58" s="169" t="s">
        <v>209</v>
      </c>
      <c r="K58" s="170" t="str">
        <f>VLOOKUP(D58,[2]T3!$B$2:$D$328,3,FALSE)</f>
        <v>022209365</v>
      </c>
      <c r="L58" s="171" t="s">
        <v>76</v>
      </c>
      <c r="M58" s="171" t="s">
        <v>870</v>
      </c>
      <c r="N58" s="263" t="str">
        <f>VLOOKUP(D58,'[6]Bao cao So GDDT'!$D$14:$S$282,11,FALSE)</f>
        <v>Giảng viên GDNN LT (hạng III)</v>
      </c>
      <c r="O58" s="390" t="s">
        <v>1438</v>
      </c>
      <c r="P58" s="172" t="s">
        <v>692</v>
      </c>
      <c r="Q58" s="173">
        <v>8</v>
      </c>
      <c r="R58" s="174">
        <v>4.9800000000000004</v>
      </c>
      <c r="S58" s="176">
        <f t="shared" si="22"/>
        <v>1.5656999999999999</v>
      </c>
      <c r="T58" s="370">
        <v>6</v>
      </c>
      <c r="U58" s="176">
        <f t="shared" si="23"/>
        <v>0.29880000000000001</v>
      </c>
      <c r="V58" s="175">
        <f t="shared" si="24"/>
        <v>537840.00000000012</v>
      </c>
      <c r="W58" s="170"/>
      <c r="X58" s="179">
        <v>0.24</v>
      </c>
      <c r="Y58" s="216">
        <f t="shared" si="25"/>
        <v>1.2668999999999999</v>
      </c>
      <c r="Z58" s="216">
        <f t="shared" si="26"/>
        <v>6.5457000000000001</v>
      </c>
      <c r="AA58" s="180">
        <f t="shared" si="27"/>
        <v>11782260</v>
      </c>
      <c r="AB58" s="180"/>
      <c r="AC58" s="180">
        <f t="shared" si="28"/>
        <v>0</v>
      </c>
      <c r="AD58" s="180">
        <f t="shared" si="21"/>
        <v>0</v>
      </c>
      <c r="AE58" s="180">
        <f t="shared" si="29"/>
        <v>11782260</v>
      </c>
      <c r="AF58" s="178">
        <f t="shared" si="30"/>
        <v>942580.8</v>
      </c>
      <c r="AG58" s="178">
        <f t="shared" si="31"/>
        <v>176733.9</v>
      </c>
      <c r="AH58" s="178">
        <f t="shared" si="32"/>
        <v>117822.6</v>
      </c>
      <c r="AI58" s="178"/>
      <c r="AJ58" s="178">
        <f t="shared" si="33"/>
        <v>1237137.3</v>
      </c>
      <c r="AK58" s="192"/>
      <c r="AL58" s="182">
        <f t="shared" si="34"/>
        <v>0</v>
      </c>
      <c r="AM58" s="182"/>
      <c r="AN58" s="182"/>
      <c r="AO58" s="183">
        <f t="shared" si="20"/>
        <v>5.2788000000000004</v>
      </c>
      <c r="AP58" s="443">
        <v>0.25</v>
      </c>
      <c r="AQ58" s="185">
        <f t="shared" si="35"/>
        <v>1.3197000000000001</v>
      </c>
      <c r="AR58" s="178">
        <f t="shared" si="36"/>
        <v>2375460</v>
      </c>
      <c r="AS58" s="178"/>
      <c r="AT58" s="178">
        <f t="shared" si="37"/>
        <v>12920583</v>
      </c>
      <c r="AU58" s="469">
        <f t="shared" si="38"/>
        <v>45</v>
      </c>
      <c r="AV58" s="186"/>
      <c r="AW58" s="187" t="s">
        <v>704</v>
      </c>
    </row>
    <row r="59" spans="1:51" s="189" customFormat="1" ht="30" customHeight="1" x14ac:dyDescent="0.25">
      <c r="A59" s="168">
        <f>_xlfn.AGGREGATE(4,7,A$13:A58)+1</f>
        <v>46</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263" t="str">
        <f>VLOOKUP(D59,'[6]Bao cao So GDDT'!$D$14:$S$282,11,FALSE)</f>
        <v>Giảng viên GDNN LT (hạng III)</v>
      </c>
      <c r="O59" s="390" t="s">
        <v>1438</v>
      </c>
      <c r="P59" s="172" t="s">
        <v>692</v>
      </c>
      <c r="Q59" s="173">
        <v>6</v>
      </c>
      <c r="R59" s="174">
        <v>4.6500000000000004</v>
      </c>
      <c r="S59" s="176">
        <f t="shared" si="22"/>
        <v>0.97650000000000003</v>
      </c>
      <c r="T59" s="370"/>
      <c r="U59" s="176">
        <f t="shared" si="23"/>
        <v>0</v>
      </c>
      <c r="V59" s="175">
        <f t="shared" si="24"/>
        <v>0</v>
      </c>
      <c r="W59" s="170"/>
      <c r="X59" s="179">
        <v>0.21</v>
      </c>
      <c r="Y59" s="216">
        <f t="shared" si="25"/>
        <v>0.97650000000000003</v>
      </c>
      <c r="Z59" s="216">
        <f t="shared" si="26"/>
        <v>5.6265000000000001</v>
      </c>
      <c r="AA59" s="180">
        <f t="shared" si="27"/>
        <v>10127700</v>
      </c>
      <c r="AB59" s="180"/>
      <c r="AC59" s="180">
        <f t="shared" si="28"/>
        <v>0</v>
      </c>
      <c r="AD59" s="180">
        <f t="shared" si="21"/>
        <v>0</v>
      </c>
      <c r="AE59" s="180">
        <f t="shared" si="29"/>
        <v>10127700</v>
      </c>
      <c r="AF59" s="178">
        <f t="shared" si="30"/>
        <v>810216</v>
      </c>
      <c r="AG59" s="178">
        <f t="shared" si="31"/>
        <v>151915.5</v>
      </c>
      <c r="AH59" s="178">
        <f t="shared" si="32"/>
        <v>101277</v>
      </c>
      <c r="AI59" s="178"/>
      <c r="AJ59" s="178">
        <f t="shared" si="33"/>
        <v>1063408.5</v>
      </c>
      <c r="AK59" s="192"/>
      <c r="AL59" s="182">
        <f t="shared" si="34"/>
        <v>0</v>
      </c>
      <c r="AM59" s="182"/>
      <c r="AN59" s="182"/>
      <c r="AO59" s="183">
        <f t="shared" si="20"/>
        <v>4.6500000000000004</v>
      </c>
      <c r="AP59" s="443">
        <v>0.25</v>
      </c>
      <c r="AQ59" s="185">
        <f t="shared" si="35"/>
        <v>1.1625000000000001</v>
      </c>
      <c r="AR59" s="178">
        <f t="shared" si="36"/>
        <v>2092500</v>
      </c>
      <c r="AS59" s="178"/>
      <c r="AT59" s="178">
        <f t="shared" si="37"/>
        <v>11156792</v>
      </c>
      <c r="AU59" s="469">
        <f t="shared" si="38"/>
        <v>46</v>
      </c>
      <c r="AV59" s="195"/>
      <c r="AW59" s="219" t="s">
        <v>704</v>
      </c>
    </row>
    <row r="60" spans="1:51" s="189" customFormat="1" ht="30" customHeight="1" x14ac:dyDescent="0.25">
      <c r="A60" s="168">
        <f>_xlfn.AGGREGATE(4,7,A$13:A59)+1</f>
        <v>47</v>
      </c>
      <c r="B60" s="168" t="str">
        <f>VLOOKUP(D60,[1]LuongBC_T01!$B$9:$C$292,2,FALSE)</f>
        <v>0016100006596007</v>
      </c>
      <c r="C60" s="361" t="s">
        <v>897</v>
      </c>
      <c r="D60" s="169" t="s">
        <v>1192</v>
      </c>
      <c r="E60" s="263" t="s">
        <v>1392</v>
      </c>
      <c r="F60" s="169" t="s">
        <v>549</v>
      </c>
      <c r="G60" s="170"/>
      <c r="H60" s="170" t="s">
        <v>283</v>
      </c>
      <c r="I60" s="170" t="s">
        <v>283</v>
      </c>
      <c r="J60" s="169" t="s">
        <v>234</v>
      </c>
      <c r="K60" s="170" t="str">
        <f>VLOOKUP(D60,[2]T3!$B$2:$D$328,3,FALSE)</f>
        <v>021710558</v>
      </c>
      <c r="L60" s="171" t="s">
        <v>110</v>
      </c>
      <c r="M60" s="171" t="s">
        <v>897</v>
      </c>
      <c r="N60" s="263" t="str">
        <f>VLOOKUP(D60,'[6]Bao cao So GDDT'!$D$14:$S$282,11,FALSE)</f>
        <v>Giảng viên GDNN LT (hạng III)</v>
      </c>
      <c r="O60" s="390" t="s">
        <v>1438</v>
      </c>
      <c r="P60" s="172" t="s">
        <v>692</v>
      </c>
      <c r="Q60" s="173">
        <v>5</v>
      </c>
      <c r="R60" s="174">
        <v>4.32</v>
      </c>
      <c r="S60" s="176">
        <f t="shared" si="22"/>
        <v>0.82079999999999997</v>
      </c>
      <c r="T60" s="370"/>
      <c r="U60" s="176">
        <f t="shared" si="23"/>
        <v>0</v>
      </c>
      <c r="V60" s="175">
        <f t="shared" si="24"/>
        <v>0</v>
      </c>
      <c r="W60" s="170"/>
      <c r="X60" s="179">
        <v>0.19</v>
      </c>
      <c r="Y60" s="216">
        <f t="shared" si="25"/>
        <v>0.82079999999999997</v>
      </c>
      <c r="Z60" s="216">
        <f t="shared" si="26"/>
        <v>5.1407999999999996</v>
      </c>
      <c r="AA60" s="180">
        <f t="shared" si="27"/>
        <v>9253440</v>
      </c>
      <c r="AB60" s="180"/>
      <c r="AC60" s="180">
        <f t="shared" si="28"/>
        <v>0</v>
      </c>
      <c r="AD60" s="180">
        <f t="shared" si="21"/>
        <v>0</v>
      </c>
      <c r="AE60" s="180">
        <f t="shared" si="29"/>
        <v>9253440</v>
      </c>
      <c r="AF60" s="178">
        <f t="shared" si="30"/>
        <v>740275.20000000007</v>
      </c>
      <c r="AG60" s="178">
        <f t="shared" si="31"/>
        <v>138801.60000000001</v>
      </c>
      <c r="AH60" s="178">
        <f t="shared" si="32"/>
        <v>92534.400000000009</v>
      </c>
      <c r="AI60" s="178"/>
      <c r="AJ60" s="178">
        <f t="shared" si="33"/>
        <v>971611.20000000007</v>
      </c>
      <c r="AK60" s="192"/>
      <c r="AL60" s="182">
        <f t="shared" si="34"/>
        <v>0</v>
      </c>
      <c r="AM60" s="182"/>
      <c r="AN60" s="182"/>
      <c r="AO60" s="183">
        <f t="shared" ref="AO60:AO75" si="39">R60+U60+W60</f>
        <v>4.32</v>
      </c>
      <c r="AP60" s="443">
        <v>0.25</v>
      </c>
      <c r="AQ60" s="185">
        <f t="shared" si="35"/>
        <v>1.08</v>
      </c>
      <c r="AR60" s="178">
        <f t="shared" si="36"/>
        <v>1944000</v>
      </c>
      <c r="AS60" s="178"/>
      <c r="AT60" s="178">
        <f t="shared" si="37"/>
        <v>10225829</v>
      </c>
      <c r="AU60" s="469">
        <f t="shared" si="38"/>
        <v>47</v>
      </c>
      <c r="AV60" s="195"/>
      <c r="AW60" s="198" t="s">
        <v>704</v>
      </c>
    </row>
    <row r="61" spans="1:51" s="189" customFormat="1" ht="30" customHeight="1" x14ac:dyDescent="0.25">
      <c r="A61" s="168">
        <f>_xlfn.AGGREGATE(4,7,A$13:A60)+1</f>
        <v>48</v>
      </c>
      <c r="B61" s="168" t="str">
        <f>VLOOKUP(D61,[1]LuongBC_T01!$B$9:$C$292,2,FALSE)</f>
        <v>0016100006595008</v>
      </c>
      <c r="C61" s="361" t="s">
        <v>888</v>
      </c>
      <c r="D61" s="169" t="s">
        <v>740</v>
      </c>
      <c r="E61" s="263" t="s">
        <v>1392</v>
      </c>
      <c r="F61" s="169" t="s">
        <v>549</v>
      </c>
      <c r="G61" s="170"/>
      <c r="H61" s="170" t="s">
        <v>283</v>
      </c>
      <c r="I61" s="170" t="s">
        <v>283</v>
      </c>
      <c r="J61" s="169" t="s">
        <v>228</v>
      </c>
      <c r="K61" s="170" t="str">
        <f>VLOOKUP(D61,[2]T3!$B$2:$D$328,3,FALSE)</f>
        <v>023172993</v>
      </c>
      <c r="L61" s="171" t="s">
        <v>105</v>
      </c>
      <c r="M61" s="171" t="s">
        <v>888</v>
      </c>
      <c r="N61" s="263" t="str">
        <f>VLOOKUP(D61,'[6]Bao cao So GDDT'!$D$14:$S$282,11,FALSE)</f>
        <v>Giảng viên GDNN LT (hạng III)</v>
      </c>
      <c r="O61" s="390" t="s">
        <v>1438</v>
      </c>
      <c r="P61" s="172" t="s">
        <v>692</v>
      </c>
      <c r="Q61" s="173">
        <v>5</v>
      </c>
      <c r="R61" s="174">
        <v>4.32</v>
      </c>
      <c r="S61" s="176">
        <f t="shared" si="22"/>
        <v>0.86399999999999999</v>
      </c>
      <c r="T61" s="370"/>
      <c r="U61" s="176">
        <f t="shared" si="23"/>
        <v>0</v>
      </c>
      <c r="V61" s="175">
        <f t="shared" si="24"/>
        <v>0</v>
      </c>
      <c r="W61" s="170"/>
      <c r="X61" s="179">
        <v>0.2</v>
      </c>
      <c r="Y61" s="216">
        <f t="shared" si="25"/>
        <v>0.86399999999999999</v>
      </c>
      <c r="Z61" s="216">
        <f t="shared" si="26"/>
        <v>5.1840000000000002</v>
      </c>
      <c r="AA61" s="180">
        <f t="shared" si="27"/>
        <v>9331200</v>
      </c>
      <c r="AB61" s="180"/>
      <c r="AC61" s="180">
        <f t="shared" si="28"/>
        <v>0</v>
      </c>
      <c r="AD61" s="180">
        <f t="shared" si="21"/>
        <v>0</v>
      </c>
      <c r="AE61" s="180">
        <f t="shared" si="29"/>
        <v>9331200</v>
      </c>
      <c r="AF61" s="178">
        <f t="shared" si="30"/>
        <v>746496</v>
      </c>
      <c r="AG61" s="178">
        <f t="shared" si="31"/>
        <v>139968</v>
      </c>
      <c r="AH61" s="178">
        <f t="shared" si="32"/>
        <v>93312</v>
      </c>
      <c r="AI61" s="178"/>
      <c r="AJ61" s="178">
        <f t="shared" si="33"/>
        <v>979776</v>
      </c>
      <c r="AK61" s="192"/>
      <c r="AL61" s="182">
        <f t="shared" si="34"/>
        <v>0</v>
      </c>
      <c r="AM61" s="182"/>
      <c r="AN61" s="182"/>
      <c r="AO61" s="183">
        <f t="shared" si="39"/>
        <v>4.32</v>
      </c>
      <c r="AP61" s="443">
        <v>0.25</v>
      </c>
      <c r="AQ61" s="185">
        <f t="shared" si="35"/>
        <v>1.08</v>
      </c>
      <c r="AR61" s="178">
        <f t="shared" si="36"/>
        <v>1944000</v>
      </c>
      <c r="AS61" s="178"/>
      <c r="AT61" s="178">
        <f t="shared" si="37"/>
        <v>10295424</v>
      </c>
      <c r="AU61" s="469">
        <f t="shared" si="38"/>
        <v>48</v>
      </c>
      <c r="AV61" s="186"/>
      <c r="AW61" s="198" t="s">
        <v>704</v>
      </c>
    </row>
    <row r="62" spans="1:51" s="189" customFormat="1" ht="30" customHeight="1" x14ac:dyDescent="0.25">
      <c r="A62" s="168">
        <f>_xlfn.AGGREGATE(4,7,A$13:A61)+1</f>
        <v>49</v>
      </c>
      <c r="B62" s="168" t="str">
        <f>VLOOKUP(D62,[1]LuongBC_T01!$B$9:$C$292,2,FALSE)</f>
        <v>0016100006529008</v>
      </c>
      <c r="C62" s="361" t="s">
        <v>896</v>
      </c>
      <c r="D62" s="169" t="s">
        <v>1193</v>
      </c>
      <c r="E62" s="263" t="s">
        <v>1392</v>
      </c>
      <c r="F62" s="169" t="s">
        <v>549</v>
      </c>
      <c r="G62" s="170"/>
      <c r="H62" s="170" t="s">
        <v>283</v>
      </c>
      <c r="I62" s="170" t="s">
        <v>283</v>
      </c>
      <c r="J62" s="169" t="s">
        <v>236</v>
      </c>
      <c r="K62" s="170" t="str">
        <f>VLOOKUP(D62,[2]T3!$B$2:$D$328,3,FALSE)</f>
        <v>023205612</v>
      </c>
      <c r="L62" s="171" t="s">
        <v>111</v>
      </c>
      <c r="M62" s="171" t="s">
        <v>896</v>
      </c>
      <c r="N62" s="263" t="str">
        <f>VLOOKUP(D62,'[6]Bao cao So GDDT'!$D$14:$S$282,11,FALSE)</f>
        <v>Giảng viên GDNN LT (hạng III)</v>
      </c>
      <c r="O62" s="390" t="s">
        <v>1438</v>
      </c>
      <c r="P62" s="172" t="s">
        <v>692</v>
      </c>
      <c r="Q62" s="173">
        <v>5</v>
      </c>
      <c r="R62" s="174">
        <v>4.32</v>
      </c>
      <c r="S62" s="176">
        <f t="shared" si="22"/>
        <v>0.82079999999999997</v>
      </c>
      <c r="T62" s="370"/>
      <c r="U62" s="176">
        <f t="shared" si="23"/>
        <v>0</v>
      </c>
      <c r="V62" s="175">
        <f t="shared" si="24"/>
        <v>0</v>
      </c>
      <c r="W62" s="170"/>
      <c r="X62" s="179">
        <v>0.19</v>
      </c>
      <c r="Y62" s="216">
        <f t="shared" si="25"/>
        <v>0.82079999999999997</v>
      </c>
      <c r="Z62" s="216">
        <f t="shared" si="26"/>
        <v>5.1407999999999996</v>
      </c>
      <c r="AA62" s="180">
        <f t="shared" si="27"/>
        <v>9253440</v>
      </c>
      <c r="AB62" s="180"/>
      <c r="AC62" s="180">
        <f t="shared" si="28"/>
        <v>0</v>
      </c>
      <c r="AD62" s="180">
        <f t="shared" si="21"/>
        <v>0</v>
      </c>
      <c r="AE62" s="180">
        <f t="shared" si="29"/>
        <v>9253440</v>
      </c>
      <c r="AF62" s="178">
        <f t="shared" si="30"/>
        <v>740275.20000000007</v>
      </c>
      <c r="AG62" s="178">
        <f t="shared" si="31"/>
        <v>138801.60000000001</v>
      </c>
      <c r="AH62" s="178">
        <f t="shared" si="32"/>
        <v>92534.400000000009</v>
      </c>
      <c r="AI62" s="178"/>
      <c r="AJ62" s="178">
        <f t="shared" si="33"/>
        <v>971611.20000000007</v>
      </c>
      <c r="AK62" s="192"/>
      <c r="AL62" s="182">
        <f t="shared" si="34"/>
        <v>0</v>
      </c>
      <c r="AM62" s="182"/>
      <c r="AN62" s="182"/>
      <c r="AO62" s="183">
        <f t="shared" si="39"/>
        <v>4.32</v>
      </c>
      <c r="AP62" s="443">
        <v>0.25</v>
      </c>
      <c r="AQ62" s="185">
        <f t="shared" si="35"/>
        <v>1.08</v>
      </c>
      <c r="AR62" s="178">
        <f t="shared" si="36"/>
        <v>1944000</v>
      </c>
      <c r="AS62" s="178"/>
      <c r="AT62" s="178">
        <f t="shared" si="37"/>
        <v>10225829</v>
      </c>
      <c r="AU62" s="469">
        <f t="shared" si="38"/>
        <v>49</v>
      </c>
      <c r="AV62" s="186"/>
      <c r="AW62" s="198" t="s">
        <v>704</v>
      </c>
    </row>
    <row r="63" spans="1:51" s="189" customFormat="1" ht="30" customHeight="1" x14ac:dyDescent="0.25">
      <c r="A63" s="168">
        <f>_xlfn.AGGREGATE(4,7,A$13:A62)+1</f>
        <v>50</v>
      </c>
      <c r="B63" s="168" t="str">
        <f>VLOOKUP(D63,[1]LuongBC_T01!$B$9:$C$292,2,FALSE)</f>
        <v>0016100006593008</v>
      </c>
      <c r="C63" s="361" t="s">
        <v>877</v>
      </c>
      <c r="D63" s="169" t="s">
        <v>1176</v>
      </c>
      <c r="E63" s="263" t="s">
        <v>1392</v>
      </c>
      <c r="F63" s="169" t="s">
        <v>550</v>
      </c>
      <c r="G63" s="170"/>
      <c r="H63" s="170" t="s">
        <v>283</v>
      </c>
      <c r="I63" s="170" t="s">
        <v>283</v>
      </c>
      <c r="J63" s="169" t="s">
        <v>218</v>
      </c>
      <c r="K63" s="170" t="str">
        <f>VLOOKUP(D63,[2]T3!$B$2:$D$328,3,FALSE)</f>
        <v>024951998</v>
      </c>
      <c r="L63" s="171" t="s">
        <v>146</v>
      </c>
      <c r="M63" s="171" t="s">
        <v>877</v>
      </c>
      <c r="N63" s="263" t="str">
        <f>VLOOKUP(D63,'[6]Bao cao So GDDT'!$D$14:$S$282,11,FALSE)</f>
        <v>Giảng viên GDNN LT (hạng III)</v>
      </c>
      <c r="O63" s="390" t="s">
        <v>1438</v>
      </c>
      <c r="P63" s="172" t="s">
        <v>692</v>
      </c>
      <c r="Q63" s="173">
        <v>6</v>
      </c>
      <c r="R63" s="174">
        <v>4.6500000000000004</v>
      </c>
      <c r="S63" s="176">
        <f t="shared" si="22"/>
        <v>0.97650000000000003</v>
      </c>
      <c r="T63" s="370"/>
      <c r="U63" s="176">
        <f t="shared" si="23"/>
        <v>0</v>
      </c>
      <c r="V63" s="175">
        <f t="shared" si="24"/>
        <v>0</v>
      </c>
      <c r="W63" s="170"/>
      <c r="X63" s="179">
        <v>0.21</v>
      </c>
      <c r="Y63" s="216">
        <f t="shared" si="25"/>
        <v>0.97650000000000003</v>
      </c>
      <c r="Z63" s="216">
        <f t="shared" si="26"/>
        <v>5.6265000000000001</v>
      </c>
      <c r="AA63" s="180">
        <f t="shared" si="27"/>
        <v>10127700</v>
      </c>
      <c r="AB63" s="180"/>
      <c r="AC63" s="180">
        <f t="shared" si="28"/>
        <v>0</v>
      </c>
      <c r="AD63" s="180">
        <f t="shared" si="21"/>
        <v>0</v>
      </c>
      <c r="AE63" s="180">
        <f t="shared" si="29"/>
        <v>10127700</v>
      </c>
      <c r="AF63" s="178">
        <f t="shared" si="30"/>
        <v>810216</v>
      </c>
      <c r="AG63" s="178">
        <f t="shared" si="31"/>
        <v>151915.5</v>
      </c>
      <c r="AH63" s="178">
        <f t="shared" si="32"/>
        <v>101277</v>
      </c>
      <c r="AI63" s="178"/>
      <c r="AJ63" s="178">
        <f t="shared" si="33"/>
        <v>1063408.5</v>
      </c>
      <c r="AK63" s="192"/>
      <c r="AL63" s="182">
        <f t="shared" si="34"/>
        <v>0</v>
      </c>
      <c r="AM63" s="182"/>
      <c r="AN63" s="182"/>
      <c r="AO63" s="183">
        <f t="shared" si="39"/>
        <v>4.6500000000000004</v>
      </c>
      <c r="AP63" s="443">
        <v>0.25</v>
      </c>
      <c r="AQ63" s="185">
        <f t="shared" si="35"/>
        <v>1.1625000000000001</v>
      </c>
      <c r="AR63" s="178">
        <f t="shared" si="36"/>
        <v>2092500</v>
      </c>
      <c r="AS63" s="178"/>
      <c r="AT63" s="178">
        <f t="shared" si="37"/>
        <v>11156792</v>
      </c>
      <c r="AU63" s="469">
        <f t="shared" si="38"/>
        <v>50</v>
      </c>
      <c r="AV63" s="186"/>
      <c r="AW63" s="186" t="s">
        <v>704</v>
      </c>
    </row>
    <row r="64" spans="1:51" s="189" customFormat="1" ht="31.5" customHeight="1" x14ac:dyDescent="0.25">
      <c r="A64" s="726">
        <f>_xlfn.AGGREGATE(4,7,A$13:A63)+1</f>
        <v>51</v>
      </c>
      <c r="B64" s="726" t="str">
        <f>VLOOKUP(D64,[1]LuongBC_T01!$B$9:$C$292,2,FALSE)</f>
        <v>0016100006644001</v>
      </c>
      <c r="C64" s="727" t="s">
        <v>860</v>
      </c>
      <c r="D64" s="728" t="s">
        <v>1163</v>
      </c>
      <c r="E64" s="729" t="s">
        <v>1392</v>
      </c>
      <c r="F64" s="728" t="s">
        <v>549</v>
      </c>
      <c r="G64" s="730"/>
      <c r="H64" s="730" t="s">
        <v>283</v>
      </c>
      <c r="I64" s="730" t="s">
        <v>283</v>
      </c>
      <c r="J64" s="728" t="s">
        <v>224</v>
      </c>
      <c r="K64" s="730" t="str">
        <f>VLOOKUP(D64,[2]T3!$B$2:$D$328,3,FALSE)</f>
        <v>022228240</v>
      </c>
      <c r="L64" s="731" t="s">
        <v>89</v>
      </c>
      <c r="M64" s="731" t="s">
        <v>860</v>
      </c>
      <c r="N64" s="729" t="str">
        <f>VLOOKUP(D64,'[6]Bao cao So GDDT'!$D$14:$S$282,11,FALSE)</f>
        <v>Giảng viên GDNN LT (hạng III)</v>
      </c>
      <c r="O64" s="732" t="s">
        <v>1438</v>
      </c>
      <c r="P64" s="733" t="s">
        <v>692</v>
      </c>
      <c r="Q64" s="734">
        <v>9</v>
      </c>
      <c r="R64" s="735">
        <v>4.9800000000000004</v>
      </c>
      <c r="S64" s="736">
        <f t="shared" si="22"/>
        <v>2.3824000000000001</v>
      </c>
      <c r="T64" s="737">
        <v>12</v>
      </c>
      <c r="U64" s="736">
        <f t="shared" si="23"/>
        <v>0.59760000000000002</v>
      </c>
      <c r="V64" s="738">
        <f t="shared" si="24"/>
        <v>1075680.0000000002</v>
      </c>
      <c r="W64" s="730"/>
      <c r="X64" s="739">
        <v>0.32</v>
      </c>
      <c r="Y64" s="740">
        <f t="shared" si="25"/>
        <v>1.7847999999999999</v>
      </c>
      <c r="Z64" s="740">
        <f t="shared" si="26"/>
        <v>7.3624000000000001</v>
      </c>
      <c r="AA64" s="741">
        <f t="shared" si="27"/>
        <v>13252320</v>
      </c>
      <c r="AB64" s="741"/>
      <c r="AC64" s="741">
        <f t="shared" si="28"/>
        <v>0</v>
      </c>
      <c r="AD64" s="741">
        <f t="shared" si="21"/>
        <v>0</v>
      </c>
      <c r="AE64" s="741">
        <f t="shared" si="29"/>
        <v>13252320</v>
      </c>
      <c r="AF64" s="742">
        <f t="shared" si="30"/>
        <v>1060185.6000000001</v>
      </c>
      <c r="AG64" s="742">
        <f t="shared" si="31"/>
        <v>198784.8</v>
      </c>
      <c r="AH64" s="742">
        <f t="shared" si="32"/>
        <v>132523.20000000001</v>
      </c>
      <c r="AI64" s="742"/>
      <c r="AJ64" s="742">
        <f t="shared" si="33"/>
        <v>1391493.6</v>
      </c>
      <c r="AK64" s="743"/>
      <c r="AL64" s="744">
        <f t="shared" si="34"/>
        <v>0</v>
      </c>
      <c r="AM64" s="744"/>
      <c r="AN64" s="744"/>
      <c r="AO64" s="745">
        <f t="shared" si="39"/>
        <v>5.5776000000000003</v>
      </c>
      <c r="AP64" s="746">
        <v>0.25</v>
      </c>
      <c r="AQ64" s="747">
        <f t="shared" si="35"/>
        <v>1.3944000000000001</v>
      </c>
      <c r="AR64" s="742">
        <f t="shared" si="36"/>
        <v>2509920</v>
      </c>
      <c r="AS64" s="742"/>
      <c r="AT64" s="742">
        <f t="shared" si="37"/>
        <v>14370746</v>
      </c>
      <c r="AU64" s="748">
        <f t="shared" si="38"/>
        <v>51</v>
      </c>
      <c r="AV64" s="749"/>
      <c r="AW64" s="198" t="s">
        <v>704</v>
      </c>
    </row>
    <row r="65" spans="1:59" s="191" customFormat="1" ht="28.5" customHeight="1" x14ac:dyDescent="0.25">
      <c r="A65" s="168">
        <f>_xlfn.AGGREGATE(4,7,A$13:A64)+1</f>
        <v>52</v>
      </c>
      <c r="B65" s="168" t="str">
        <f>VLOOKUP(D65,[1]LuongBC_T01!$B$9:$C$292,2,FALSE)</f>
        <v>0016100006531002</v>
      </c>
      <c r="C65" s="361" t="s">
        <v>864</v>
      </c>
      <c r="D65" s="169" t="s">
        <v>1165</v>
      </c>
      <c r="E65" s="263" t="s">
        <v>1376</v>
      </c>
      <c r="F65" s="169" t="s">
        <v>549</v>
      </c>
      <c r="G65" s="170"/>
      <c r="H65" s="170" t="s">
        <v>283</v>
      </c>
      <c r="I65" s="170" t="s">
        <v>282</v>
      </c>
      <c r="J65" s="169" t="s">
        <v>194</v>
      </c>
      <c r="K65" s="168" t="s">
        <v>1345</v>
      </c>
      <c r="L65" s="171" t="s">
        <v>78</v>
      </c>
      <c r="M65" s="171" t="s">
        <v>864</v>
      </c>
      <c r="N65" s="263" t="str">
        <f>VLOOKUP(D65,'[6]Bao cao So GDDT'!$D$14:$S$282,11,FALSE)</f>
        <v>Giảng viên GDNN LT (hạng III)</v>
      </c>
      <c r="O65" s="390" t="s">
        <v>1438</v>
      </c>
      <c r="P65" s="172" t="s">
        <v>692</v>
      </c>
      <c r="Q65" s="173">
        <v>9</v>
      </c>
      <c r="R65" s="174">
        <v>4.9800000000000004</v>
      </c>
      <c r="S65" s="176">
        <f t="shared" si="22"/>
        <v>1.7429999999999999</v>
      </c>
      <c r="T65" s="370">
        <v>8</v>
      </c>
      <c r="U65" s="176">
        <f t="shared" si="23"/>
        <v>0.39839999999999998</v>
      </c>
      <c r="V65" s="175">
        <f t="shared" si="24"/>
        <v>717120</v>
      </c>
      <c r="W65" s="170"/>
      <c r="X65" s="179">
        <v>0.25</v>
      </c>
      <c r="Y65" s="216">
        <f t="shared" si="25"/>
        <v>1.3446</v>
      </c>
      <c r="Z65" s="216">
        <f t="shared" si="26"/>
        <v>6.7229999999999999</v>
      </c>
      <c r="AA65" s="180">
        <f t="shared" si="27"/>
        <v>12101400</v>
      </c>
      <c r="AB65" s="180"/>
      <c r="AC65" s="180">
        <f t="shared" si="28"/>
        <v>0</v>
      </c>
      <c r="AD65" s="180">
        <f t="shared" si="21"/>
        <v>0</v>
      </c>
      <c r="AE65" s="180">
        <f t="shared" si="29"/>
        <v>12101400</v>
      </c>
      <c r="AF65" s="178">
        <f t="shared" si="30"/>
        <v>968112</v>
      </c>
      <c r="AG65" s="178">
        <f t="shared" si="31"/>
        <v>181521</v>
      </c>
      <c r="AH65" s="178">
        <f t="shared" si="32"/>
        <v>121014</v>
      </c>
      <c r="AI65" s="178"/>
      <c r="AJ65" s="178">
        <f t="shared" si="33"/>
        <v>1270647</v>
      </c>
      <c r="AK65" s="192"/>
      <c r="AL65" s="182">
        <f t="shared" si="34"/>
        <v>0</v>
      </c>
      <c r="AM65" s="182"/>
      <c r="AN65" s="182"/>
      <c r="AO65" s="183">
        <f t="shared" si="39"/>
        <v>5.3784000000000001</v>
      </c>
      <c r="AP65" s="443">
        <v>0.25</v>
      </c>
      <c r="AQ65" s="185">
        <f t="shared" si="35"/>
        <v>1.3446</v>
      </c>
      <c r="AR65" s="178">
        <f t="shared" si="36"/>
        <v>2420280</v>
      </c>
      <c r="AS65" s="178"/>
      <c r="AT65" s="178">
        <f t="shared" si="37"/>
        <v>13251033</v>
      </c>
      <c r="AU65" s="469">
        <f t="shared" si="38"/>
        <v>52</v>
      </c>
      <c r="AV65" s="195"/>
      <c r="AW65" s="187" t="s">
        <v>704</v>
      </c>
    </row>
    <row r="66" spans="1:59" s="189" customFormat="1" ht="33" customHeight="1" x14ac:dyDescent="0.25">
      <c r="A66" s="168">
        <f>_xlfn.AGGREGATE(4,7,A$13:A65)+1</f>
        <v>53</v>
      </c>
      <c r="B66" s="168" t="str">
        <f>VLOOKUP(D66,[1]LuongBC_T01!$B$9:$C$292,2,FALSE)</f>
        <v>0016100006582006</v>
      </c>
      <c r="C66" s="361" t="s">
        <v>887</v>
      </c>
      <c r="D66" s="169" t="s">
        <v>1184</v>
      </c>
      <c r="E66" s="263" t="s">
        <v>1376</v>
      </c>
      <c r="F66" s="169" t="s">
        <v>549</v>
      </c>
      <c r="G66" s="170" t="s">
        <v>25</v>
      </c>
      <c r="H66" s="170" t="s">
        <v>283</v>
      </c>
      <c r="I66" s="170" t="s">
        <v>283</v>
      </c>
      <c r="J66" s="169" t="s">
        <v>222</v>
      </c>
      <c r="K66" s="170" t="str">
        <f>VLOOKUP(D66,[2]T3!$B$2:$D$328,3,FALSE)</f>
        <v>023273100</v>
      </c>
      <c r="L66" s="171" t="s">
        <v>102</v>
      </c>
      <c r="M66" s="171" t="s">
        <v>887</v>
      </c>
      <c r="N66" s="263" t="str">
        <f>VLOOKUP(D66,'[6]Bao cao So GDDT'!$D$14:$S$282,11,FALSE)</f>
        <v>Giảng viên GDNN LT (hạng III)</v>
      </c>
      <c r="O66" s="390" t="s">
        <v>1438</v>
      </c>
      <c r="P66" s="172" t="s">
        <v>692</v>
      </c>
      <c r="Q66" s="173">
        <v>5</v>
      </c>
      <c r="R66" s="174">
        <v>4.32</v>
      </c>
      <c r="S66" s="176">
        <f t="shared" si="22"/>
        <v>0.86399999999999999</v>
      </c>
      <c r="T66" s="370"/>
      <c r="U66" s="176">
        <f t="shared" si="23"/>
        <v>0</v>
      </c>
      <c r="V66" s="175">
        <f t="shared" si="24"/>
        <v>0</v>
      </c>
      <c r="W66" s="170"/>
      <c r="X66" s="179">
        <v>0.2</v>
      </c>
      <c r="Y66" s="216">
        <f t="shared" si="25"/>
        <v>0.86399999999999999</v>
      </c>
      <c r="Z66" s="216">
        <f t="shared" si="26"/>
        <v>5.1840000000000002</v>
      </c>
      <c r="AA66" s="180">
        <f t="shared" si="27"/>
        <v>9331200</v>
      </c>
      <c r="AB66" s="180"/>
      <c r="AC66" s="180">
        <f t="shared" si="28"/>
        <v>0</v>
      </c>
      <c r="AD66" s="180">
        <f t="shared" si="21"/>
        <v>0</v>
      </c>
      <c r="AE66" s="180">
        <f t="shared" si="29"/>
        <v>9331200</v>
      </c>
      <c r="AF66" s="178">
        <f t="shared" si="30"/>
        <v>746496</v>
      </c>
      <c r="AG66" s="178">
        <f t="shared" si="31"/>
        <v>139968</v>
      </c>
      <c r="AH66" s="178">
        <f t="shared" si="32"/>
        <v>93312</v>
      </c>
      <c r="AI66" s="178"/>
      <c r="AJ66" s="178">
        <f t="shared" si="33"/>
        <v>979776</v>
      </c>
      <c r="AK66" s="192"/>
      <c r="AL66" s="182">
        <f t="shared" si="34"/>
        <v>0</v>
      </c>
      <c r="AM66" s="182"/>
      <c r="AN66" s="182"/>
      <c r="AO66" s="183">
        <f t="shared" si="39"/>
        <v>4.32</v>
      </c>
      <c r="AP66" s="443">
        <v>0.25</v>
      </c>
      <c r="AQ66" s="185">
        <f t="shared" si="35"/>
        <v>1.08</v>
      </c>
      <c r="AR66" s="178">
        <f t="shared" si="36"/>
        <v>1944000</v>
      </c>
      <c r="AS66" s="178"/>
      <c r="AT66" s="178">
        <f t="shared" si="37"/>
        <v>10295424</v>
      </c>
      <c r="AU66" s="469">
        <f t="shared" si="38"/>
        <v>53</v>
      </c>
      <c r="AV66" s="186"/>
      <c r="AW66" s="198" t="s">
        <v>704</v>
      </c>
    </row>
    <row r="67" spans="1:59" s="189" customFormat="1" ht="30" customHeight="1" x14ac:dyDescent="0.25">
      <c r="A67" s="168">
        <f>_xlfn.AGGREGATE(4,7,A$13:A66)+1</f>
        <v>54</v>
      </c>
      <c r="B67" s="168" t="str">
        <f>VLOOKUP(D67,[1]LuongBC_T01!$B$9:$C$292,2,FALSE)</f>
        <v>0016100006583002</v>
      </c>
      <c r="C67" s="361" t="s">
        <v>878</v>
      </c>
      <c r="D67" s="169" t="s">
        <v>42</v>
      </c>
      <c r="E67" s="263" t="s">
        <v>1392</v>
      </c>
      <c r="F67" s="169" t="s">
        <v>549</v>
      </c>
      <c r="G67" s="170" t="s">
        <v>25</v>
      </c>
      <c r="H67" s="170" t="s">
        <v>283</v>
      </c>
      <c r="I67" s="170" t="s">
        <v>283</v>
      </c>
      <c r="J67" s="169" t="s">
        <v>223</v>
      </c>
      <c r="K67" s="170" t="str">
        <f>VLOOKUP(D67,[2]T3!$B$2:$D$328,3,FALSE)</f>
        <v>023179583</v>
      </c>
      <c r="L67" s="171" t="s">
        <v>103</v>
      </c>
      <c r="M67" s="171" t="s">
        <v>878</v>
      </c>
      <c r="N67" s="263" t="str">
        <f>VLOOKUP(D67,'[6]Bao cao So GDDT'!$D$14:$S$282,11,FALSE)</f>
        <v>Giảng viên GDNN LT (hạng III)</v>
      </c>
      <c r="O67" s="390" t="s">
        <v>1438</v>
      </c>
      <c r="P67" s="172" t="s">
        <v>692</v>
      </c>
      <c r="Q67" s="173">
        <v>5</v>
      </c>
      <c r="R67" s="174">
        <v>4.32</v>
      </c>
      <c r="S67" s="176">
        <f t="shared" si="22"/>
        <v>0.86399999999999999</v>
      </c>
      <c r="T67" s="370"/>
      <c r="U67" s="176">
        <f t="shared" si="23"/>
        <v>0</v>
      </c>
      <c r="V67" s="175">
        <f t="shared" si="24"/>
        <v>0</v>
      </c>
      <c r="W67" s="170"/>
      <c r="X67" s="179">
        <v>0.2</v>
      </c>
      <c r="Y67" s="216">
        <f t="shared" si="25"/>
        <v>0.86399999999999999</v>
      </c>
      <c r="Z67" s="216">
        <f t="shared" si="26"/>
        <v>5.1840000000000002</v>
      </c>
      <c r="AA67" s="180">
        <f t="shared" si="27"/>
        <v>9331200</v>
      </c>
      <c r="AB67" s="180"/>
      <c r="AC67" s="180">
        <f t="shared" si="28"/>
        <v>0</v>
      </c>
      <c r="AD67" s="180">
        <f t="shared" si="21"/>
        <v>0</v>
      </c>
      <c r="AE67" s="180">
        <f t="shared" si="29"/>
        <v>9331200</v>
      </c>
      <c r="AF67" s="178">
        <f t="shared" si="30"/>
        <v>746496</v>
      </c>
      <c r="AG67" s="178">
        <f t="shared" si="31"/>
        <v>139968</v>
      </c>
      <c r="AH67" s="178">
        <f t="shared" si="32"/>
        <v>93312</v>
      </c>
      <c r="AI67" s="178"/>
      <c r="AJ67" s="178">
        <f t="shared" si="33"/>
        <v>979776</v>
      </c>
      <c r="AK67" s="192"/>
      <c r="AL67" s="182">
        <f t="shared" si="34"/>
        <v>0</v>
      </c>
      <c r="AM67" s="182"/>
      <c r="AN67" s="182"/>
      <c r="AO67" s="183">
        <f t="shared" si="39"/>
        <v>4.32</v>
      </c>
      <c r="AP67" s="443">
        <v>0.25</v>
      </c>
      <c r="AQ67" s="185">
        <f t="shared" si="35"/>
        <v>1.08</v>
      </c>
      <c r="AR67" s="178">
        <f t="shared" si="36"/>
        <v>1944000</v>
      </c>
      <c r="AS67" s="178"/>
      <c r="AT67" s="178">
        <f t="shared" si="37"/>
        <v>10295424</v>
      </c>
      <c r="AU67" s="469">
        <f t="shared" si="38"/>
        <v>54</v>
      </c>
      <c r="AV67" s="186"/>
      <c r="AW67" s="187" t="s">
        <v>704</v>
      </c>
    </row>
    <row r="68" spans="1:59" s="191" customFormat="1" ht="30.75" customHeight="1" x14ac:dyDescent="0.25">
      <c r="A68" s="168">
        <f>_xlfn.AGGREGATE(4,7,A$13:A67)+1</f>
        <v>55</v>
      </c>
      <c r="B68" s="168" t="str">
        <f>VLOOKUP(D68,[1]LuongBC_T01!$B$9:$C$292,2,FALSE)</f>
        <v>0016100006642009</v>
      </c>
      <c r="C68" s="361" t="s">
        <v>889</v>
      </c>
      <c r="D68" s="169" t="s">
        <v>1185</v>
      </c>
      <c r="E68" s="263" t="s">
        <v>1376</v>
      </c>
      <c r="F68" s="169" t="s">
        <v>549</v>
      </c>
      <c r="G68" s="170" t="s">
        <v>25</v>
      </c>
      <c r="H68" s="170" t="s">
        <v>283</v>
      </c>
      <c r="I68" s="170" t="s">
        <v>283</v>
      </c>
      <c r="J68" s="169" t="s">
        <v>227</v>
      </c>
      <c r="K68" s="170" t="str">
        <f>VLOOKUP(D68,[2]T3!$B$2:$D$328,3,FALSE)</f>
        <v>023070412</v>
      </c>
      <c r="L68" s="171" t="s">
        <v>104</v>
      </c>
      <c r="M68" s="171" t="s">
        <v>889</v>
      </c>
      <c r="N68" s="263" t="str">
        <f>VLOOKUP(D68,'[6]Bao cao So GDDT'!$D$14:$S$282,11,FALSE)</f>
        <v>Giảng viên GDNN LT (hạng III)</v>
      </c>
      <c r="O68" s="390" t="s">
        <v>1438</v>
      </c>
      <c r="P68" s="172" t="s">
        <v>692</v>
      </c>
      <c r="Q68" s="173">
        <v>6</v>
      </c>
      <c r="R68" s="174">
        <v>4.6500000000000004</v>
      </c>
      <c r="S68" s="176">
        <f t="shared" si="22"/>
        <v>0.88349999999999995</v>
      </c>
      <c r="T68" s="370"/>
      <c r="U68" s="176">
        <f t="shared" si="23"/>
        <v>0</v>
      </c>
      <c r="V68" s="175">
        <f t="shared" si="24"/>
        <v>0</v>
      </c>
      <c r="W68" s="200"/>
      <c r="X68" s="179">
        <v>0.19</v>
      </c>
      <c r="Y68" s="216">
        <f t="shared" si="25"/>
        <v>0.88349999999999995</v>
      </c>
      <c r="Z68" s="216">
        <f t="shared" si="26"/>
        <v>5.5335000000000001</v>
      </c>
      <c r="AA68" s="180">
        <f t="shared" si="27"/>
        <v>9960300</v>
      </c>
      <c r="AB68" s="180"/>
      <c r="AC68" s="180">
        <f t="shared" si="28"/>
        <v>0</v>
      </c>
      <c r="AD68" s="180">
        <f t="shared" si="21"/>
        <v>0</v>
      </c>
      <c r="AE68" s="180">
        <f t="shared" si="29"/>
        <v>9960300</v>
      </c>
      <c r="AF68" s="178">
        <f t="shared" si="30"/>
        <v>796824</v>
      </c>
      <c r="AG68" s="178">
        <f t="shared" si="31"/>
        <v>149404.5</v>
      </c>
      <c r="AH68" s="178">
        <f t="shared" si="32"/>
        <v>99603</v>
      </c>
      <c r="AI68" s="178"/>
      <c r="AJ68" s="178">
        <f t="shared" si="33"/>
        <v>1045831.5</v>
      </c>
      <c r="AK68" s="181"/>
      <c r="AL68" s="182">
        <f t="shared" si="34"/>
        <v>0</v>
      </c>
      <c r="AM68" s="182"/>
      <c r="AN68" s="182"/>
      <c r="AO68" s="183">
        <f t="shared" si="39"/>
        <v>4.6500000000000004</v>
      </c>
      <c r="AP68" s="443">
        <v>0.25</v>
      </c>
      <c r="AQ68" s="185">
        <f t="shared" si="35"/>
        <v>1.1625000000000001</v>
      </c>
      <c r="AR68" s="178">
        <f t="shared" si="36"/>
        <v>2092500</v>
      </c>
      <c r="AS68" s="178"/>
      <c r="AT68" s="178">
        <f t="shared" si="37"/>
        <v>11006969</v>
      </c>
      <c r="AU68" s="469">
        <f t="shared" si="38"/>
        <v>55</v>
      </c>
      <c r="AV68" s="195"/>
      <c r="AW68" s="187" t="s">
        <v>704</v>
      </c>
    </row>
    <row r="69" spans="1:59" s="189" customFormat="1" ht="30" customHeight="1" x14ac:dyDescent="0.25">
      <c r="A69" s="168">
        <f>_xlfn.AGGREGATE(4,7,A$13:A68)+1</f>
        <v>56</v>
      </c>
      <c r="B69" s="168" t="str">
        <f>VLOOKUP(D69,[1]LuongBC_T01!$B$9:$C$292,2,FALSE)</f>
        <v>0016100006609001</v>
      </c>
      <c r="C69" s="361" t="s">
        <v>894</v>
      </c>
      <c r="D69" s="169" t="s">
        <v>1190</v>
      </c>
      <c r="E69" s="263" t="s">
        <v>1392</v>
      </c>
      <c r="F69" s="169" t="s">
        <v>549</v>
      </c>
      <c r="G69" s="170" t="s">
        <v>25</v>
      </c>
      <c r="H69" s="170" t="s">
        <v>283</v>
      </c>
      <c r="I69" s="170" t="s">
        <v>283</v>
      </c>
      <c r="J69" s="169" t="s">
        <v>231</v>
      </c>
      <c r="K69" s="170" t="str">
        <f>VLOOKUP(D69,[2]T3!$B$2:$D$328,3,FALSE)</f>
        <v>025602565</v>
      </c>
      <c r="L69" s="171" t="s">
        <v>107</v>
      </c>
      <c r="M69" s="171" t="s">
        <v>894</v>
      </c>
      <c r="N69" s="263" t="str">
        <f>VLOOKUP(D69,'[6]Bao cao So GDDT'!$D$14:$S$282,11,FALSE)</f>
        <v>Giảng viên GDNN LT (hạng III)</v>
      </c>
      <c r="O69" s="390" t="s">
        <v>1438</v>
      </c>
      <c r="P69" s="172" t="s">
        <v>692</v>
      </c>
      <c r="Q69" s="173">
        <v>5</v>
      </c>
      <c r="R69" s="174">
        <v>4.6500000000000004</v>
      </c>
      <c r="S69" s="176">
        <f t="shared" si="22"/>
        <v>0.88349999999999995</v>
      </c>
      <c r="T69" s="370"/>
      <c r="U69" s="176">
        <f t="shared" si="23"/>
        <v>0</v>
      </c>
      <c r="V69" s="175">
        <f t="shared" si="24"/>
        <v>0</v>
      </c>
      <c r="W69" s="170"/>
      <c r="X69" s="179">
        <v>0.19</v>
      </c>
      <c r="Y69" s="216">
        <f t="shared" si="25"/>
        <v>0.88349999999999995</v>
      </c>
      <c r="Z69" s="216">
        <f t="shared" si="26"/>
        <v>5.5335000000000001</v>
      </c>
      <c r="AA69" s="180">
        <f t="shared" si="27"/>
        <v>9960300</v>
      </c>
      <c r="AB69" s="180"/>
      <c r="AC69" s="180">
        <f t="shared" si="28"/>
        <v>0</v>
      </c>
      <c r="AD69" s="180">
        <f t="shared" si="21"/>
        <v>0</v>
      </c>
      <c r="AE69" s="180">
        <f t="shared" si="29"/>
        <v>9960300</v>
      </c>
      <c r="AF69" s="178">
        <f t="shared" si="30"/>
        <v>796824</v>
      </c>
      <c r="AG69" s="178">
        <f t="shared" si="31"/>
        <v>149404.5</v>
      </c>
      <c r="AH69" s="178">
        <f t="shared" si="32"/>
        <v>99603</v>
      </c>
      <c r="AI69" s="178"/>
      <c r="AJ69" s="178">
        <f t="shared" si="33"/>
        <v>1045831.5</v>
      </c>
      <c r="AK69" s="192"/>
      <c r="AL69" s="182">
        <f t="shared" si="34"/>
        <v>0</v>
      </c>
      <c r="AM69" s="182"/>
      <c r="AN69" s="182"/>
      <c r="AO69" s="183">
        <f t="shared" si="39"/>
        <v>4.6500000000000004</v>
      </c>
      <c r="AP69" s="443">
        <v>0.25</v>
      </c>
      <c r="AQ69" s="185">
        <f t="shared" si="35"/>
        <v>1.1625000000000001</v>
      </c>
      <c r="AR69" s="178">
        <f t="shared" si="36"/>
        <v>2092500</v>
      </c>
      <c r="AS69" s="178"/>
      <c r="AT69" s="178">
        <f t="shared" si="37"/>
        <v>11006969</v>
      </c>
      <c r="AU69" s="469">
        <f t="shared" si="38"/>
        <v>56</v>
      </c>
      <c r="AV69" s="186"/>
      <c r="AW69" s="198" t="s">
        <v>704</v>
      </c>
    </row>
    <row r="70" spans="1:59" s="189" customFormat="1" ht="30" customHeight="1" x14ac:dyDescent="0.25">
      <c r="A70" s="168">
        <f>_xlfn.AGGREGATE(4,7,A$13:A69)+1</f>
        <v>57</v>
      </c>
      <c r="B70" s="168" t="str">
        <f>VLOOKUP(D70,[1]LuongBC_T01!$B$9:$C$292,2,FALSE)</f>
        <v>0016100006503009</v>
      </c>
      <c r="C70" s="361" t="s">
        <v>893</v>
      </c>
      <c r="D70" s="169" t="s">
        <v>1189</v>
      </c>
      <c r="E70" s="263" t="s">
        <v>1392</v>
      </c>
      <c r="F70" s="169" t="s">
        <v>549</v>
      </c>
      <c r="G70" s="170"/>
      <c r="H70" s="170" t="s">
        <v>283</v>
      </c>
      <c r="I70" s="170" t="s">
        <v>282</v>
      </c>
      <c r="J70" s="169" t="s">
        <v>203</v>
      </c>
      <c r="K70" s="170" t="str">
        <f>VLOOKUP(D70,[2]T3!$B$2:$D$328,3,FALSE)</f>
        <v>022765460</v>
      </c>
      <c r="L70" s="171" t="s">
        <v>87</v>
      </c>
      <c r="M70" s="171" t="s">
        <v>893</v>
      </c>
      <c r="N70" s="263" t="str">
        <f>VLOOKUP(D70,'[6]Bao cao So GDDT'!$D$14:$S$282,11,FALSE)</f>
        <v>Giảng viên GDNN LT (hạng III)</v>
      </c>
      <c r="O70" s="390" t="s">
        <v>1438</v>
      </c>
      <c r="P70" s="172" t="s">
        <v>692</v>
      </c>
      <c r="Q70" s="173">
        <v>5</v>
      </c>
      <c r="R70" s="174">
        <v>4.6500000000000004</v>
      </c>
      <c r="S70" s="176">
        <f t="shared" ref="S70:S75" si="40">U70+W70+Y70</f>
        <v>0.88349999999999995</v>
      </c>
      <c r="T70" s="370"/>
      <c r="U70" s="176">
        <f t="shared" ref="U70:U75" si="41">ROUND(R70*T70/100,4)</f>
        <v>0</v>
      </c>
      <c r="V70" s="175">
        <f t="shared" ref="V70:V75" si="42">R70*T70*$D$8/100</f>
        <v>0</v>
      </c>
      <c r="W70" s="170"/>
      <c r="X70" s="179">
        <v>0.19</v>
      </c>
      <c r="Y70" s="216">
        <f t="shared" ref="Y70:Y75" si="43">ROUND((R70+U70+W70)*X70,4)</f>
        <v>0.88349999999999995</v>
      </c>
      <c r="Z70" s="216">
        <f t="shared" ref="Z70:Z75" si="44">ROUND(R70+U70+W70+Y70,4)</f>
        <v>5.5335000000000001</v>
      </c>
      <c r="AA70" s="180">
        <f t="shared" ref="AA70:AA75" si="45">ROUND(Z70*$D$8,0)</f>
        <v>9960300</v>
      </c>
      <c r="AB70" s="180"/>
      <c r="AC70" s="180">
        <f t="shared" ref="AC70:AC75" si="46">AA70/24*AB70</f>
        <v>0</v>
      </c>
      <c r="AD70" s="180">
        <f t="shared" si="21"/>
        <v>0</v>
      </c>
      <c r="AE70" s="180">
        <f t="shared" ref="AE70:AE75" si="47">ROUND(AA70-AC70+AD70,0)</f>
        <v>9960300</v>
      </c>
      <c r="AF70" s="178">
        <f t="shared" ref="AF70:AF75" si="48">AA70*8%</f>
        <v>796824</v>
      </c>
      <c r="AG70" s="178">
        <f t="shared" ref="AG70:AG75" si="49">AA70*1.5%</f>
        <v>149404.5</v>
      </c>
      <c r="AH70" s="178">
        <f t="shared" ref="AH70:AH75" si="50">AA70*1%</f>
        <v>99603</v>
      </c>
      <c r="AI70" s="178"/>
      <c r="AJ70" s="178">
        <f t="shared" ref="AJ70:AJ75" si="51">SUM(AF70:AI70)</f>
        <v>1045831.5</v>
      </c>
      <c r="AK70" s="192"/>
      <c r="AL70" s="182">
        <f t="shared" ref="AL70:AL75" si="52">AK70*$D$8</f>
        <v>0</v>
      </c>
      <c r="AM70" s="182"/>
      <c r="AN70" s="182"/>
      <c r="AO70" s="183">
        <f t="shared" si="39"/>
        <v>4.6500000000000004</v>
      </c>
      <c r="AP70" s="443">
        <v>0.25</v>
      </c>
      <c r="AQ70" s="185">
        <f t="shared" ref="AQ70:AQ75" si="53">ROUND(AO70*AP70,4)</f>
        <v>1.1625000000000001</v>
      </c>
      <c r="AR70" s="178">
        <f t="shared" ref="AR70:AR75" si="54">ROUND(AQ70*$D$8,0)</f>
        <v>2092500</v>
      </c>
      <c r="AS70" s="178"/>
      <c r="AT70" s="178">
        <f t="shared" ref="AT70:AT75" si="55">ROUND(AE70-AJ70+AL70+AN70+AR70,0)</f>
        <v>11006969</v>
      </c>
      <c r="AU70" s="469">
        <f t="shared" ref="AU70:AU75" si="56">A70</f>
        <v>57</v>
      </c>
      <c r="AV70" s="186"/>
      <c r="AW70" s="187" t="s">
        <v>704</v>
      </c>
    </row>
    <row r="71" spans="1:59" s="189" customFormat="1" ht="30" customHeight="1" x14ac:dyDescent="0.25">
      <c r="A71" s="168">
        <f>_xlfn.AGGREGATE(4,7,A$13:A70)+1</f>
        <v>58</v>
      </c>
      <c r="B71" s="168" t="str">
        <f>VLOOKUP(D71,[1]LuongBC_T01!$B$9:$C$292,2,FALSE)</f>
        <v>0016100006641002</v>
      </c>
      <c r="C71" s="361" t="s">
        <v>895</v>
      </c>
      <c r="D71" s="169" t="s">
        <v>1191</v>
      </c>
      <c r="E71" s="263" t="s">
        <v>1392</v>
      </c>
      <c r="F71" s="169" t="s">
        <v>549</v>
      </c>
      <c r="G71" s="170" t="s">
        <v>25</v>
      </c>
      <c r="H71" s="170" t="s">
        <v>283</v>
      </c>
      <c r="I71" s="170" t="s">
        <v>283</v>
      </c>
      <c r="J71" s="169" t="s">
        <v>233</v>
      </c>
      <c r="K71" s="170" t="str">
        <f>VLOOKUP(D71,[2]T3!$B$2:$D$328,3,FALSE)</f>
        <v>024346476</v>
      </c>
      <c r="L71" s="171" t="s">
        <v>109</v>
      </c>
      <c r="M71" s="171" t="s">
        <v>895</v>
      </c>
      <c r="N71" s="263" t="str">
        <f>VLOOKUP(D71,'[6]Bao cao So GDDT'!$D$14:$S$282,11,FALSE)</f>
        <v>Giảng viên GDNN LT (hạng III)</v>
      </c>
      <c r="O71" s="390" t="s">
        <v>1438</v>
      </c>
      <c r="P71" s="172" t="s">
        <v>692</v>
      </c>
      <c r="Q71" s="173">
        <v>5</v>
      </c>
      <c r="R71" s="174">
        <v>4.6500000000000004</v>
      </c>
      <c r="S71" s="176">
        <f t="shared" si="40"/>
        <v>0.88349999999999995</v>
      </c>
      <c r="T71" s="370"/>
      <c r="U71" s="176">
        <f t="shared" si="41"/>
        <v>0</v>
      </c>
      <c r="V71" s="175">
        <f t="shared" si="42"/>
        <v>0</v>
      </c>
      <c r="W71" s="170"/>
      <c r="X71" s="179">
        <v>0.19</v>
      </c>
      <c r="Y71" s="216">
        <f t="shared" si="43"/>
        <v>0.88349999999999995</v>
      </c>
      <c r="Z71" s="216">
        <f t="shared" si="44"/>
        <v>5.5335000000000001</v>
      </c>
      <c r="AA71" s="180">
        <f t="shared" si="45"/>
        <v>9960300</v>
      </c>
      <c r="AB71" s="180"/>
      <c r="AC71" s="180">
        <f t="shared" si="46"/>
        <v>0</v>
      </c>
      <c r="AD71" s="180">
        <f t="shared" si="21"/>
        <v>0</v>
      </c>
      <c r="AE71" s="180">
        <f t="shared" si="47"/>
        <v>9960300</v>
      </c>
      <c r="AF71" s="178">
        <f t="shared" si="48"/>
        <v>796824</v>
      </c>
      <c r="AG71" s="178">
        <f t="shared" si="49"/>
        <v>149404.5</v>
      </c>
      <c r="AH71" s="178">
        <f t="shared" si="50"/>
        <v>99603</v>
      </c>
      <c r="AI71" s="178"/>
      <c r="AJ71" s="178">
        <f t="shared" si="51"/>
        <v>1045831.5</v>
      </c>
      <c r="AK71" s="192"/>
      <c r="AL71" s="182">
        <f t="shared" si="52"/>
        <v>0</v>
      </c>
      <c r="AM71" s="182"/>
      <c r="AN71" s="182"/>
      <c r="AO71" s="183">
        <f t="shared" si="39"/>
        <v>4.6500000000000004</v>
      </c>
      <c r="AP71" s="443">
        <v>0.25</v>
      </c>
      <c r="AQ71" s="185">
        <f t="shared" si="53"/>
        <v>1.1625000000000001</v>
      </c>
      <c r="AR71" s="178">
        <f t="shared" si="54"/>
        <v>2092500</v>
      </c>
      <c r="AS71" s="178"/>
      <c r="AT71" s="178">
        <f t="shared" si="55"/>
        <v>11006969</v>
      </c>
      <c r="AU71" s="469">
        <f t="shared" si="56"/>
        <v>58</v>
      </c>
      <c r="AV71" s="186"/>
      <c r="AW71" s="198" t="s">
        <v>704</v>
      </c>
    </row>
    <row r="72" spans="1:59" s="189" customFormat="1" ht="29.25" customHeight="1" x14ac:dyDescent="0.25">
      <c r="A72" s="726">
        <f>_xlfn.AGGREGATE(4,7,A$13:A71)+1</f>
        <v>59</v>
      </c>
      <c r="B72" s="726" t="str">
        <f>VLOOKUP(D72,[1]LuongBC_T01!$B$9:$C$292,2,FALSE)</f>
        <v>0016100006694009</v>
      </c>
      <c r="C72" s="727" t="s">
        <v>850</v>
      </c>
      <c r="D72" s="728" t="s">
        <v>1150</v>
      </c>
      <c r="E72" s="729" t="s">
        <v>1469</v>
      </c>
      <c r="F72" s="728" t="s">
        <v>549</v>
      </c>
      <c r="G72" s="730"/>
      <c r="H72" s="730" t="s">
        <v>283</v>
      </c>
      <c r="I72" s="730" t="s">
        <v>281</v>
      </c>
      <c r="J72" s="728" t="s">
        <v>192</v>
      </c>
      <c r="K72" s="730" t="str">
        <f>VLOOKUP(D72,[2]T3!$B$2:$D$328,3,FALSE)</f>
        <v>079079003245</v>
      </c>
      <c r="L72" s="731" t="s">
        <v>83</v>
      </c>
      <c r="M72" s="731" t="s">
        <v>850</v>
      </c>
      <c r="N72" s="729" t="str">
        <f>VLOOKUP(D72,'[6]Bao cao So GDDT'!$D$14:$S$282,11,FALSE)</f>
        <v>Giảng viên GDNN LT (hạng III)</v>
      </c>
      <c r="O72" s="732" t="s">
        <v>1438</v>
      </c>
      <c r="P72" s="733" t="s">
        <v>692</v>
      </c>
      <c r="Q72" s="734">
        <v>6</v>
      </c>
      <c r="R72" s="735">
        <v>4.9800000000000004</v>
      </c>
      <c r="S72" s="736">
        <f t="shared" si="40"/>
        <v>1.4159999999999999</v>
      </c>
      <c r="T72" s="737"/>
      <c r="U72" s="736">
        <f t="shared" si="41"/>
        <v>0</v>
      </c>
      <c r="V72" s="738">
        <f t="shared" si="42"/>
        <v>0</v>
      </c>
      <c r="W72" s="730">
        <v>0.35</v>
      </c>
      <c r="X72" s="739">
        <v>0.2</v>
      </c>
      <c r="Y72" s="740">
        <f t="shared" si="43"/>
        <v>1.0660000000000001</v>
      </c>
      <c r="Z72" s="740">
        <f t="shared" si="44"/>
        <v>6.3959999999999999</v>
      </c>
      <c r="AA72" s="741">
        <f t="shared" si="45"/>
        <v>11512800</v>
      </c>
      <c r="AB72" s="741"/>
      <c r="AC72" s="741">
        <f t="shared" si="46"/>
        <v>0</v>
      </c>
      <c r="AD72" s="741">
        <f t="shared" si="21"/>
        <v>0</v>
      </c>
      <c r="AE72" s="741">
        <f t="shared" si="47"/>
        <v>11512800</v>
      </c>
      <c r="AF72" s="742">
        <f t="shared" si="48"/>
        <v>921024</v>
      </c>
      <c r="AG72" s="742">
        <f t="shared" si="49"/>
        <v>172692</v>
      </c>
      <c r="AH72" s="742">
        <f t="shared" si="50"/>
        <v>115128</v>
      </c>
      <c r="AI72" s="742"/>
      <c r="AJ72" s="742">
        <f t="shared" si="51"/>
        <v>1208844</v>
      </c>
      <c r="AK72" s="743"/>
      <c r="AL72" s="744">
        <f t="shared" si="52"/>
        <v>0</v>
      </c>
      <c r="AM72" s="744"/>
      <c r="AN72" s="744"/>
      <c r="AO72" s="745">
        <f t="shared" si="39"/>
        <v>5.33</v>
      </c>
      <c r="AP72" s="746">
        <v>0.25</v>
      </c>
      <c r="AQ72" s="747">
        <f t="shared" si="53"/>
        <v>1.3325</v>
      </c>
      <c r="AR72" s="742">
        <f t="shared" si="54"/>
        <v>2398500</v>
      </c>
      <c r="AS72" s="742"/>
      <c r="AT72" s="742">
        <f t="shared" si="55"/>
        <v>12702456</v>
      </c>
      <c r="AU72" s="748">
        <f t="shared" si="56"/>
        <v>59</v>
      </c>
      <c r="AV72" s="759"/>
      <c r="AW72" s="187" t="s">
        <v>714</v>
      </c>
    </row>
    <row r="73" spans="1:59" s="189" customFormat="1" ht="27.75" customHeight="1" x14ac:dyDescent="0.25">
      <c r="A73" s="168">
        <f>_xlfn.AGGREGATE(4,7,A$13:A72)+1</f>
        <v>60</v>
      </c>
      <c r="B73" s="168" t="str">
        <f>VLOOKUP(D73,[1]LuongBC_T01!$B$9:$C$292,2,FALSE)</f>
        <v>0016100006532009</v>
      </c>
      <c r="C73" s="361" t="s">
        <v>884</v>
      </c>
      <c r="D73" s="169" t="s">
        <v>1180</v>
      </c>
      <c r="E73" s="263" t="s">
        <v>1381</v>
      </c>
      <c r="F73" s="169" t="s">
        <v>549</v>
      </c>
      <c r="G73" s="170"/>
      <c r="H73" s="170" t="s">
        <v>283</v>
      </c>
      <c r="I73" s="170" t="s">
        <v>281</v>
      </c>
      <c r="J73" s="169" t="s">
        <v>190</v>
      </c>
      <c r="K73" s="170" t="str">
        <f>VLOOKUP(D73,[2]T3!$B$2:$D$328,3,FALSE)</f>
        <v>022293675</v>
      </c>
      <c r="L73" s="171" t="s">
        <v>134</v>
      </c>
      <c r="M73" s="171" t="s">
        <v>884</v>
      </c>
      <c r="N73" s="263" t="str">
        <f>VLOOKUP(D73,'[6]Bao cao So GDDT'!$D$14:$S$282,11,FALSE)</f>
        <v>Giảng viên GDNN LT (hạng III)</v>
      </c>
      <c r="O73" s="390" t="s">
        <v>1438</v>
      </c>
      <c r="P73" s="172" t="s">
        <v>692</v>
      </c>
      <c r="Q73" s="173">
        <v>6</v>
      </c>
      <c r="R73" s="174">
        <v>4.6500000000000004</v>
      </c>
      <c r="S73" s="176">
        <f t="shared" si="40"/>
        <v>0.97650000000000003</v>
      </c>
      <c r="T73" s="370"/>
      <c r="U73" s="176">
        <f t="shared" si="41"/>
        <v>0</v>
      </c>
      <c r="V73" s="175">
        <f t="shared" si="42"/>
        <v>0</v>
      </c>
      <c r="W73" s="170"/>
      <c r="X73" s="179">
        <v>0.21</v>
      </c>
      <c r="Y73" s="216">
        <f t="shared" si="43"/>
        <v>0.97650000000000003</v>
      </c>
      <c r="Z73" s="216">
        <f t="shared" si="44"/>
        <v>5.6265000000000001</v>
      </c>
      <c r="AA73" s="180">
        <f t="shared" si="45"/>
        <v>10127700</v>
      </c>
      <c r="AB73" s="180"/>
      <c r="AC73" s="180">
        <f t="shared" si="46"/>
        <v>0</v>
      </c>
      <c r="AD73" s="180">
        <f t="shared" si="21"/>
        <v>0</v>
      </c>
      <c r="AE73" s="180">
        <f t="shared" si="47"/>
        <v>10127700</v>
      </c>
      <c r="AF73" s="178">
        <f t="shared" si="48"/>
        <v>810216</v>
      </c>
      <c r="AG73" s="178">
        <f t="shared" si="49"/>
        <v>151915.5</v>
      </c>
      <c r="AH73" s="178">
        <f t="shared" si="50"/>
        <v>101277</v>
      </c>
      <c r="AI73" s="178"/>
      <c r="AJ73" s="178">
        <f t="shared" si="51"/>
        <v>1063408.5</v>
      </c>
      <c r="AK73" s="192"/>
      <c r="AL73" s="182">
        <f t="shared" si="52"/>
        <v>0</v>
      </c>
      <c r="AM73" s="182"/>
      <c r="AN73" s="182"/>
      <c r="AO73" s="183">
        <f t="shared" si="39"/>
        <v>4.6500000000000004</v>
      </c>
      <c r="AP73" s="443">
        <v>0.25</v>
      </c>
      <c r="AQ73" s="185">
        <f t="shared" si="53"/>
        <v>1.1625000000000001</v>
      </c>
      <c r="AR73" s="178">
        <f t="shared" si="54"/>
        <v>2092500</v>
      </c>
      <c r="AS73" s="178"/>
      <c r="AT73" s="178">
        <f t="shared" si="55"/>
        <v>11156792</v>
      </c>
      <c r="AU73" s="469">
        <f t="shared" si="56"/>
        <v>60</v>
      </c>
      <c r="AV73" s="186"/>
      <c r="AW73" s="187" t="s">
        <v>703</v>
      </c>
    </row>
    <row r="74" spans="1:59" s="189" customFormat="1" ht="29.25" customHeight="1" x14ac:dyDescent="0.25">
      <c r="A74" s="168">
        <f>_xlfn.AGGREGATE(4,7,A$13:A73)+1</f>
        <v>61</v>
      </c>
      <c r="B74" s="168" t="str">
        <f>VLOOKUP(D74,[1]LuongBC_T01!$B$9:$C$292,2,FALSE)</f>
        <v>0016100006812001</v>
      </c>
      <c r="C74" s="361" t="s">
        <v>886</v>
      </c>
      <c r="D74" s="169" t="s">
        <v>1183</v>
      </c>
      <c r="E74" s="263" t="s">
        <v>1393</v>
      </c>
      <c r="F74" s="169" t="s">
        <v>549</v>
      </c>
      <c r="G74" s="170"/>
      <c r="H74" s="170" t="s">
        <v>283</v>
      </c>
      <c r="I74" s="170" t="s">
        <v>283</v>
      </c>
      <c r="J74" s="169" t="s">
        <v>219</v>
      </c>
      <c r="K74" s="170" t="str">
        <f>VLOOKUP(D74,[2]T3!$B$2:$D$328,3,FALSE)</f>
        <v>022843958</v>
      </c>
      <c r="L74" s="171" t="s">
        <v>99</v>
      </c>
      <c r="M74" s="171" t="s">
        <v>886</v>
      </c>
      <c r="N74" s="263" t="str">
        <f>VLOOKUP(D74,'[6]Bao cao So GDDT'!$D$14:$S$282,11,FALSE)</f>
        <v>Giảng viên GDNN LT (hạng III)</v>
      </c>
      <c r="O74" s="390" t="s">
        <v>1438</v>
      </c>
      <c r="P74" s="172" t="s">
        <v>692</v>
      </c>
      <c r="Q74" s="173">
        <v>6</v>
      </c>
      <c r="R74" s="174">
        <v>4.6500000000000004</v>
      </c>
      <c r="S74" s="176">
        <f t="shared" si="40"/>
        <v>0.93</v>
      </c>
      <c r="T74" s="370"/>
      <c r="U74" s="176">
        <f t="shared" si="41"/>
        <v>0</v>
      </c>
      <c r="V74" s="175">
        <f t="shared" si="42"/>
        <v>0</v>
      </c>
      <c r="W74" s="170"/>
      <c r="X74" s="179">
        <v>0.2</v>
      </c>
      <c r="Y74" s="216">
        <f t="shared" si="43"/>
        <v>0.93</v>
      </c>
      <c r="Z74" s="216">
        <f t="shared" si="44"/>
        <v>5.58</v>
      </c>
      <c r="AA74" s="180">
        <f t="shared" si="45"/>
        <v>10044000</v>
      </c>
      <c r="AB74" s="180"/>
      <c r="AC74" s="180">
        <f t="shared" si="46"/>
        <v>0</v>
      </c>
      <c r="AD74" s="180">
        <f t="shared" si="21"/>
        <v>0</v>
      </c>
      <c r="AE74" s="180">
        <f t="shared" si="47"/>
        <v>10044000</v>
      </c>
      <c r="AF74" s="178">
        <f t="shared" si="48"/>
        <v>803520</v>
      </c>
      <c r="AG74" s="178">
        <f t="shared" si="49"/>
        <v>150660</v>
      </c>
      <c r="AH74" s="178">
        <f t="shared" si="50"/>
        <v>100440</v>
      </c>
      <c r="AI74" s="178"/>
      <c r="AJ74" s="178">
        <f t="shared" si="51"/>
        <v>1054620</v>
      </c>
      <c r="AK74" s="192"/>
      <c r="AL74" s="182">
        <f t="shared" si="52"/>
        <v>0</v>
      </c>
      <c r="AM74" s="182"/>
      <c r="AN74" s="182"/>
      <c r="AO74" s="183">
        <f t="shared" si="39"/>
        <v>4.6500000000000004</v>
      </c>
      <c r="AP74" s="443">
        <v>0.25</v>
      </c>
      <c r="AQ74" s="185">
        <f t="shared" si="53"/>
        <v>1.1625000000000001</v>
      </c>
      <c r="AR74" s="178">
        <f t="shared" si="54"/>
        <v>2092500</v>
      </c>
      <c r="AS74" s="178"/>
      <c r="AT74" s="178">
        <f t="shared" si="55"/>
        <v>11081880</v>
      </c>
      <c r="AU74" s="469">
        <f t="shared" si="56"/>
        <v>61</v>
      </c>
      <c r="AV74" s="195"/>
      <c r="AW74" s="187" t="s">
        <v>703</v>
      </c>
    </row>
    <row r="75" spans="1:59" s="189" customFormat="1" ht="27.75" customHeight="1" x14ac:dyDescent="0.25">
      <c r="A75" s="168">
        <f>_xlfn.AGGREGATE(4,7,A$13:A74)+1</f>
        <v>62</v>
      </c>
      <c r="B75" s="168" t="str">
        <f>VLOOKUP(D75,[1]LuongBC_T01!$B$9:$C$292,2,FALSE)</f>
        <v>0016100006586001</v>
      </c>
      <c r="C75" s="361" t="s">
        <v>874</v>
      </c>
      <c r="D75" s="169" t="s">
        <v>682</v>
      </c>
      <c r="E75" s="263" t="s">
        <v>1381</v>
      </c>
      <c r="F75" s="169" t="s">
        <v>549</v>
      </c>
      <c r="G75" s="170"/>
      <c r="H75" s="170" t="s">
        <v>283</v>
      </c>
      <c r="I75" s="170" t="s">
        <v>283</v>
      </c>
      <c r="J75" s="169"/>
      <c r="K75" s="170" t="str">
        <f>VLOOKUP(D75,[2]T3!$B$2:$D$328,3,FALSE)</f>
        <v>079071003963</v>
      </c>
      <c r="L75" s="213" t="s">
        <v>684</v>
      </c>
      <c r="M75" s="213" t="s">
        <v>874</v>
      </c>
      <c r="N75" s="263" t="str">
        <f>VLOOKUP(D75,'[6]Bao cao So GDDT'!$D$14:$S$282,11,FALSE)</f>
        <v>Giảng viên GDNN LT (hạng III)</v>
      </c>
      <c r="O75" s="390" t="s">
        <v>1438</v>
      </c>
      <c r="P75" s="172" t="s">
        <v>692</v>
      </c>
      <c r="Q75" s="173">
        <v>7</v>
      </c>
      <c r="R75" s="174">
        <v>4.9800000000000004</v>
      </c>
      <c r="S75" s="176">
        <f t="shared" si="40"/>
        <v>1.0955999999999999</v>
      </c>
      <c r="T75" s="370"/>
      <c r="U75" s="176">
        <f t="shared" si="41"/>
        <v>0</v>
      </c>
      <c r="V75" s="175">
        <f t="shared" si="42"/>
        <v>0</v>
      </c>
      <c r="W75" s="170"/>
      <c r="X75" s="179">
        <v>0.22</v>
      </c>
      <c r="Y75" s="216">
        <f t="shared" si="43"/>
        <v>1.0955999999999999</v>
      </c>
      <c r="Z75" s="216">
        <f t="shared" si="44"/>
        <v>6.0755999999999997</v>
      </c>
      <c r="AA75" s="180">
        <f t="shared" si="45"/>
        <v>10936080</v>
      </c>
      <c r="AB75" s="180"/>
      <c r="AC75" s="180">
        <f t="shared" si="46"/>
        <v>0</v>
      </c>
      <c r="AD75" s="180">
        <f t="shared" si="21"/>
        <v>0</v>
      </c>
      <c r="AE75" s="180">
        <f t="shared" si="47"/>
        <v>10936080</v>
      </c>
      <c r="AF75" s="178">
        <f t="shared" si="48"/>
        <v>874886.4</v>
      </c>
      <c r="AG75" s="178">
        <f t="shared" si="49"/>
        <v>164041.19999999998</v>
      </c>
      <c r="AH75" s="178">
        <f t="shared" si="50"/>
        <v>109360.8</v>
      </c>
      <c r="AI75" s="178"/>
      <c r="AJ75" s="178">
        <f t="shared" si="51"/>
        <v>1148288.3999999999</v>
      </c>
      <c r="AK75" s="192"/>
      <c r="AL75" s="182">
        <f t="shared" si="52"/>
        <v>0</v>
      </c>
      <c r="AM75" s="182"/>
      <c r="AN75" s="182"/>
      <c r="AO75" s="183">
        <f t="shared" si="39"/>
        <v>4.9800000000000004</v>
      </c>
      <c r="AP75" s="246">
        <v>0.25</v>
      </c>
      <c r="AQ75" s="185">
        <f t="shared" si="53"/>
        <v>1.2450000000000001</v>
      </c>
      <c r="AR75" s="178">
        <f t="shared" si="54"/>
        <v>2241000</v>
      </c>
      <c r="AS75" s="178"/>
      <c r="AT75" s="178">
        <f t="shared" si="55"/>
        <v>12028792</v>
      </c>
      <c r="AU75" s="469">
        <f t="shared" si="56"/>
        <v>62</v>
      </c>
      <c r="AV75" s="186"/>
      <c r="AW75" s="187" t="s">
        <v>703</v>
      </c>
    </row>
    <row r="76" spans="1:59" s="109" customFormat="1" ht="24" customHeight="1" x14ac:dyDescent="0.25">
      <c r="A76" s="250"/>
      <c r="B76" s="168" t="e">
        <f>VLOOKUP(D76,[1]LuongBC_T01!$B$9:$C$292,2,FALSE)</f>
        <v>#N/A</v>
      </c>
      <c r="C76" s="859"/>
      <c r="D76" s="102" t="s">
        <v>56</v>
      </c>
      <c r="E76" s="264"/>
      <c r="F76" s="102"/>
      <c r="G76" s="103">
        <f>COUNTIF(G13:G75,"x")</f>
        <v>21</v>
      </c>
      <c r="H76" s="103">
        <f>COUNTIF(H15:H75,"GV")</f>
        <v>39</v>
      </c>
      <c r="I76" s="103"/>
      <c r="J76" s="102"/>
      <c r="K76" s="103"/>
      <c r="L76" s="102"/>
      <c r="M76" s="102"/>
      <c r="N76" s="102"/>
      <c r="O76" s="423"/>
      <c r="P76" s="104"/>
      <c r="Q76" s="104"/>
      <c r="R76" s="257">
        <f>SUM(R14:R75)</f>
        <v>298.05999999999983</v>
      </c>
      <c r="S76" s="334">
        <f>SUM(S14:S75)</f>
        <v>85.374000000000038</v>
      </c>
      <c r="T76" s="349">
        <f>U76</f>
        <v>13.4038</v>
      </c>
      <c r="U76" s="258">
        <f>SUM(U14:U75)</f>
        <v>13.4038</v>
      </c>
      <c r="V76" s="234">
        <f>SUM(V14:V75)</f>
        <v>24126840</v>
      </c>
      <c r="W76" s="418">
        <f>SUM(W14:W75)</f>
        <v>9.3999999999999986</v>
      </c>
      <c r="X76" s="105"/>
      <c r="Y76" s="364">
        <f>SUM(Y14:Y75)</f>
        <v>62.570199999999993</v>
      </c>
      <c r="Z76" s="364">
        <f>SUM(Z14:Z75)</f>
        <v>383.4340000000002</v>
      </c>
      <c r="AA76" s="234">
        <f>SUM(AA14:AA75)</f>
        <v>690181200</v>
      </c>
      <c r="AB76" s="105"/>
      <c r="AC76" s="234">
        <f t="shared" ref="AC76:AL76" si="57">SUM(AC14:AC75)</f>
        <v>0</v>
      </c>
      <c r="AD76" s="304">
        <f t="shared" si="57"/>
        <v>0</v>
      </c>
      <c r="AE76" s="234">
        <f t="shared" si="57"/>
        <v>690181200</v>
      </c>
      <c r="AF76" s="106">
        <f t="shared" si="57"/>
        <v>55214496.000000015</v>
      </c>
      <c r="AG76" s="106">
        <f t="shared" si="57"/>
        <v>10352718</v>
      </c>
      <c r="AH76" s="106">
        <f t="shared" si="57"/>
        <v>6901812.0000000019</v>
      </c>
      <c r="AI76" s="304">
        <f t="shared" si="57"/>
        <v>0</v>
      </c>
      <c r="AJ76" s="234">
        <f>SUM(AJ14:AJ75)</f>
        <v>72469026</v>
      </c>
      <c r="AK76" s="419">
        <f t="shared" si="57"/>
        <v>0.2</v>
      </c>
      <c r="AL76" s="106">
        <f t="shared" si="57"/>
        <v>360000</v>
      </c>
      <c r="AM76" s="106"/>
      <c r="AN76" s="106"/>
      <c r="AO76" s="495">
        <f>SUM(AO15:AO75)</f>
        <v>308.22779999999989</v>
      </c>
      <c r="AP76" s="639"/>
      <c r="AQ76" s="107">
        <f>SUM(AQ14:AQ75)</f>
        <v>70.725499999999982</v>
      </c>
      <c r="AR76" s="541">
        <f>SUM(AR14:AR75)</f>
        <v>127305900</v>
      </c>
      <c r="AS76" s="106">
        <f>SUM(AS15:AS75)</f>
        <v>0</v>
      </c>
      <c r="AT76" s="106">
        <f>SUM(AT14:AT75)-8</f>
        <v>745378074</v>
      </c>
      <c r="AU76" s="517"/>
      <c r="AV76" s="518"/>
      <c r="AW76" s="826"/>
      <c r="AX76" s="552"/>
      <c r="AY76" s="552"/>
      <c r="AZ76" s="552"/>
      <c r="BA76" s="552"/>
      <c r="BB76" s="552"/>
      <c r="BC76" s="552"/>
      <c r="BD76" s="552"/>
      <c r="BE76" s="552"/>
      <c r="BF76" s="552"/>
      <c r="BG76" s="552"/>
    </row>
    <row r="77" spans="1:59" s="99" customFormat="1" ht="18.75" customHeight="1" x14ac:dyDescent="0.25">
      <c r="A77" s="250"/>
      <c r="B77" s="471" t="e">
        <f>VLOOKUP(D77,[1]LuongBC_T01!$B$9:$C$292,2,FALSE)</f>
        <v>#N/A</v>
      </c>
      <c r="C77" s="917"/>
      <c r="D77" s="954" t="s">
        <v>23</v>
      </c>
      <c r="E77" s="945"/>
      <c r="F77" s="945"/>
      <c r="G77" s="945"/>
      <c r="H77" s="945"/>
      <c r="I77" s="945"/>
      <c r="J77" s="945"/>
      <c r="K77" s="945"/>
      <c r="L77" s="945"/>
      <c r="M77" s="945"/>
      <c r="N77" s="945"/>
      <c r="O77" s="945"/>
      <c r="P77" s="943"/>
      <c r="Q77" s="944"/>
      <c r="R77" s="124"/>
      <c r="S77" s="335"/>
      <c r="T77" s="350"/>
      <c r="U77" s="915"/>
      <c r="V77" s="136"/>
      <c r="W77" s="126"/>
      <c r="X77" s="135"/>
      <c r="Y77" s="135"/>
      <c r="Z77" s="135"/>
      <c r="AA77" s="134"/>
      <c r="AB77" s="134"/>
      <c r="AC77" s="134"/>
      <c r="AD77" s="134"/>
      <c r="AE77" s="134"/>
      <c r="AF77" s="131"/>
      <c r="AG77" s="131"/>
      <c r="AH77" s="131"/>
      <c r="AI77" s="131"/>
      <c r="AJ77" s="131"/>
      <c r="AK77" s="137"/>
      <c r="AL77" s="131"/>
      <c r="AM77" s="131"/>
      <c r="AN77" s="131"/>
      <c r="AO77" s="496"/>
      <c r="AP77" s="135"/>
      <c r="AQ77" s="133"/>
      <c r="AR77" s="131"/>
      <c r="AS77" s="131"/>
      <c r="AT77" s="131"/>
      <c r="AU77" s="912"/>
      <c r="AV77" s="913"/>
      <c r="AW77" s="824"/>
      <c r="AX77" s="29"/>
      <c r="AY77" s="29"/>
      <c r="AZ77" s="29"/>
      <c r="BA77" s="29"/>
      <c r="BB77" s="29"/>
      <c r="BC77" s="29"/>
      <c r="BD77" s="29"/>
      <c r="BE77" s="29"/>
      <c r="BF77" s="29"/>
      <c r="BG77" s="29"/>
    </row>
    <row r="78" spans="1:59" s="189" customFormat="1" ht="42.75" customHeight="1" x14ac:dyDescent="0.25">
      <c r="A78" s="168">
        <f>_xlfn.AGGREGATE(4,7,A$13:A77)+1</f>
        <v>63</v>
      </c>
      <c r="B78" s="565"/>
      <c r="C78" s="565"/>
      <c r="D78" s="911" t="s">
        <v>1620</v>
      </c>
      <c r="E78" s="563" t="s">
        <v>1377</v>
      </c>
      <c r="F78" s="564"/>
      <c r="G78" s="564"/>
      <c r="H78" s="564"/>
      <c r="I78" s="564"/>
      <c r="J78" s="564"/>
      <c r="K78" s="565"/>
      <c r="L78" s="722"/>
      <c r="M78" s="545"/>
      <c r="N78" s="563"/>
      <c r="O78" s="263" t="s">
        <v>1438</v>
      </c>
      <c r="P78" s="545"/>
      <c r="Q78" s="545"/>
      <c r="R78" s="545">
        <v>1.9890000000000001</v>
      </c>
      <c r="S78" s="546"/>
      <c r="T78" s="564"/>
      <c r="U78" s="546"/>
      <c r="V78" s="547"/>
      <c r="W78" s="545"/>
      <c r="X78" s="179">
        <v>0</v>
      </c>
      <c r="Y78" s="216">
        <f t="shared" ref="Y78:Y83" si="58">ROUND((R78+U78+W78)*X78,4)</f>
        <v>0</v>
      </c>
      <c r="Z78" s="216">
        <f t="shared" ref="Z78:Z83" si="59">R78+U78+W78+Y78</f>
        <v>1.9890000000000001</v>
      </c>
      <c r="AA78" s="180">
        <f t="shared" ref="AA78:AA83" si="60">ROUND(Z78*$D$8,0)</f>
        <v>3580200</v>
      </c>
      <c r="AB78" s="549"/>
      <c r="AC78" s="180">
        <f t="shared" ref="AC78:AC83" si="61">AA78/24*AB78</f>
        <v>0</v>
      </c>
      <c r="AD78" s="180">
        <v>0</v>
      </c>
      <c r="AE78" s="180">
        <f t="shared" ref="AE78:AE83" si="62">ROUND(AA78-AC78+AD78,0)</f>
        <v>3580200</v>
      </c>
      <c r="AF78" s="178">
        <f t="shared" ref="AF78:AF83" si="63">AA78*8%</f>
        <v>286416</v>
      </c>
      <c r="AG78" s="178">
        <f t="shared" ref="AG78:AG83" si="64">AA78*1.5%</f>
        <v>53703</v>
      </c>
      <c r="AH78" s="178">
        <f t="shared" ref="AH78:AH83" si="65">AA78*1%</f>
        <v>35802</v>
      </c>
      <c r="AI78" s="550"/>
      <c r="AJ78" s="178">
        <f t="shared" ref="AJ78:AJ83" si="66">SUM(AF78:AI78)</f>
        <v>375921</v>
      </c>
      <c r="AK78" s="567"/>
      <c r="AL78" s="568"/>
      <c r="AM78" s="568"/>
      <c r="AN78" s="568"/>
      <c r="AO78" s="183">
        <f t="shared" ref="AO78:AO83" si="67">R78+U78+W78</f>
        <v>1.9890000000000001</v>
      </c>
      <c r="AP78" s="246">
        <v>0.25</v>
      </c>
      <c r="AQ78" s="185">
        <f t="shared" ref="AQ78:AQ83" si="68">ROUND(AO78*AP78,4)</f>
        <v>0.49730000000000002</v>
      </c>
      <c r="AR78" s="178">
        <f t="shared" ref="AR78:AR83" si="69">ROUND(AQ78*$D$8,0)</f>
        <v>895140</v>
      </c>
      <c r="AS78" s="550"/>
      <c r="AT78" s="178">
        <f t="shared" ref="AT78:AT83" si="70">ROUND(AE78-AJ78+AL78+AN78+AR78,0)</f>
        <v>4099419</v>
      </c>
      <c r="AU78" s="469">
        <f t="shared" ref="AU78:AU83" si="71">A78</f>
        <v>63</v>
      </c>
      <c r="AV78" s="195" t="s">
        <v>1621</v>
      </c>
      <c r="AW78" s="659"/>
    </row>
    <row r="79" spans="1:59" s="189" customFormat="1" ht="42.75" customHeight="1" x14ac:dyDescent="0.25">
      <c r="A79" s="168">
        <f>_xlfn.AGGREGATE(4,7,A$13:A78)+1</f>
        <v>64</v>
      </c>
      <c r="B79" s="565"/>
      <c r="C79" s="565"/>
      <c r="D79" s="911" t="s">
        <v>1622</v>
      </c>
      <c r="E79" s="563" t="s">
        <v>1451</v>
      </c>
      <c r="F79" s="564"/>
      <c r="G79" s="564"/>
      <c r="H79" s="564"/>
      <c r="I79" s="564"/>
      <c r="J79" s="564"/>
      <c r="K79" s="565"/>
      <c r="L79" s="722"/>
      <c r="M79" s="545"/>
      <c r="N79" s="563"/>
      <c r="O79" s="263" t="s">
        <v>1438</v>
      </c>
      <c r="P79" s="545"/>
      <c r="Q79" s="545"/>
      <c r="R79" s="545">
        <v>2.2690000000000001</v>
      </c>
      <c r="S79" s="546"/>
      <c r="T79" s="564"/>
      <c r="U79" s="546"/>
      <c r="V79" s="547"/>
      <c r="W79" s="545"/>
      <c r="X79" s="179">
        <v>0</v>
      </c>
      <c r="Y79" s="216">
        <f t="shared" si="58"/>
        <v>0</v>
      </c>
      <c r="Z79" s="216">
        <f t="shared" si="59"/>
        <v>2.2690000000000001</v>
      </c>
      <c r="AA79" s="180">
        <f t="shared" si="60"/>
        <v>4084200</v>
      </c>
      <c r="AB79" s="549"/>
      <c r="AC79" s="180">
        <f t="shared" si="61"/>
        <v>0</v>
      </c>
      <c r="AD79" s="180">
        <v>0</v>
      </c>
      <c r="AE79" s="180">
        <f t="shared" si="62"/>
        <v>4084200</v>
      </c>
      <c r="AF79" s="178">
        <f t="shared" si="63"/>
        <v>326736</v>
      </c>
      <c r="AG79" s="178">
        <f t="shared" si="64"/>
        <v>61263</v>
      </c>
      <c r="AH79" s="178">
        <f t="shared" si="65"/>
        <v>40842</v>
      </c>
      <c r="AI79" s="550"/>
      <c r="AJ79" s="178">
        <f t="shared" si="66"/>
        <v>428841</v>
      </c>
      <c r="AK79" s="567"/>
      <c r="AL79" s="568"/>
      <c r="AM79" s="568"/>
      <c r="AN79" s="568"/>
      <c r="AO79" s="183">
        <f t="shared" si="67"/>
        <v>2.2690000000000001</v>
      </c>
      <c r="AP79" s="246">
        <v>0.25</v>
      </c>
      <c r="AQ79" s="185">
        <f t="shared" si="68"/>
        <v>0.56730000000000003</v>
      </c>
      <c r="AR79" s="178">
        <f t="shared" si="69"/>
        <v>1021140</v>
      </c>
      <c r="AS79" s="550"/>
      <c r="AT79" s="178">
        <f t="shared" si="70"/>
        <v>4676499</v>
      </c>
      <c r="AU79" s="469">
        <f t="shared" si="71"/>
        <v>64</v>
      </c>
      <c r="AV79" s="195" t="s">
        <v>1621</v>
      </c>
      <c r="AW79" s="659"/>
    </row>
    <row r="80" spans="1:59" s="189" customFormat="1" ht="42.75" customHeight="1" x14ac:dyDescent="0.25">
      <c r="A80" s="168">
        <f>_xlfn.AGGREGATE(4,7,A$13:A79)+1</f>
        <v>65</v>
      </c>
      <c r="B80" s="565"/>
      <c r="C80" s="565"/>
      <c r="D80" s="911" t="s">
        <v>1631</v>
      </c>
      <c r="E80" s="563" t="s">
        <v>1451</v>
      </c>
      <c r="F80" s="564"/>
      <c r="G80" s="564"/>
      <c r="H80" s="564"/>
      <c r="I80" s="564"/>
      <c r="J80" s="564"/>
      <c r="K80" s="565"/>
      <c r="L80" s="722"/>
      <c r="M80" s="545"/>
      <c r="N80" s="563"/>
      <c r="O80" s="263" t="s">
        <v>1438</v>
      </c>
      <c r="P80" s="545"/>
      <c r="Q80" s="545"/>
      <c r="R80" s="545">
        <v>1.9890000000000001</v>
      </c>
      <c r="S80" s="546"/>
      <c r="T80" s="564"/>
      <c r="U80" s="546"/>
      <c r="V80" s="547"/>
      <c r="W80" s="545"/>
      <c r="X80" s="179">
        <v>0</v>
      </c>
      <c r="Y80" s="216">
        <f t="shared" si="58"/>
        <v>0</v>
      </c>
      <c r="Z80" s="216">
        <f t="shared" si="59"/>
        <v>1.9890000000000001</v>
      </c>
      <c r="AA80" s="180">
        <f t="shared" si="60"/>
        <v>3580200</v>
      </c>
      <c r="AB80" s="549"/>
      <c r="AC80" s="180">
        <f t="shared" si="61"/>
        <v>0</v>
      </c>
      <c r="AD80" s="180">
        <v>0</v>
      </c>
      <c r="AE80" s="180">
        <f t="shared" si="62"/>
        <v>3580200</v>
      </c>
      <c r="AF80" s="178">
        <f t="shared" si="63"/>
        <v>286416</v>
      </c>
      <c r="AG80" s="178">
        <f t="shared" si="64"/>
        <v>53703</v>
      </c>
      <c r="AH80" s="178">
        <f t="shared" si="65"/>
        <v>35802</v>
      </c>
      <c r="AI80" s="550"/>
      <c r="AJ80" s="178">
        <f t="shared" si="66"/>
        <v>375921</v>
      </c>
      <c r="AK80" s="567"/>
      <c r="AL80" s="568"/>
      <c r="AM80" s="568"/>
      <c r="AN80" s="568"/>
      <c r="AO80" s="183">
        <f t="shared" si="67"/>
        <v>1.9890000000000001</v>
      </c>
      <c r="AP80" s="246">
        <v>0.25</v>
      </c>
      <c r="AQ80" s="185">
        <f t="shared" si="68"/>
        <v>0.49730000000000002</v>
      </c>
      <c r="AR80" s="178">
        <f t="shared" si="69"/>
        <v>895140</v>
      </c>
      <c r="AS80" s="550"/>
      <c r="AT80" s="178">
        <f t="shared" si="70"/>
        <v>4099419</v>
      </c>
      <c r="AU80" s="469">
        <f t="shared" si="71"/>
        <v>65</v>
      </c>
      <c r="AV80" s="195" t="s">
        <v>1632</v>
      </c>
      <c r="AW80" s="659"/>
    </row>
    <row r="81" spans="1:59" s="189" customFormat="1" ht="52.5" customHeight="1" x14ac:dyDescent="0.25">
      <c r="A81" s="726">
        <f>_xlfn.AGGREGATE(4,7,A$13:A80)+1</f>
        <v>66</v>
      </c>
      <c r="B81" s="956"/>
      <c r="C81" s="956"/>
      <c r="D81" s="957" t="s">
        <v>1633</v>
      </c>
      <c r="E81" s="958" t="s">
        <v>1625</v>
      </c>
      <c r="F81" s="959"/>
      <c r="G81" s="959"/>
      <c r="H81" s="959"/>
      <c r="I81" s="959"/>
      <c r="J81" s="959"/>
      <c r="K81" s="956"/>
      <c r="L81" s="960"/>
      <c r="M81" s="961"/>
      <c r="N81" s="958"/>
      <c r="O81" s="729" t="s">
        <v>1438</v>
      </c>
      <c r="P81" s="961"/>
      <c r="Q81" s="961"/>
      <c r="R81" s="961">
        <v>1.9890000000000001</v>
      </c>
      <c r="S81" s="962"/>
      <c r="T81" s="959"/>
      <c r="U81" s="962"/>
      <c r="V81" s="963"/>
      <c r="W81" s="961"/>
      <c r="X81" s="739">
        <v>0</v>
      </c>
      <c r="Y81" s="740">
        <f t="shared" si="58"/>
        <v>0</v>
      </c>
      <c r="Z81" s="740">
        <f t="shared" si="59"/>
        <v>1.9890000000000001</v>
      </c>
      <c r="AA81" s="741">
        <f t="shared" si="60"/>
        <v>3580200</v>
      </c>
      <c r="AB81" s="964">
        <v>24</v>
      </c>
      <c r="AC81" s="741">
        <f t="shared" si="61"/>
        <v>3580200</v>
      </c>
      <c r="AD81" s="741">
        <v>0</v>
      </c>
      <c r="AE81" s="741">
        <f t="shared" si="62"/>
        <v>0</v>
      </c>
      <c r="AF81" s="742">
        <v>0</v>
      </c>
      <c r="AG81" s="742">
        <v>0</v>
      </c>
      <c r="AH81" s="742">
        <v>0</v>
      </c>
      <c r="AI81" s="965"/>
      <c r="AJ81" s="742">
        <f t="shared" si="66"/>
        <v>0</v>
      </c>
      <c r="AK81" s="966"/>
      <c r="AL81" s="967"/>
      <c r="AM81" s="967"/>
      <c r="AN81" s="967"/>
      <c r="AO81" s="745">
        <f t="shared" si="67"/>
        <v>1.9890000000000001</v>
      </c>
      <c r="AP81" s="757">
        <v>0.25</v>
      </c>
      <c r="AQ81" s="747">
        <f t="shared" si="68"/>
        <v>0.49730000000000002</v>
      </c>
      <c r="AR81" s="742">
        <f t="shared" si="69"/>
        <v>895140</v>
      </c>
      <c r="AS81" s="965"/>
      <c r="AT81" s="742">
        <f t="shared" si="70"/>
        <v>895140</v>
      </c>
      <c r="AU81" s="748">
        <f t="shared" si="71"/>
        <v>66</v>
      </c>
      <c r="AV81" s="749" t="s">
        <v>1654</v>
      </c>
      <c r="AW81" s="659"/>
    </row>
    <row r="82" spans="1:59" s="189" customFormat="1" ht="42.75" customHeight="1" x14ac:dyDescent="0.25">
      <c r="A82" s="168">
        <f>_xlfn.AGGREGATE(4,7,A$13:A81)+1</f>
        <v>67</v>
      </c>
      <c r="B82" s="565"/>
      <c r="C82" s="565"/>
      <c r="D82" s="911" t="s">
        <v>1648</v>
      </c>
      <c r="E82" s="563" t="s">
        <v>1625</v>
      </c>
      <c r="F82" s="564"/>
      <c r="G82" s="564"/>
      <c r="H82" s="564"/>
      <c r="I82" s="564"/>
      <c r="J82" s="564"/>
      <c r="K82" s="565"/>
      <c r="L82" s="722"/>
      <c r="M82" s="545"/>
      <c r="N82" s="563"/>
      <c r="O82" s="263" t="s">
        <v>1438</v>
      </c>
      <c r="P82" s="545"/>
      <c r="Q82" s="545"/>
      <c r="R82" s="545">
        <v>1.9890000000000001</v>
      </c>
      <c r="S82" s="546"/>
      <c r="T82" s="564"/>
      <c r="U82" s="546"/>
      <c r="V82" s="547"/>
      <c r="W82" s="545"/>
      <c r="X82" s="937"/>
      <c r="Y82" s="216">
        <f t="shared" si="58"/>
        <v>0</v>
      </c>
      <c r="Z82" s="216">
        <f t="shared" si="59"/>
        <v>1.9890000000000001</v>
      </c>
      <c r="AA82" s="180">
        <f t="shared" si="60"/>
        <v>3580200</v>
      </c>
      <c r="AB82" s="549"/>
      <c r="AC82" s="180">
        <f t="shared" si="61"/>
        <v>0</v>
      </c>
      <c r="AD82" s="180">
        <v>0</v>
      </c>
      <c r="AE82" s="180">
        <f t="shared" si="62"/>
        <v>3580200</v>
      </c>
      <c r="AF82" s="178">
        <f t="shared" si="63"/>
        <v>286416</v>
      </c>
      <c r="AG82" s="178">
        <f t="shared" si="64"/>
        <v>53703</v>
      </c>
      <c r="AH82" s="178">
        <f t="shared" si="65"/>
        <v>35802</v>
      </c>
      <c r="AI82" s="550"/>
      <c r="AJ82" s="178">
        <f t="shared" si="66"/>
        <v>375921</v>
      </c>
      <c r="AK82" s="567"/>
      <c r="AL82" s="568"/>
      <c r="AM82" s="568"/>
      <c r="AN82" s="568"/>
      <c r="AO82" s="183">
        <f t="shared" si="67"/>
        <v>1.9890000000000001</v>
      </c>
      <c r="AP82" s="246">
        <v>0.25</v>
      </c>
      <c r="AQ82" s="185">
        <f t="shared" si="68"/>
        <v>0.49730000000000002</v>
      </c>
      <c r="AR82" s="178">
        <f t="shared" si="69"/>
        <v>895140</v>
      </c>
      <c r="AS82" s="550"/>
      <c r="AT82" s="178">
        <f t="shared" si="70"/>
        <v>4099419</v>
      </c>
      <c r="AU82" s="469">
        <f t="shared" si="71"/>
        <v>67</v>
      </c>
      <c r="AV82" s="723" t="s">
        <v>1649</v>
      </c>
      <c r="AW82" s="659"/>
    </row>
    <row r="83" spans="1:59" s="189" customFormat="1" ht="42.75" customHeight="1" x14ac:dyDescent="0.25">
      <c r="A83" s="471">
        <f>_xlfn.AGGREGATE(4,7,A$13:A82)+1</f>
        <v>68</v>
      </c>
      <c r="B83" s="471"/>
      <c r="C83" s="471"/>
      <c r="D83" s="432" t="s">
        <v>1596</v>
      </c>
      <c r="E83" s="296" t="s">
        <v>1625</v>
      </c>
      <c r="F83" s="632"/>
      <c r="G83" s="632"/>
      <c r="H83" s="632"/>
      <c r="I83" s="632"/>
      <c r="J83" s="632"/>
      <c r="K83" s="471"/>
      <c r="L83" s="665"/>
      <c r="M83" s="438"/>
      <c r="N83" s="296"/>
      <c r="O83" s="296" t="s">
        <v>1438</v>
      </c>
      <c r="P83" s="438"/>
      <c r="Q83" s="438"/>
      <c r="R83" s="438">
        <v>1.9890000000000001</v>
      </c>
      <c r="S83" s="436"/>
      <c r="T83" s="632"/>
      <c r="U83" s="436"/>
      <c r="V83" s="445"/>
      <c r="W83" s="438"/>
      <c r="X83" s="439">
        <v>0</v>
      </c>
      <c r="Y83" s="440">
        <f t="shared" si="58"/>
        <v>0</v>
      </c>
      <c r="Z83" s="440">
        <f t="shared" si="59"/>
        <v>1.9890000000000001</v>
      </c>
      <c r="AA83" s="238">
        <f t="shared" si="60"/>
        <v>3580200</v>
      </c>
      <c r="AB83" s="238">
        <v>0</v>
      </c>
      <c r="AC83" s="238">
        <f t="shared" si="61"/>
        <v>0</v>
      </c>
      <c r="AD83" s="238">
        <v>0</v>
      </c>
      <c r="AE83" s="238">
        <f t="shared" si="62"/>
        <v>3580200</v>
      </c>
      <c r="AF83" s="225">
        <f t="shared" si="63"/>
        <v>286416</v>
      </c>
      <c r="AG83" s="225">
        <f t="shared" si="64"/>
        <v>53703</v>
      </c>
      <c r="AH83" s="225">
        <f t="shared" si="65"/>
        <v>35802</v>
      </c>
      <c r="AI83" s="225"/>
      <c r="AJ83" s="225">
        <f t="shared" si="66"/>
        <v>375921</v>
      </c>
      <c r="AK83" s="487"/>
      <c r="AL83" s="488"/>
      <c r="AM83" s="488"/>
      <c r="AN83" s="488"/>
      <c r="AO83" s="489">
        <f t="shared" si="67"/>
        <v>1.9890000000000001</v>
      </c>
      <c r="AP83" s="664">
        <v>0.25</v>
      </c>
      <c r="AQ83" s="634">
        <f t="shared" si="68"/>
        <v>0.49730000000000002</v>
      </c>
      <c r="AR83" s="225">
        <f t="shared" si="69"/>
        <v>895140</v>
      </c>
      <c r="AS83" s="225"/>
      <c r="AT83" s="225">
        <f t="shared" si="70"/>
        <v>4099419</v>
      </c>
      <c r="AU83" s="470">
        <f t="shared" si="71"/>
        <v>68</v>
      </c>
      <c r="AV83" s="542"/>
      <c r="AW83" s="659"/>
    </row>
    <row r="84" spans="1:59" s="109" customFormat="1" ht="27.75" customHeight="1" x14ac:dyDescent="0.25">
      <c r="A84" s="830"/>
      <c r="B84" s="831" t="e">
        <f>VLOOKUP(D84,[1]LuongBC_T01!$B$9:$C$292,2,FALSE)</f>
        <v>#N/A</v>
      </c>
      <c r="C84" s="861"/>
      <c r="D84" s="951" t="s">
        <v>665</v>
      </c>
      <c r="E84" s="947"/>
      <c r="F84" s="947"/>
      <c r="G84" s="947"/>
      <c r="H84" s="947"/>
      <c r="I84" s="947"/>
      <c r="J84" s="947"/>
      <c r="K84" s="947"/>
      <c r="L84" s="947"/>
      <c r="M84" s="947"/>
      <c r="N84" s="947"/>
      <c r="O84" s="947"/>
      <c r="P84" s="946"/>
      <c r="Q84" s="946"/>
      <c r="R84" s="832">
        <f>SUM(R78:R83)</f>
        <v>12.214000000000002</v>
      </c>
      <c r="S84" s="833"/>
      <c r="T84" s="834">
        <f>SUM(T150:T150)</f>
        <v>0</v>
      </c>
      <c r="U84" s="835">
        <f>SUM(U78:U83)</f>
        <v>0</v>
      </c>
      <c r="V84" s="836"/>
      <c r="W84" s="836">
        <f>SUM(W78:W83)</f>
        <v>0</v>
      </c>
      <c r="X84" s="836">
        <f ca="1">SUM(X78:X160)</f>
        <v>0</v>
      </c>
      <c r="Y84" s="837">
        <f>SUM(Y78:Y83)</f>
        <v>0</v>
      </c>
      <c r="Z84" s="838">
        <f>SUM(Z78:Z83)</f>
        <v>12.214000000000002</v>
      </c>
      <c r="AA84" s="836">
        <f>SUM(AA78:AA83)</f>
        <v>21985200</v>
      </c>
      <c r="AB84" s="836"/>
      <c r="AC84" s="836">
        <f t="shared" ref="AC84:AH84" si="72">SUM(AC78:AC83)</f>
        <v>3580200</v>
      </c>
      <c r="AD84" s="836">
        <f t="shared" si="72"/>
        <v>0</v>
      </c>
      <c r="AE84" s="836">
        <f t="shared" si="72"/>
        <v>18405000</v>
      </c>
      <c r="AF84" s="839">
        <f t="shared" si="72"/>
        <v>1472400</v>
      </c>
      <c r="AG84" s="839">
        <f t="shared" si="72"/>
        <v>276075</v>
      </c>
      <c r="AH84" s="839">
        <f t="shared" si="72"/>
        <v>184050</v>
      </c>
      <c r="AI84" s="839"/>
      <c r="AJ84" s="839">
        <f>SUM(AJ78:AJ83)</f>
        <v>1932525</v>
      </c>
      <c r="AK84" s="839">
        <f>SUM(AK78:AK83)</f>
        <v>0</v>
      </c>
      <c r="AL84" s="839">
        <f>SUM(AL78:AL83)</f>
        <v>0</v>
      </c>
      <c r="AM84" s="839">
        <f>SUM(AM78:AM83)</f>
        <v>0</v>
      </c>
      <c r="AN84" s="839">
        <f>SUM(AN78:AN83)</f>
        <v>0</v>
      </c>
      <c r="AO84" s="840">
        <f ca="1">SUM(AO78:AO160)</f>
        <v>3.9780000000000002</v>
      </c>
      <c r="AP84" s="841">
        <f ca="1">SUM(AP78:AP160)</f>
        <v>0.5</v>
      </c>
      <c r="AQ84" s="835">
        <f>SUM(AQ78:AQ83)</f>
        <v>3.0538000000000003</v>
      </c>
      <c r="AR84" s="839">
        <f>SUM(AR78:AR83)</f>
        <v>5496840</v>
      </c>
      <c r="AS84" s="839" t="e">
        <f>SUM(#REF!)</f>
        <v>#REF!</v>
      </c>
      <c r="AT84" s="839">
        <f>SUM(AT78:AT83)</f>
        <v>21969315</v>
      </c>
      <c r="AU84" s="842"/>
      <c r="AV84" s="843"/>
      <c r="AW84" s="89"/>
      <c r="AX84" s="552"/>
      <c r="AY84" s="552"/>
      <c r="AZ84" s="552"/>
      <c r="BA84" s="552"/>
      <c r="BB84" s="552"/>
      <c r="BC84" s="552"/>
      <c r="BD84" s="552"/>
      <c r="BE84" s="552"/>
      <c r="BF84" s="552"/>
      <c r="BG84" s="552"/>
    </row>
    <row r="85" spans="1:59" s="99" customFormat="1" ht="27.75" customHeight="1" x14ac:dyDescent="0.25">
      <c r="A85" s="849"/>
      <c r="B85" s="250" t="e">
        <f>VLOOKUP(D85,[1]LuongBC_T01!$B$9:$C$292,2,FALSE)</f>
        <v>#N/A</v>
      </c>
      <c r="C85" s="862"/>
      <c r="D85" s="952" t="s">
        <v>50</v>
      </c>
      <c r="E85" s="948"/>
      <c r="F85" s="948"/>
      <c r="G85" s="948"/>
      <c r="H85" s="948"/>
      <c r="I85" s="948"/>
      <c r="J85" s="948"/>
      <c r="K85" s="948"/>
      <c r="L85" s="948"/>
      <c r="M85" s="948"/>
      <c r="N85" s="948"/>
      <c r="O85" s="948"/>
      <c r="P85" s="124"/>
      <c r="Q85" s="124"/>
      <c r="R85" s="124"/>
      <c r="S85" s="850"/>
      <c r="T85" s="350"/>
      <c r="U85" s="102"/>
      <c r="V85" s="136"/>
      <c r="W85" s="126"/>
      <c r="X85" s="135"/>
      <c r="Y85" s="134"/>
      <c r="Z85" s="134"/>
      <c r="AA85" s="134"/>
      <c r="AB85" s="134"/>
      <c r="AC85" s="134"/>
      <c r="AD85" s="134"/>
      <c r="AE85" s="134"/>
      <c r="AF85" s="131"/>
      <c r="AG85" s="131"/>
      <c r="AH85" s="131"/>
      <c r="AI85" s="131"/>
      <c r="AJ85" s="131"/>
      <c r="AK85" s="137"/>
      <c r="AL85" s="131"/>
      <c r="AM85" s="131"/>
      <c r="AN85" s="131"/>
      <c r="AO85" s="496"/>
      <c r="AP85" s="135"/>
      <c r="AQ85" s="133"/>
      <c r="AR85" s="131"/>
      <c r="AS85" s="131"/>
      <c r="AT85" s="131"/>
      <c r="AU85" s="912"/>
      <c r="AV85" s="913"/>
      <c r="AW85" s="52"/>
      <c r="AX85" s="29"/>
      <c r="AY85" s="29"/>
      <c r="AZ85" s="29"/>
      <c r="BA85" s="29"/>
      <c r="BB85" s="29"/>
      <c r="BC85" s="29"/>
      <c r="BD85" s="29"/>
      <c r="BE85" s="29"/>
      <c r="BF85" s="29"/>
      <c r="BG85" s="29"/>
    </row>
    <row r="86" spans="1:59" s="99" customFormat="1" ht="27.75" customHeight="1" x14ac:dyDescent="0.25">
      <c r="A86" s="849"/>
      <c r="B86" s="250" t="e">
        <f>VLOOKUP(D86,[1]LuongBC_T01!$B$9:$C$292,2,FALSE)</f>
        <v>#N/A</v>
      </c>
      <c r="C86" s="862"/>
      <c r="D86" s="953" t="s">
        <v>51</v>
      </c>
      <c r="E86" s="950"/>
      <c r="F86" s="950"/>
      <c r="G86" s="950"/>
      <c r="H86" s="950"/>
      <c r="I86" s="950"/>
      <c r="J86" s="950"/>
      <c r="K86" s="950"/>
      <c r="L86" s="950"/>
      <c r="M86" s="950"/>
      <c r="N86" s="950"/>
      <c r="O86" s="950"/>
      <c r="P86" s="949"/>
      <c r="Q86" s="949"/>
      <c r="R86" s="949"/>
      <c r="S86" s="949"/>
      <c r="T86" s="350"/>
      <c r="U86" s="102"/>
      <c r="V86" s="851"/>
      <c r="W86" s="126"/>
      <c r="X86" s="135"/>
      <c r="Y86" s="134"/>
      <c r="Z86" s="134"/>
      <c r="AA86" s="134"/>
      <c r="AB86" s="134"/>
      <c r="AC86" s="134"/>
      <c r="AD86" s="134"/>
      <c r="AE86" s="134"/>
      <c r="AF86" s="131"/>
      <c r="AG86" s="131"/>
      <c r="AH86" s="131"/>
      <c r="AI86" s="131"/>
      <c r="AJ86" s="131"/>
      <c r="AK86" s="137"/>
      <c r="AL86" s="131"/>
      <c r="AM86" s="131"/>
      <c r="AN86" s="131"/>
      <c r="AO86" s="496"/>
      <c r="AP86" s="135"/>
      <c r="AQ86" s="133"/>
      <c r="AR86" s="131"/>
      <c r="AS86" s="131"/>
      <c r="AT86" s="131"/>
      <c r="AU86" s="912"/>
      <c r="AV86" s="914"/>
      <c r="AW86" s="88"/>
      <c r="AX86" s="29"/>
      <c r="AY86" s="29"/>
      <c r="AZ86" s="29"/>
      <c r="BA86" s="29"/>
      <c r="BB86" s="29"/>
      <c r="BC86" s="29"/>
      <c r="BD86" s="29"/>
      <c r="BE86" s="29"/>
      <c r="BF86" s="29"/>
      <c r="BG86" s="29"/>
    </row>
    <row r="87" spans="1:59" s="189" customFormat="1" ht="45.75" customHeight="1" x14ac:dyDescent="0.25">
      <c r="A87" s="168">
        <f>_xlfn.AGGREGATE(4,7,A$13:A86)+1</f>
        <v>69</v>
      </c>
      <c r="B87" s="484" t="str">
        <f>VLOOKUP(D87,[1]LuongBC_T01!$B$9:$C$292,2,FALSE)</f>
        <v>0016100006799005</v>
      </c>
      <c r="C87" s="863" t="s">
        <v>981</v>
      </c>
      <c r="D87" s="524" t="s">
        <v>1279</v>
      </c>
      <c r="E87" s="521" t="s">
        <v>1452</v>
      </c>
      <c r="F87" s="524"/>
      <c r="G87" s="525"/>
      <c r="H87" s="524"/>
      <c r="I87" s="524"/>
      <c r="J87" s="524"/>
      <c r="K87" s="525" t="str">
        <f>VLOOKUP(D87,[2]T3!$B$2:$D$328,3,FALSE)</f>
        <v>080185000458</v>
      </c>
      <c r="L87" s="844"/>
      <c r="M87" s="844"/>
      <c r="N87" s="845" t="str">
        <f>VLOOKUP(D87,'[6]Bao cao So GDDT'!$D$14:$S$282,11,FALSE)</f>
        <v>Chuyên viên</v>
      </c>
      <c r="O87" s="846" t="s">
        <v>39</v>
      </c>
      <c r="P87" s="525"/>
      <c r="Q87" s="525"/>
      <c r="R87" s="534">
        <v>3.33</v>
      </c>
      <c r="S87" s="463">
        <f>U87+W87+Y87</f>
        <v>0.35</v>
      </c>
      <c r="T87" s="533"/>
      <c r="U87" s="463">
        <f t="shared" ref="U87:U118" si="73">ROUND(R87*T87/100,4)</f>
        <v>0</v>
      </c>
      <c r="V87" s="529"/>
      <c r="W87" s="534">
        <v>0.35</v>
      </c>
      <c r="X87" s="530">
        <f>VLOOKUP(D87,PCTN!D105:W372,20,FALSE)</f>
        <v>0</v>
      </c>
      <c r="Y87" s="531">
        <f t="shared" ref="Y87:Y118" si="74">ROUND((R87+U87+W87)*X87,4)</f>
        <v>0</v>
      </c>
      <c r="Z87" s="531">
        <f t="shared" ref="Z87:Z118" si="75">R87+U87+W87+Y87</f>
        <v>3.68</v>
      </c>
      <c r="AA87" s="532">
        <f t="shared" ref="AA87:AA118" si="76">ROUND(Z87*$D$8,0)</f>
        <v>6624000</v>
      </c>
      <c r="AB87" s="532"/>
      <c r="AC87" s="532">
        <f t="shared" ref="AC87:AC118" si="77">AA87/24*AB87</f>
        <v>0</v>
      </c>
      <c r="AD87" s="532">
        <f>AA87/24*AB87*75%</f>
        <v>0</v>
      </c>
      <c r="AE87" s="532">
        <f t="shared" ref="AE87:AE118" si="78">ROUND(AA87-AC87+AD87,0)</f>
        <v>6624000</v>
      </c>
      <c r="AF87" s="533">
        <f t="shared" ref="AF87:AF118" si="79">AA87*8%</f>
        <v>529920</v>
      </c>
      <c r="AG87" s="533">
        <f t="shared" ref="AG87:AG118" si="80">AA87*1.5%</f>
        <v>99360</v>
      </c>
      <c r="AH87" s="533">
        <f t="shared" ref="AH87:AH118" si="81">AA87*1%</f>
        <v>66240</v>
      </c>
      <c r="AI87" s="533"/>
      <c r="AJ87" s="533">
        <f t="shared" ref="AJ87:AJ118" si="82">SUM(AF87:AI87)</f>
        <v>695520</v>
      </c>
      <c r="AK87" s="847"/>
      <c r="AL87" s="535">
        <f>AK87*$D$8</f>
        <v>0</v>
      </c>
      <c r="AM87" s="535"/>
      <c r="AN87" s="535"/>
      <c r="AO87" s="531">
        <f>R87+U87+W87</f>
        <v>3.68</v>
      </c>
      <c r="AP87" s="530"/>
      <c r="AQ87" s="537">
        <f t="shared" ref="AQ87:AQ118" si="83">ROUND(AO87*AP87,4)</f>
        <v>0</v>
      </c>
      <c r="AR87" s="533">
        <f t="shared" ref="AR87:AR118" si="84">ROUND(AQ87*$D$8,0)</f>
        <v>0</v>
      </c>
      <c r="AS87" s="533"/>
      <c r="AT87" s="533">
        <f t="shared" ref="AT87:AT118" si="85">ROUND(AE87-AJ87+AL87+AN87+AR87,0)</f>
        <v>5928480</v>
      </c>
      <c r="AU87" s="538">
        <f t="shared" ref="AU87:AU107" si="86">A87</f>
        <v>69</v>
      </c>
      <c r="AV87" s="848"/>
      <c r="AW87" s="223"/>
      <c r="AX87" s="29"/>
      <c r="AY87" s="29"/>
      <c r="AZ87" s="29"/>
      <c r="BA87" s="29"/>
      <c r="BB87" s="29"/>
      <c r="BC87" s="29"/>
      <c r="BD87" s="29"/>
      <c r="BE87" s="29"/>
      <c r="BF87" s="29"/>
      <c r="BG87" s="29"/>
    </row>
    <row r="88" spans="1:59" s="189" customFormat="1" ht="37.5" customHeight="1" x14ac:dyDescent="0.25">
      <c r="A88" s="168">
        <f>_xlfn.AGGREGATE(4,7,A$13:A87)+1</f>
        <v>70</v>
      </c>
      <c r="B88" s="168" t="str">
        <f>VLOOKUP(D88,[1]LuongBC_T01!$B$9:$C$292,2,FALSE)</f>
        <v>0016100006518006</v>
      </c>
      <c r="C88" s="545">
        <v>11100115713</v>
      </c>
      <c r="D88" s="544" t="s">
        <v>655</v>
      </c>
      <c r="E88" s="263" t="s">
        <v>1452</v>
      </c>
      <c r="F88" s="564"/>
      <c r="G88" s="564"/>
      <c r="H88" s="564"/>
      <c r="I88" s="564"/>
      <c r="J88" s="564"/>
      <c r="K88" s="565"/>
      <c r="L88" s="564"/>
      <c r="M88" s="545"/>
      <c r="N88" s="263" t="str">
        <f>VLOOKUP(D88,'[6]Bao cao So GDDT'!$D$14:$S$282,11,FALSE)</f>
        <v>Giảng viên GDNN LT (hạng III)</v>
      </c>
      <c r="O88" s="263" t="s">
        <v>1438</v>
      </c>
      <c r="P88" s="566"/>
      <c r="Q88" s="566"/>
      <c r="R88" s="551">
        <v>3</v>
      </c>
      <c r="S88" s="546"/>
      <c r="T88" s="564"/>
      <c r="U88" s="546">
        <f t="shared" si="73"/>
        <v>0</v>
      </c>
      <c r="V88" s="547"/>
      <c r="W88" s="545">
        <v>0.35</v>
      </c>
      <c r="X88" s="179">
        <v>0</v>
      </c>
      <c r="Y88" s="548">
        <f t="shared" si="74"/>
        <v>0</v>
      </c>
      <c r="Z88" s="548">
        <f t="shared" si="75"/>
        <v>3.35</v>
      </c>
      <c r="AA88" s="549">
        <f t="shared" si="76"/>
        <v>6030000</v>
      </c>
      <c r="AB88" s="549"/>
      <c r="AC88" s="549">
        <f t="shared" si="77"/>
        <v>0</v>
      </c>
      <c r="AD88" s="549">
        <f>AA88/24*AB88*75%</f>
        <v>0</v>
      </c>
      <c r="AE88" s="549">
        <f t="shared" si="78"/>
        <v>6030000</v>
      </c>
      <c r="AF88" s="550">
        <f t="shared" si="79"/>
        <v>482400</v>
      </c>
      <c r="AG88" s="550">
        <f t="shared" si="80"/>
        <v>90450</v>
      </c>
      <c r="AH88" s="550">
        <f t="shared" si="81"/>
        <v>60300</v>
      </c>
      <c r="AI88" s="550"/>
      <c r="AJ88" s="550">
        <f t="shared" si="82"/>
        <v>633150</v>
      </c>
      <c r="AK88" s="567"/>
      <c r="AL88" s="182">
        <f t="shared" ref="AL88:AL93" si="87">AK88*$D$8</f>
        <v>0</v>
      </c>
      <c r="AM88" s="568"/>
      <c r="AN88" s="568"/>
      <c r="AO88" s="569">
        <f>R88+U88+W88</f>
        <v>3.35</v>
      </c>
      <c r="AP88" s="640">
        <v>0.25</v>
      </c>
      <c r="AQ88" s="185">
        <f t="shared" si="83"/>
        <v>0.83750000000000002</v>
      </c>
      <c r="AR88" s="178">
        <f t="shared" si="84"/>
        <v>1507500</v>
      </c>
      <c r="AS88" s="550"/>
      <c r="AT88" s="178">
        <f t="shared" si="85"/>
        <v>6904350</v>
      </c>
      <c r="AU88" s="469">
        <f t="shared" si="86"/>
        <v>70</v>
      </c>
      <c r="AV88" s="195"/>
      <c r="AW88" s="485"/>
    </row>
    <row r="89" spans="1:59" s="189" customFormat="1" ht="45" customHeight="1" x14ac:dyDescent="0.25">
      <c r="A89" s="168">
        <f>_xlfn.AGGREGATE(4,7,A$13:A88)+1</f>
        <v>71</v>
      </c>
      <c r="B89" s="168" t="str">
        <f>VLOOKUP(D89,[1]LuongBC_T01!$B$9:$C$292,2,FALSE)</f>
        <v>0016100006765003</v>
      </c>
      <c r="C89" s="371" t="s">
        <v>1041</v>
      </c>
      <c r="D89" s="230" t="s">
        <v>781</v>
      </c>
      <c r="E89" s="263" t="s">
        <v>1107</v>
      </c>
      <c r="F89" s="231"/>
      <c r="G89" s="231"/>
      <c r="H89" s="231"/>
      <c r="I89" s="169" t="s">
        <v>284</v>
      </c>
      <c r="J89" s="231"/>
      <c r="K89" s="170" t="str">
        <f>VLOOKUP(D89,[2]T3!$B$2:$D$328,3,FALSE)</f>
        <v>025310266</v>
      </c>
      <c r="L89" s="249">
        <v>1603205280047</v>
      </c>
      <c r="M89" s="249" t="s">
        <v>1041</v>
      </c>
      <c r="N89" s="263" t="str">
        <f>VLOOKUP(D89,'[6]Bao cao So GDDT'!$D$14:$S$282,11,FALSE)</f>
        <v>Lưu trữ viên
(hạng III)</v>
      </c>
      <c r="O89" s="393" t="s">
        <v>1117</v>
      </c>
      <c r="P89" s="170" t="s">
        <v>692</v>
      </c>
      <c r="Q89" s="170">
        <v>3</v>
      </c>
      <c r="R89" s="192">
        <v>3.66</v>
      </c>
      <c r="S89" s="176">
        <f>U89+W89+Y89</f>
        <v>0</v>
      </c>
      <c r="T89" s="178"/>
      <c r="U89" s="176">
        <f t="shared" si="73"/>
        <v>0</v>
      </c>
      <c r="V89" s="175">
        <f>R89*T89*$D$8/100</f>
        <v>0</v>
      </c>
      <c r="W89" s="178"/>
      <c r="X89" s="179">
        <f>VLOOKUP(D89,PCTN!D139:W406,20,FALSE)</f>
        <v>0</v>
      </c>
      <c r="Y89" s="216">
        <f t="shared" si="74"/>
        <v>0</v>
      </c>
      <c r="Z89" s="216">
        <f t="shared" si="75"/>
        <v>3.66</v>
      </c>
      <c r="AA89" s="180">
        <f t="shared" si="76"/>
        <v>6588000</v>
      </c>
      <c r="AB89" s="180"/>
      <c r="AC89" s="180">
        <f t="shared" si="77"/>
        <v>0</v>
      </c>
      <c r="AD89" s="180">
        <f>AA89/24*AB89*75%</f>
        <v>0</v>
      </c>
      <c r="AE89" s="180">
        <f t="shared" si="78"/>
        <v>6588000</v>
      </c>
      <c r="AF89" s="178">
        <f t="shared" si="79"/>
        <v>527040</v>
      </c>
      <c r="AG89" s="178">
        <f t="shared" si="80"/>
        <v>98820</v>
      </c>
      <c r="AH89" s="178">
        <f t="shared" si="81"/>
        <v>65880</v>
      </c>
      <c r="AI89" s="178"/>
      <c r="AJ89" s="178">
        <f t="shared" si="82"/>
        <v>691740</v>
      </c>
      <c r="AK89" s="215"/>
      <c r="AL89" s="182">
        <f t="shared" si="87"/>
        <v>0</v>
      </c>
      <c r="AM89" s="182"/>
      <c r="AN89" s="182"/>
      <c r="AO89" s="216"/>
      <c r="AP89" s="179"/>
      <c r="AQ89" s="194">
        <f t="shared" si="83"/>
        <v>0</v>
      </c>
      <c r="AR89" s="178">
        <f t="shared" si="84"/>
        <v>0</v>
      </c>
      <c r="AS89" s="178"/>
      <c r="AT89" s="178">
        <f t="shared" si="85"/>
        <v>5896260</v>
      </c>
      <c r="AU89" s="469">
        <f t="shared" si="86"/>
        <v>71</v>
      </c>
      <c r="AV89" s="195"/>
      <c r="AW89" s="242"/>
    </row>
    <row r="90" spans="1:59" s="189" customFormat="1" ht="43.5" customHeight="1" x14ac:dyDescent="0.25">
      <c r="A90" s="726">
        <f>_xlfn.AGGREGATE(4,7,A$13:A89)+1</f>
        <v>72</v>
      </c>
      <c r="B90" s="726" t="str">
        <f>VLOOKUP(D90,[1]LuongBC_T01!$B$9:$C$292,2,FALSE)</f>
        <v>0016100006864001</v>
      </c>
      <c r="C90" s="730" t="s">
        <v>1333</v>
      </c>
      <c r="D90" s="728" t="s">
        <v>1274</v>
      </c>
      <c r="E90" s="729" t="s">
        <v>1107</v>
      </c>
      <c r="F90" s="755"/>
      <c r="G90" s="755"/>
      <c r="H90" s="755"/>
      <c r="I90" s="755"/>
      <c r="J90" s="755"/>
      <c r="K90" s="730" t="str">
        <f>VLOOKUP(D90,[2]T3!$B$2:$D$328,3,FALSE)</f>
        <v>025575045</v>
      </c>
      <c r="L90" s="755"/>
      <c r="M90" s="730"/>
      <c r="N90" s="729" t="str">
        <f>VLOOKUP(D90,'[6]Bao cao So GDDT'!$D$14:$S$282,11,FALSE)</f>
        <v>Lưu trữ viên
(hạng III)</v>
      </c>
      <c r="O90" s="985" t="s">
        <v>1660</v>
      </c>
      <c r="P90" s="982" t="s">
        <v>1267</v>
      </c>
      <c r="Q90" s="982">
        <v>1</v>
      </c>
      <c r="R90" s="933">
        <f>2.46+0.15</f>
        <v>2.61</v>
      </c>
      <c r="S90" s="736"/>
      <c r="T90" s="755"/>
      <c r="U90" s="736">
        <f t="shared" si="73"/>
        <v>0</v>
      </c>
      <c r="V90" s="738"/>
      <c r="W90" s="730"/>
      <c r="X90" s="739">
        <f>VLOOKUP(D90,PCTN!D140:W407,20,FALSE)</f>
        <v>0</v>
      </c>
      <c r="Y90" s="740">
        <f t="shared" si="74"/>
        <v>0</v>
      </c>
      <c r="Z90" s="740">
        <f t="shared" si="75"/>
        <v>2.61</v>
      </c>
      <c r="AA90" s="741">
        <f t="shared" si="76"/>
        <v>4698000</v>
      </c>
      <c r="AB90" s="741"/>
      <c r="AC90" s="741">
        <f t="shared" si="77"/>
        <v>0</v>
      </c>
      <c r="AD90" s="741">
        <v>0</v>
      </c>
      <c r="AE90" s="741">
        <f t="shared" si="78"/>
        <v>4698000</v>
      </c>
      <c r="AF90" s="742">
        <f t="shared" si="79"/>
        <v>375840</v>
      </c>
      <c r="AG90" s="742">
        <f t="shared" si="80"/>
        <v>70470</v>
      </c>
      <c r="AH90" s="742">
        <f t="shared" si="81"/>
        <v>46980</v>
      </c>
      <c r="AI90" s="742"/>
      <c r="AJ90" s="742">
        <f t="shared" si="82"/>
        <v>493290</v>
      </c>
      <c r="AK90" s="743"/>
      <c r="AL90" s="744">
        <f t="shared" si="87"/>
        <v>0</v>
      </c>
      <c r="AM90" s="744"/>
      <c r="AN90" s="744"/>
      <c r="AO90" s="745">
        <f>R90+U90+W90</f>
        <v>2.61</v>
      </c>
      <c r="AP90" s="739"/>
      <c r="AQ90" s="747">
        <f t="shared" si="83"/>
        <v>0</v>
      </c>
      <c r="AR90" s="742">
        <f t="shared" si="84"/>
        <v>0</v>
      </c>
      <c r="AS90" s="742"/>
      <c r="AT90" s="742">
        <f t="shared" si="85"/>
        <v>4204710</v>
      </c>
      <c r="AU90" s="748">
        <f t="shared" si="86"/>
        <v>72</v>
      </c>
      <c r="AV90" s="749"/>
      <c r="AW90" s="485"/>
      <c r="AX90" s="29"/>
      <c r="AY90" s="29"/>
      <c r="AZ90" s="29"/>
      <c r="BA90" s="29"/>
      <c r="BB90" s="29"/>
      <c r="BC90" s="29"/>
      <c r="BD90" s="29"/>
      <c r="BE90" s="29"/>
      <c r="BF90" s="29"/>
      <c r="BG90" s="29"/>
    </row>
    <row r="91" spans="1:59" s="189" customFormat="1" ht="44.25" customHeight="1" x14ac:dyDescent="0.25">
      <c r="A91" s="168">
        <f>_xlfn.AGGREGATE(4,7,A$13:A90)+1</f>
        <v>73</v>
      </c>
      <c r="B91" s="168" t="str">
        <f>VLOOKUP(D91,[1]LuongBC_T01!$B$9:$C$292,2,FALSE)</f>
        <v>0016100006635002</v>
      </c>
      <c r="C91" s="858" t="s">
        <v>934</v>
      </c>
      <c r="D91" s="169" t="s">
        <v>1140</v>
      </c>
      <c r="E91" s="263" t="s">
        <v>1107</v>
      </c>
      <c r="F91" s="169" t="s">
        <v>553</v>
      </c>
      <c r="G91" s="170" t="s">
        <v>25</v>
      </c>
      <c r="H91" s="170"/>
      <c r="I91" s="170" t="s">
        <v>284</v>
      </c>
      <c r="J91" s="169" t="s">
        <v>265</v>
      </c>
      <c r="K91" s="170" t="str">
        <f>VLOOKUP(D91,[2]T3!$B$2:$D$328,3,FALSE)</f>
        <v>023547031</v>
      </c>
      <c r="L91" s="171" t="s">
        <v>162</v>
      </c>
      <c r="M91" s="171" t="s">
        <v>934</v>
      </c>
      <c r="N91" s="829" t="str">
        <f>VLOOKUP(D91,'[6]Bao cao So GDDT'!$D$14:$S$282,11,FALSE)</f>
        <v>Chuyên viên</v>
      </c>
      <c r="O91" s="391" t="s">
        <v>39</v>
      </c>
      <c r="P91" s="222" t="s">
        <v>698</v>
      </c>
      <c r="Q91" s="172">
        <v>6</v>
      </c>
      <c r="R91" s="174">
        <v>3.66</v>
      </c>
      <c r="S91" s="176">
        <f t="shared" ref="S91:S103" si="88">U91+W91+Y91</f>
        <v>0</v>
      </c>
      <c r="T91" s="370"/>
      <c r="U91" s="176">
        <f t="shared" si="73"/>
        <v>0</v>
      </c>
      <c r="V91" s="175">
        <f t="shared" ref="V91:V103" si="89">R91*T91*$D$8/100</f>
        <v>0</v>
      </c>
      <c r="W91" s="170"/>
      <c r="X91" s="179">
        <f>VLOOKUP(D91,PCTN!D153:W420,20,FALSE)</f>
        <v>0</v>
      </c>
      <c r="Y91" s="216">
        <f t="shared" si="74"/>
        <v>0</v>
      </c>
      <c r="Z91" s="216">
        <f t="shared" si="75"/>
        <v>3.66</v>
      </c>
      <c r="AA91" s="180">
        <f t="shared" si="76"/>
        <v>6588000</v>
      </c>
      <c r="AB91" s="180"/>
      <c r="AC91" s="180">
        <f t="shared" si="77"/>
        <v>0</v>
      </c>
      <c r="AD91" s="180">
        <f t="shared" ref="AD91:AD97" si="90">AA91/24*AB91*75%</f>
        <v>0</v>
      </c>
      <c r="AE91" s="180">
        <f t="shared" si="78"/>
        <v>6588000</v>
      </c>
      <c r="AF91" s="178">
        <f t="shared" si="79"/>
        <v>527040</v>
      </c>
      <c r="AG91" s="178">
        <f t="shared" si="80"/>
        <v>98820</v>
      </c>
      <c r="AH91" s="178">
        <f t="shared" si="81"/>
        <v>65880</v>
      </c>
      <c r="AI91" s="178"/>
      <c r="AJ91" s="178">
        <f t="shared" si="82"/>
        <v>691740</v>
      </c>
      <c r="AK91" s="192"/>
      <c r="AL91" s="182">
        <f t="shared" si="87"/>
        <v>0</v>
      </c>
      <c r="AM91" s="182"/>
      <c r="AN91" s="182"/>
      <c r="AO91" s="193">
        <f>R91+U91+W91</f>
        <v>3.66</v>
      </c>
      <c r="AP91" s="179"/>
      <c r="AQ91" s="194">
        <f t="shared" si="83"/>
        <v>0</v>
      </c>
      <c r="AR91" s="178">
        <f t="shared" si="84"/>
        <v>0</v>
      </c>
      <c r="AS91" s="178"/>
      <c r="AT91" s="178">
        <f t="shared" si="85"/>
        <v>5896260</v>
      </c>
      <c r="AU91" s="469">
        <f t="shared" si="86"/>
        <v>73</v>
      </c>
      <c r="AV91" s="186"/>
      <c r="AW91" s="52"/>
      <c r="AX91" s="29"/>
      <c r="AY91" s="29"/>
      <c r="AZ91" s="29"/>
      <c r="BA91" s="29"/>
      <c r="BB91" s="29"/>
      <c r="BC91" s="29"/>
      <c r="BD91" s="29"/>
      <c r="BE91" s="29"/>
      <c r="BF91" s="29"/>
      <c r="BG91" s="29"/>
    </row>
    <row r="92" spans="1:59" s="189" customFormat="1" ht="47.25" customHeight="1" x14ac:dyDescent="0.25">
      <c r="A92" s="726">
        <f>_xlfn.AGGREGATE(4,7,A$13:A91)+1</f>
        <v>74</v>
      </c>
      <c r="B92" s="726" t="str">
        <f>VLOOKUP(D92,[1]LuongBC_T01!$B$9:$C$292,2,FALSE)</f>
        <v>0016100006767006</v>
      </c>
      <c r="C92" s="750" t="s">
        <v>937</v>
      </c>
      <c r="D92" s="728" t="s">
        <v>652</v>
      </c>
      <c r="E92" s="729" t="s">
        <v>1107</v>
      </c>
      <c r="F92" s="728" t="s">
        <v>553</v>
      </c>
      <c r="G92" s="730" t="s">
        <v>25</v>
      </c>
      <c r="H92" s="728"/>
      <c r="I92" s="728" t="s">
        <v>284</v>
      </c>
      <c r="J92" s="728"/>
      <c r="K92" s="730" t="str">
        <f>VLOOKUP(D92,[2]T3!$B$2:$D$328,3,FALSE)</f>
        <v>024306087</v>
      </c>
      <c r="L92" s="984" t="s">
        <v>662</v>
      </c>
      <c r="M92" s="984" t="s">
        <v>937</v>
      </c>
      <c r="N92" s="729" t="str">
        <f>VLOOKUP(D92,'[6]Bao cao So GDDT'!$D$14:$S$282,11,FALSE)</f>
        <v>Chuyên viên</v>
      </c>
      <c r="O92" s="985" t="s">
        <v>39</v>
      </c>
      <c r="P92" s="730" t="s">
        <v>698</v>
      </c>
      <c r="Q92" s="730">
        <v>6</v>
      </c>
      <c r="R92" s="743">
        <v>3.66</v>
      </c>
      <c r="S92" s="736">
        <f t="shared" si="88"/>
        <v>0</v>
      </c>
      <c r="T92" s="742"/>
      <c r="U92" s="736">
        <f t="shared" si="73"/>
        <v>0</v>
      </c>
      <c r="V92" s="738">
        <f t="shared" si="89"/>
        <v>0</v>
      </c>
      <c r="W92" s="742"/>
      <c r="X92" s="739">
        <f>VLOOKUP(D92,PCTN!D157:W424,20,FALSE)</f>
        <v>0</v>
      </c>
      <c r="Y92" s="740">
        <f t="shared" si="74"/>
        <v>0</v>
      </c>
      <c r="Z92" s="740">
        <f t="shared" si="75"/>
        <v>3.66</v>
      </c>
      <c r="AA92" s="741">
        <f t="shared" si="76"/>
        <v>6588000</v>
      </c>
      <c r="AB92" s="741"/>
      <c r="AC92" s="741">
        <f t="shared" si="77"/>
        <v>0</v>
      </c>
      <c r="AD92" s="741">
        <f t="shared" si="90"/>
        <v>0</v>
      </c>
      <c r="AE92" s="741">
        <f t="shared" si="78"/>
        <v>6588000</v>
      </c>
      <c r="AF92" s="742">
        <f t="shared" si="79"/>
        <v>527040</v>
      </c>
      <c r="AG92" s="742">
        <f t="shared" si="80"/>
        <v>98820</v>
      </c>
      <c r="AH92" s="742">
        <f t="shared" si="81"/>
        <v>65880</v>
      </c>
      <c r="AI92" s="742"/>
      <c r="AJ92" s="742">
        <f t="shared" si="82"/>
        <v>691740</v>
      </c>
      <c r="AK92" s="986"/>
      <c r="AL92" s="744">
        <f t="shared" si="87"/>
        <v>0</v>
      </c>
      <c r="AM92" s="744"/>
      <c r="AN92" s="744"/>
      <c r="AO92" s="740"/>
      <c r="AP92" s="739"/>
      <c r="AQ92" s="758">
        <f t="shared" si="83"/>
        <v>0</v>
      </c>
      <c r="AR92" s="742">
        <f t="shared" si="84"/>
        <v>0</v>
      </c>
      <c r="AS92" s="742"/>
      <c r="AT92" s="742">
        <f t="shared" si="85"/>
        <v>5896260</v>
      </c>
      <c r="AU92" s="748">
        <f t="shared" si="86"/>
        <v>74</v>
      </c>
      <c r="AV92" s="749"/>
      <c r="AW92" s="52" t="s">
        <v>715</v>
      </c>
      <c r="AX92" s="29"/>
      <c r="AY92" s="29"/>
      <c r="AZ92" s="29"/>
      <c r="BA92" s="29"/>
      <c r="BB92" s="29"/>
      <c r="BC92" s="29"/>
      <c r="BD92" s="29"/>
      <c r="BE92" s="29"/>
      <c r="BF92" s="29"/>
      <c r="BG92" s="29"/>
    </row>
    <row r="93" spans="1:59" s="189" customFormat="1" ht="42" customHeight="1" x14ac:dyDescent="0.25">
      <c r="A93" s="168">
        <f>_xlfn.AGGREGATE(4,7,A$13:A92)+1</f>
        <v>75</v>
      </c>
      <c r="B93" s="168" t="str">
        <f>VLOOKUP(D93,[1]LuongBC_T01!$B$9:$C$292,2,FALSE)</f>
        <v>0016100006549009</v>
      </c>
      <c r="C93" s="371" t="s">
        <v>1047</v>
      </c>
      <c r="D93" s="230" t="s">
        <v>1211</v>
      </c>
      <c r="E93" s="263" t="s">
        <v>1107</v>
      </c>
      <c r="F93" s="231"/>
      <c r="G93" s="251" t="s">
        <v>25</v>
      </c>
      <c r="H93" s="231"/>
      <c r="I93" s="170" t="s">
        <v>284</v>
      </c>
      <c r="J93" s="231"/>
      <c r="K93" s="170" t="str">
        <f>VLOOKUP(D93,[2]T3!$B$2:$D$328,3,FALSE)</f>
        <v>025877702</v>
      </c>
      <c r="L93" s="226">
        <v>1603205360856</v>
      </c>
      <c r="M93" s="226" t="s">
        <v>1047</v>
      </c>
      <c r="N93" s="263" t="str">
        <f>VLOOKUP(D93,'[6]Bao cao So GDDT'!$D$14:$S$282,11,FALSE)</f>
        <v>Chuyên viên</v>
      </c>
      <c r="O93" s="393" t="s">
        <v>39</v>
      </c>
      <c r="P93" s="170" t="s">
        <v>697</v>
      </c>
      <c r="Q93" s="170">
        <v>1</v>
      </c>
      <c r="R93" s="177">
        <v>3.33</v>
      </c>
      <c r="S93" s="176">
        <f t="shared" si="88"/>
        <v>0</v>
      </c>
      <c r="T93" s="169"/>
      <c r="U93" s="176">
        <f t="shared" si="73"/>
        <v>0</v>
      </c>
      <c r="V93" s="175">
        <f t="shared" si="89"/>
        <v>0</v>
      </c>
      <c r="W93" s="170"/>
      <c r="X93" s="179">
        <f>VLOOKUP(D93,PCTN!D147:W414,20,FALSE)</f>
        <v>0</v>
      </c>
      <c r="Y93" s="216">
        <f t="shared" si="74"/>
        <v>0</v>
      </c>
      <c r="Z93" s="216">
        <f t="shared" si="75"/>
        <v>3.33</v>
      </c>
      <c r="AA93" s="180">
        <f t="shared" si="76"/>
        <v>5994000</v>
      </c>
      <c r="AB93" s="180"/>
      <c r="AC93" s="180">
        <f t="shared" si="77"/>
        <v>0</v>
      </c>
      <c r="AD93" s="180">
        <v>0</v>
      </c>
      <c r="AE93" s="180">
        <f t="shared" si="78"/>
        <v>5994000</v>
      </c>
      <c r="AF93" s="178">
        <f t="shared" si="79"/>
        <v>479520</v>
      </c>
      <c r="AG93" s="178">
        <f t="shared" si="80"/>
        <v>89910</v>
      </c>
      <c r="AH93" s="178">
        <f t="shared" si="81"/>
        <v>59940</v>
      </c>
      <c r="AI93" s="178"/>
      <c r="AJ93" s="178">
        <f t="shared" si="82"/>
        <v>629370</v>
      </c>
      <c r="AK93" s="192"/>
      <c r="AL93" s="182">
        <f t="shared" si="87"/>
        <v>0</v>
      </c>
      <c r="AM93" s="182"/>
      <c r="AN93" s="182"/>
      <c r="AO93" s="183">
        <f>R93+U93+W93</f>
        <v>3.33</v>
      </c>
      <c r="AP93" s="179"/>
      <c r="AQ93" s="194">
        <f t="shared" si="83"/>
        <v>0</v>
      </c>
      <c r="AR93" s="178">
        <f t="shared" si="84"/>
        <v>0</v>
      </c>
      <c r="AS93" s="178"/>
      <c r="AT93" s="178">
        <f t="shared" si="85"/>
        <v>5364630</v>
      </c>
      <c r="AU93" s="469">
        <f t="shared" si="86"/>
        <v>75</v>
      </c>
      <c r="AV93" s="195"/>
      <c r="AW93" s="239" t="s">
        <v>769</v>
      </c>
    </row>
    <row r="94" spans="1:59" s="189" customFormat="1" ht="42.75" customHeight="1" x14ac:dyDescent="0.25">
      <c r="A94" s="168">
        <f>_xlfn.AGGREGATE(4,7,A$13:A93)+1</f>
        <v>76</v>
      </c>
      <c r="B94" s="168" t="str">
        <f>VLOOKUP(D94,[1]LuongBC_T01!$B$9:$C$292,2,FALSE)</f>
        <v>0016100006576006</v>
      </c>
      <c r="C94" s="199" t="s">
        <v>932</v>
      </c>
      <c r="D94" s="169" t="s">
        <v>1212</v>
      </c>
      <c r="E94" s="263" t="s">
        <v>1107</v>
      </c>
      <c r="F94" s="169" t="s">
        <v>549</v>
      </c>
      <c r="G94" s="170" t="s">
        <v>25</v>
      </c>
      <c r="H94" s="170"/>
      <c r="I94" s="170" t="s">
        <v>284</v>
      </c>
      <c r="J94" s="169" t="s">
        <v>275</v>
      </c>
      <c r="K94" s="170" t="str">
        <f>VLOOKUP(D94,[2]T3!$B$2:$D$328,3,FALSE)</f>
        <v>023681257</v>
      </c>
      <c r="L94" s="171" t="s">
        <v>128</v>
      </c>
      <c r="M94" s="171" t="s">
        <v>932</v>
      </c>
      <c r="N94" s="263" t="s">
        <v>1603</v>
      </c>
      <c r="O94" s="391" t="s">
        <v>39</v>
      </c>
      <c r="P94" s="222" t="s">
        <v>698</v>
      </c>
      <c r="Q94" s="172">
        <v>6</v>
      </c>
      <c r="R94" s="174">
        <v>3.66</v>
      </c>
      <c r="S94" s="176">
        <f t="shared" si="88"/>
        <v>0</v>
      </c>
      <c r="T94" s="370"/>
      <c r="U94" s="176">
        <f t="shared" si="73"/>
        <v>0</v>
      </c>
      <c r="V94" s="175">
        <f t="shared" si="89"/>
        <v>0</v>
      </c>
      <c r="W94" s="170"/>
      <c r="X94" s="179">
        <f>VLOOKUP(D94,PCTN!D152:W419,20,FALSE)</f>
        <v>0</v>
      </c>
      <c r="Y94" s="216">
        <f t="shared" si="74"/>
        <v>0</v>
      </c>
      <c r="Z94" s="216">
        <f t="shared" si="75"/>
        <v>3.66</v>
      </c>
      <c r="AA94" s="180">
        <f t="shared" si="76"/>
        <v>6588000</v>
      </c>
      <c r="AB94" s="180"/>
      <c r="AC94" s="180">
        <f t="shared" si="77"/>
        <v>0</v>
      </c>
      <c r="AD94" s="180">
        <f t="shared" si="90"/>
        <v>0</v>
      </c>
      <c r="AE94" s="180">
        <f t="shared" si="78"/>
        <v>6588000</v>
      </c>
      <c r="AF94" s="178">
        <f t="shared" si="79"/>
        <v>527040</v>
      </c>
      <c r="AG94" s="178">
        <f t="shared" si="80"/>
        <v>98820</v>
      </c>
      <c r="AH94" s="178">
        <f t="shared" si="81"/>
        <v>65880</v>
      </c>
      <c r="AI94" s="178"/>
      <c r="AJ94" s="178">
        <f t="shared" si="82"/>
        <v>691740</v>
      </c>
      <c r="AK94" s="192"/>
      <c r="AL94" s="182">
        <f t="shared" ref="AL94:AL104" si="91">AK94*$D$8</f>
        <v>0</v>
      </c>
      <c r="AM94" s="182"/>
      <c r="AN94" s="182"/>
      <c r="AO94" s="193"/>
      <c r="AP94" s="179"/>
      <c r="AQ94" s="194">
        <f t="shared" si="83"/>
        <v>0</v>
      </c>
      <c r="AR94" s="178">
        <f t="shared" si="84"/>
        <v>0</v>
      </c>
      <c r="AS94" s="178"/>
      <c r="AT94" s="178">
        <f t="shared" si="85"/>
        <v>5896260</v>
      </c>
      <c r="AU94" s="469">
        <f t="shared" si="86"/>
        <v>76</v>
      </c>
      <c r="AV94" s="195"/>
      <c r="AW94" s="658" t="s">
        <v>1128</v>
      </c>
    </row>
    <row r="95" spans="1:59" s="189" customFormat="1" ht="42.75" customHeight="1" x14ac:dyDescent="0.25">
      <c r="A95" s="168">
        <f>_xlfn.AGGREGATE(4,7,A$13:A94)+1</f>
        <v>77</v>
      </c>
      <c r="B95" s="168"/>
      <c r="C95" s="199"/>
      <c r="D95" s="875" t="s">
        <v>1618</v>
      </c>
      <c r="E95" s="263" t="s">
        <v>1647</v>
      </c>
      <c r="F95" s="169"/>
      <c r="G95" s="170"/>
      <c r="H95" s="170"/>
      <c r="I95" s="170"/>
      <c r="J95" s="169"/>
      <c r="K95" s="170"/>
      <c r="L95" s="171"/>
      <c r="M95" s="171"/>
      <c r="N95" s="263"/>
      <c r="O95" s="391" t="s">
        <v>39</v>
      </c>
      <c r="P95" s="222"/>
      <c r="Q95" s="172"/>
      <c r="R95" s="174">
        <v>3.66</v>
      </c>
      <c r="S95" s="176"/>
      <c r="T95" s="370"/>
      <c r="U95" s="176">
        <f t="shared" si="73"/>
        <v>0</v>
      </c>
      <c r="V95" s="175">
        <f t="shared" si="89"/>
        <v>0</v>
      </c>
      <c r="W95" s="170"/>
      <c r="X95" s="179"/>
      <c r="Y95" s="216">
        <f t="shared" si="74"/>
        <v>0</v>
      </c>
      <c r="Z95" s="216">
        <f t="shared" si="75"/>
        <v>3.66</v>
      </c>
      <c r="AA95" s="180">
        <f t="shared" si="76"/>
        <v>6588000</v>
      </c>
      <c r="AB95" s="180"/>
      <c r="AC95" s="180">
        <f t="shared" si="77"/>
        <v>0</v>
      </c>
      <c r="AD95" s="180">
        <f t="shared" si="90"/>
        <v>0</v>
      </c>
      <c r="AE95" s="180">
        <f t="shared" si="78"/>
        <v>6588000</v>
      </c>
      <c r="AF95" s="178">
        <f t="shared" si="79"/>
        <v>527040</v>
      </c>
      <c r="AG95" s="178">
        <f t="shared" si="80"/>
        <v>98820</v>
      </c>
      <c r="AH95" s="178">
        <f t="shared" si="81"/>
        <v>65880</v>
      </c>
      <c r="AI95" s="178"/>
      <c r="AJ95" s="178">
        <f t="shared" si="82"/>
        <v>691740</v>
      </c>
      <c r="AK95" s="192"/>
      <c r="AL95" s="182">
        <f t="shared" si="91"/>
        <v>0</v>
      </c>
      <c r="AM95" s="182"/>
      <c r="AN95" s="182"/>
      <c r="AO95" s="193"/>
      <c r="AP95" s="179"/>
      <c r="AQ95" s="194">
        <f t="shared" si="83"/>
        <v>0</v>
      </c>
      <c r="AR95" s="178">
        <f t="shared" si="84"/>
        <v>0</v>
      </c>
      <c r="AS95" s="178"/>
      <c r="AT95" s="178">
        <f t="shared" si="85"/>
        <v>5896260</v>
      </c>
      <c r="AU95" s="469">
        <f t="shared" si="86"/>
        <v>77</v>
      </c>
      <c r="AV95" s="195"/>
      <c r="AW95" s="195" t="s">
        <v>1619</v>
      </c>
    </row>
    <row r="96" spans="1:59" s="189" customFormat="1" ht="42" customHeight="1" x14ac:dyDescent="0.25">
      <c r="A96" s="726">
        <f>_xlfn.AGGREGATE(4,7,A$13:A95)+1</f>
        <v>78</v>
      </c>
      <c r="B96" s="726" t="str">
        <f>VLOOKUP(D96,[1]LuongBC_T01!$B$9:$C$292,2,FALSE)</f>
        <v>0016100006771003</v>
      </c>
      <c r="C96" s="932" t="s">
        <v>1048</v>
      </c>
      <c r="D96" s="728" t="s">
        <v>1105</v>
      </c>
      <c r="E96" s="729" t="s">
        <v>1107</v>
      </c>
      <c r="F96" s="728" t="s">
        <v>549</v>
      </c>
      <c r="G96" s="730" t="s">
        <v>25</v>
      </c>
      <c r="H96" s="730"/>
      <c r="I96" s="730" t="s">
        <v>284</v>
      </c>
      <c r="J96" s="728" t="s">
        <v>266</v>
      </c>
      <c r="K96" s="726" t="s">
        <v>1493</v>
      </c>
      <c r="L96" s="731" t="s">
        <v>161</v>
      </c>
      <c r="M96" s="731" t="s">
        <v>1048</v>
      </c>
      <c r="N96" s="729" t="str">
        <f>VLOOKUP(D96,'[6]Bao cao So GDDT'!$D$14:$S$282,11,FALSE)</f>
        <v>Kế toán viên</v>
      </c>
      <c r="O96" s="988" t="s">
        <v>38</v>
      </c>
      <c r="P96" s="730" t="s">
        <v>692</v>
      </c>
      <c r="Q96" s="733">
        <v>3</v>
      </c>
      <c r="R96" s="735">
        <v>3.99</v>
      </c>
      <c r="S96" s="736">
        <f t="shared" si="88"/>
        <v>0</v>
      </c>
      <c r="T96" s="737"/>
      <c r="U96" s="736">
        <f t="shared" si="73"/>
        <v>0</v>
      </c>
      <c r="V96" s="738">
        <f t="shared" si="89"/>
        <v>0</v>
      </c>
      <c r="W96" s="730"/>
      <c r="X96" s="739">
        <f>VLOOKUP(D96,PCTN!D159:W426,20,FALSE)</f>
        <v>0</v>
      </c>
      <c r="Y96" s="740">
        <f t="shared" si="74"/>
        <v>0</v>
      </c>
      <c r="Z96" s="740">
        <f t="shared" si="75"/>
        <v>3.99</v>
      </c>
      <c r="AA96" s="741">
        <f t="shared" si="76"/>
        <v>7182000</v>
      </c>
      <c r="AB96" s="741"/>
      <c r="AC96" s="741">
        <f t="shared" si="77"/>
        <v>0</v>
      </c>
      <c r="AD96" s="741">
        <f t="shared" si="90"/>
        <v>0</v>
      </c>
      <c r="AE96" s="741">
        <f t="shared" si="78"/>
        <v>7182000</v>
      </c>
      <c r="AF96" s="742">
        <f t="shared" si="79"/>
        <v>574560</v>
      </c>
      <c r="AG96" s="742">
        <f t="shared" si="80"/>
        <v>107730</v>
      </c>
      <c r="AH96" s="742">
        <f t="shared" si="81"/>
        <v>71820</v>
      </c>
      <c r="AI96" s="742"/>
      <c r="AJ96" s="742">
        <f t="shared" si="82"/>
        <v>754110</v>
      </c>
      <c r="AK96" s="743"/>
      <c r="AL96" s="744">
        <f t="shared" si="91"/>
        <v>0</v>
      </c>
      <c r="AM96" s="744"/>
      <c r="AN96" s="744"/>
      <c r="AO96" s="756">
        <f>R96+U96+W96</f>
        <v>3.99</v>
      </c>
      <c r="AP96" s="739"/>
      <c r="AQ96" s="758">
        <f t="shared" si="83"/>
        <v>0</v>
      </c>
      <c r="AR96" s="742">
        <f t="shared" si="84"/>
        <v>0</v>
      </c>
      <c r="AS96" s="742"/>
      <c r="AT96" s="742">
        <f t="shared" si="85"/>
        <v>6427890</v>
      </c>
      <c r="AU96" s="748">
        <f t="shared" si="86"/>
        <v>78</v>
      </c>
      <c r="AV96" s="981"/>
      <c r="AW96" s="244" t="s">
        <v>1276</v>
      </c>
      <c r="AX96" s="29"/>
      <c r="AY96" s="29"/>
      <c r="AZ96" s="29"/>
      <c r="BA96" s="29"/>
      <c r="BB96" s="29"/>
      <c r="BC96" s="29"/>
      <c r="BD96" s="29"/>
      <c r="BE96" s="29"/>
      <c r="BF96" s="29"/>
      <c r="BG96" s="29"/>
    </row>
    <row r="97" spans="1:59" s="189" customFormat="1" ht="42.75" customHeight="1" x14ac:dyDescent="0.25">
      <c r="A97" s="168">
        <f>_xlfn.AGGREGATE(4,7,A$13:A96)+1</f>
        <v>79</v>
      </c>
      <c r="B97" s="168" t="str">
        <f>VLOOKUP(D97,[1]LuongBC_T01!$B$9:$C$292,2,FALSE)</f>
        <v>0016100006663006</v>
      </c>
      <c r="C97" s="199" t="s">
        <v>952</v>
      </c>
      <c r="D97" s="169" t="s">
        <v>755</v>
      </c>
      <c r="E97" s="263" t="s">
        <v>1107</v>
      </c>
      <c r="F97" s="169"/>
      <c r="G97" s="170" t="s">
        <v>25</v>
      </c>
      <c r="H97" s="170"/>
      <c r="I97" s="170"/>
      <c r="J97" s="169"/>
      <c r="K97" s="170" t="str">
        <f>VLOOKUP(D97,[2]T3!$B$2:$D$328,3,FALSE)</f>
        <v>024419690</v>
      </c>
      <c r="L97" s="226" t="s">
        <v>765</v>
      </c>
      <c r="M97" s="226" t="s">
        <v>952</v>
      </c>
      <c r="N97" s="263" t="str">
        <f>VLOOKUP(D97,'[6]Bao cao So GDDT'!$D$14:$S$282,11,FALSE)</f>
        <v>Kỹ thuật viên (hạng IV)</v>
      </c>
      <c r="O97" s="390" t="s">
        <v>1118</v>
      </c>
      <c r="P97" s="222" t="s">
        <v>698</v>
      </c>
      <c r="Q97" s="172">
        <v>3</v>
      </c>
      <c r="R97" s="174">
        <v>3.46</v>
      </c>
      <c r="S97" s="176">
        <f t="shared" si="88"/>
        <v>0</v>
      </c>
      <c r="T97" s="370"/>
      <c r="U97" s="176">
        <f t="shared" si="73"/>
        <v>0</v>
      </c>
      <c r="V97" s="175">
        <f t="shared" si="89"/>
        <v>0</v>
      </c>
      <c r="W97" s="170"/>
      <c r="X97" s="179">
        <f>VLOOKUP(D97,PCTN!D166:W433,20,FALSE)</f>
        <v>0</v>
      </c>
      <c r="Y97" s="216">
        <f t="shared" si="74"/>
        <v>0</v>
      </c>
      <c r="Z97" s="216">
        <f t="shared" si="75"/>
        <v>3.46</v>
      </c>
      <c r="AA97" s="180">
        <f t="shared" si="76"/>
        <v>6228000</v>
      </c>
      <c r="AB97" s="180"/>
      <c r="AC97" s="180">
        <f t="shared" si="77"/>
        <v>0</v>
      </c>
      <c r="AD97" s="180">
        <f t="shared" si="90"/>
        <v>0</v>
      </c>
      <c r="AE97" s="180">
        <f t="shared" si="78"/>
        <v>6228000</v>
      </c>
      <c r="AF97" s="178">
        <f t="shared" si="79"/>
        <v>498240</v>
      </c>
      <c r="AG97" s="178">
        <f t="shared" si="80"/>
        <v>93420</v>
      </c>
      <c r="AH97" s="178">
        <f t="shared" si="81"/>
        <v>62280</v>
      </c>
      <c r="AI97" s="178"/>
      <c r="AJ97" s="178">
        <f t="shared" si="82"/>
        <v>653940</v>
      </c>
      <c r="AK97" s="181"/>
      <c r="AL97" s="182">
        <f t="shared" si="91"/>
        <v>0</v>
      </c>
      <c r="AM97" s="182"/>
      <c r="AN97" s="182"/>
      <c r="AO97" s="193"/>
      <c r="AP97" s="179"/>
      <c r="AQ97" s="194">
        <f t="shared" si="83"/>
        <v>0</v>
      </c>
      <c r="AR97" s="178">
        <f t="shared" si="84"/>
        <v>0</v>
      </c>
      <c r="AS97" s="178"/>
      <c r="AT97" s="178">
        <f t="shared" si="85"/>
        <v>5574060</v>
      </c>
      <c r="AU97" s="469">
        <f t="shared" si="86"/>
        <v>79</v>
      </c>
      <c r="AV97" s="244"/>
      <c r="AW97" s="223" t="e">
        <f>#REF!*2</f>
        <v>#REF!</v>
      </c>
    </row>
    <row r="98" spans="1:59" s="189" customFormat="1" ht="36" customHeight="1" x14ac:dyDescent="0.25">
      <c r="A98" s="168">
        <f>_xlfn.AGGREGATE(4,7,A$13:A97)+1</f>
        <v>80</v>
      </c>
      <c r="B98" s="168" t="str">
        <f>VLOOKUP(D98,[1]LuongBC_T01!$B$9:$C$292,2,FALSE)</f>
        <v>0016100006690003</v>
      </c>
      <c r="C98" s="371" t="s">
        <v>1039</v>
      </c>
      <c r="D98" s="169" t="s">
        <v>651</v>
      </c>
      <c r="E98" s="263" t="s">
        <v>1106</v>
      </c>
      <c r="F98" s="169" t="s">
        <v>553</v>
      </c>
      <c r="G98" s="169"/>
      <c r="H98" s="169"/>
      <c r="I98" s="169" t="s">
        <v>284</v>
      </c>
      <c r="J98" s="169"/>
      <c r="K98" s="170" t="str">
        <f>VLOOKUP(D98,[2]T3!$B$2:$D$328,3,FALSE)</f>
        <v>025211587</v>
      </c>
      <c r="L98" s="213" t="s">
        <v>661</v>
      </c>
      <c r="M98" s="213" t="s">
        <v>1039</v>
      </c>
      <c r="N98" s="263" t="str">
        <f>VLOOKUP(D98,'[6]Bao cao So GDDT'!$D$14:$S$282,11,FALSE)</f>
        <v>Chuyên viên</v>
      </c>
      <c r="O98" s="393" t="s">
        <v>39</v>
      </c>
      <c r="P98" s="170" t="s">
        <v>692</v>
      </c>
      <c r="Q98" s="170">
        <v>2</v>
      </c>
      <c r="R98" s="192">
        <v>3.66</v>
      </c>
      <c r="S98" s="176">
        <f t="shared" si="88"/>
        <v>0</v>
      </c>
      <c r="T98" s="178"/>
      <c r="U98" s="176">
        <f t="shared" si="73"/>
        <v>0</v>
      </c>
      <c r="V98" s="175">
        <f t="shared" si="89"/>
        <v>0</v>
      </c>
      <c r="W98" s="178"/>
      <c r="X98" s="179">
        <f>VLOOKUP(D98,PCTN!D137:W404,20,FALSE)</f>
        <v>0</v>
      </c>
      <c r="Y98" s="216">
        <f t="shared" si="74"/>
        <v>0</v>
      </c>
      <c r="Z98" s="216">
        <f t="shared" si="75"/>
        <v>3.66</v>
      </c>
      <c r="AA98" s="180">
        <f t="shared" si="76"/>
        <v>6588000</v>
      </c>
      <c r="AB98" s="180"/>
      <c r="AC98" s="180">
        <f t="shared" si="77"/>
        <v>0</v>
      </c>
      <c r="AD98" s="180">
        <v>0</v>
      </c>
      <c r="AE98" s="180">
        <f t="shared" si="78"/>
        <v>6588000</v>
      </c>
      <c r="AF98" s="178">
        <f t="shared" si="79"/>
        <v>527040</v>
      </c>
      <c r="AG98" s="178">
        <f t="shared" si="80"/>
        <v>98820</v>
      </c>
      <c r="AH98" s="178">
        <f t="shared" si="81"/>
        <v>65880</v>
      </c>
      <c r="AI98" s="178"/>
      <c r="AJ98" s="178">
        <f t="shared" si="82"/>
        <v>691740</v>
      </c>
      <c r="AK98" s="215"/>
      <c r="AL98" s="182">
        <f t="shared" si="91"/>
        <v>0</v>
      </c>
      <c r="AM98" s="182"/>
      <c r="AN98" s="182"/>
      <c r="AO98" s="216"/>
      <c r="AP98" s="179"/>
      <c r="AQ98" s="194">
        <f t="shared" si="83"/>
        <v>0</v>
      </c>
      <c r="AR98" s="178">
        <f t="shared" si="84"/>
        <v>0</v>
      </c>
      <c r="AS98" s="178"/>
      <c r="AT98" s="178">
        <f t="shared" si="85"/>
        <v>5896260</v>
      </c>
      <c r="AU98" s="469">
        <f t="shared" si="86"/>
        <v>80</v>
      </c>
      <c r="AV98" s="221"/>
      <c r="AW98" s="242" t="s">
        <v>715</v>
      </c>
    </row>
    <row r="99" spans="1:59" s="189" customFormat="1" ht="44.25" customHeight="1" x14ac:dyDescent="0.25">
      <c r="A99" s="168">
        <f>_xlfn.AGGREGATE(4,7,A$13:A98)+1</f>
        <v>81</v>
      </c>
      <c r="B99" s="168" t="str">
        <f>VLOOKUP(D99,[1]LuongBC_T01!$B$9:$C$292,2,FALSE)</f>
        <v>0016100006505001</v>
      </c>
      <c r="C99" s="371" t="s">
        <v>930</v>
      </c>
      <c r="D99" s="169" t="s">
        <v>1210</v>
      </c>
      <c r="E99" s="263" t="s">
        <v>1553</v>
      </c>
      <c r="F99" s="169" t="s">
        <v>551</v>
      </c>
      <c r="G99" s="170"/>
      <c r="H99" s="170"/>
      <c r="I99" s="170" t="s">
        <v>284</v>
      </c>
      <c r="J99" s="169" t="s">
        <v>271</v>
      </c>
      <c r="K99" s="170" t="str">
        <f>VLOOKUP(D99,[2]T3!$B$2:$D$328,3,FALSE)</f>
        <v>024783702</v>
      </c>
      <c r="L99" s="171" t="s">
        <v>154</v>
      </c>
      <c r="M99" s="171" t="s">
        <v>930</v>
      </c>
      <c r="N99" s="263" t="str">
        <f>VLOOKUP(D99,'[6]Bao cao So GDDT'!$D$14:$S$282,11,FALSE)</f>
        <v>Cán sự</v>
      </c>
      <c r="O99" s="393" t="s">
        <v>43</v>
      </c>
      <c r="P99" s="222" t="s">
        <v>697</v>
      </c>
      <c r="Q99" s="172">
        <v>3</v>
      </c>
      <c r="R99" s="174">
        <v>3.65</v>
      </c>
      <c r="S99" s="176">
        <f t="shared" si="88"/>
        <v>0.25</v>
      </c>
      <c r="T99" s="370"/>
      <c r="U99" s="176">
        <f t="shared" si="73"/>
        <v>0</v>
      </c>
      <c r="V99" s="175">
        <f t="shared" si="89"/>
        <v>0</v>
      </c>
      <c r="W99" s="170">
        <v>0.25</v>
      </c>
      <c r="X99" s="179">
        <f>VLOOKUP(D99,PCTN!D131:W398,20,FALSE)</f>
        <v>0</v>
      </c>
      <c r="Y99" s="216">
        <f t="shared" si="74"/>
        <v>0</v>
      </c>
      <c r="Z99" s="216">
        <f t="shared" si="75"/>
        <v>3.9</v>
      </c>
      <c r="AA99" s="180">
        <f t="shared" si="76"/>
        <v>7020000</v>
      </c>
      <c r="AB99" s="180"/>
      <c r="AC99" s="180">
        <f t="shared" si="77"/>
        <v>0</v>
      </c>
      <c r="AD99" s="180">
        <f>AA99/24*AB99*75%</f>
        <v>0</v>
      </c>
      <c r="AE99" s="180">
        <f t="shared" si="78"/>
        <v>7020000</v>
      </c>
      <c r="AF99" s="178">
        <f t="shared" si="79"/>
        <v>561600</v>
      </c>
      <c r="AG99" s="178">
        <f t="shared" si="80"/>
        <v>105300</v>
      </c>
      <c r="AH99" s="178">
        <f t="shared" si="81"/>
        <v>70200</v>
      </c>
      <c r="AI99" s="178"/>
      <c r="AJ99" s="178">
        <f t="shared" si="82"/>
        <v>737100</v>
      </c>
      <c r="AK99" s="192"/>
      <c r="AL99" s="182">
        <f t="shared" si="91"/>
        <v>0</v>
      </c>
      <c r="AM99" s="182"/>
      <c r="AN99" s="182"/>
      <c r="AO99" s="193">
        <f>R99+U99+W99</f>
        <v>3.9</v>
      </c>
      <c r="AP99" s="179"/>
      <c r="AQ99" s="194">
        <f t="shared" si="83"/>
        <v>0</v>
      </c>
      <c r="AR99" s="178">
        <f t="shared" si="84"/>
        <v>0</v>
      </c>
      <c r="AS99" s="178"/>
      <c r="AT99" s="178">
        <f t="shared" si="85"/>
        <v>6282900</v>
      </c>
      <c r="AU99" s="469">
        <f t="shared" si="86"/>
        <v>81</v>
      </c>
      <c r="AV99" s="195"/>
      <c r="AW99" s="224"/>
    </row>
    <row r="100" spans="1:59" s="189" customFormat="1" ht="32.25" customHeight="1" x14ac:dyDescent="0.25">
      <c r="A100" s="168">
        <f>_xlfn.AGGREGATE(4,7,A$13:A99)+1</f>
        <v>82</v>
      </c>
      <c r="B100" s="168" t="str">
        <f>VLOOKUP(D100,[1]LuongBC_T01!$B$9:$C$292,2,FALSE)</f>
        <v>0016100006493003</v>
      </c>
      <c r="C100" s="371" t="s">
        <v>1045</v>
      </c>
      <c r="D100" s="230" t="s">
        <v>778</v>
      </c>
      <c r="E100" s="263" t="s">
        <v>1106</v>
      </c>
      <c r="F100" s="231"/>
      <c r="G100" s="231"/>
      <c r="H100" s="231"/>
      <c r="I100" s="231" t="s">
        <v>284</v>
      </c>
      <c r="J100" s="231"/>
      <c r="K100" s="170" t="str">
        <f>VLOOKUP(D100,[2]T3!$B$2:$D$328,3,FALSE)</f>
        <v>024698782</v>
      </c>
      <c r="L100" s="226">
        <v>1603205348129</v>
      </c>
      <c r="M100" s="226" t="s">
        <v>1045</v>
      </c>
      <c r="N100" s="263" t="str">
        <f>VLOOKUP(D100,'[6]Bao cao So GDDT'!$D$14:$S$282,11,FALSE)</f>
        <v>Cán sự</v>
      </c>
      <c r="O100" s="393" t="s">
        <v>43</v>
      </c>
      <c r="P100" s="170" t="s">
        <v>697</v>
      </c>
      <c r="Q100" s="170">
        <v>1</v>
      </c>
      <c r="R100" s="177">
        <v>3.34</v>
      </c>
      <c r="S100" s="176">
        <f t="shared" si="88"/>
        <v>0</v>
      </c>
      <c r="T100" s="169"/>
      <c r="U100" s="176">
        <f t="shared" si="73"/>
        <v>0</v>
      </c>
      <c r="V100" s="175">
        <f t="shared" si="89"/>
        <v>0</v>
      </c>
      <c r="W100" s="170"/>
      <c r="X100" s="179">
        <f>VLOOKUP(D100,PCTN!D145:W412,20,FALSE)</f>
        <v>0</v>
      </c>
      <c r="Y100" s="216">
        <f t="shared" si="74"/>
        <v>0</v>
      </c>
      <c r="Z100" s="216">
        <f t="shared" si="75"/>
        <v>3.34</v>
      </c>
      <c r="AA100" s="180">
        <f t="shared" si="76"/>
        <v>6012000</v>
      </c>
      <c r="AB100" s="180"/>
      <c r="AC100" s="180">
        <f t="shared" si="77"/>
        <v>0</v>
      </c>
      <c r="AD100" s="180">
        <v>0</v>
      </c>
      <c r="AE100" s="180">
        <f t="shared" si="78"/>
        <v>6012000</v>
      </c>
      <c r="AF100" s="178">
        <f t="shared" si="79"/>
        <v>480960</v>
      </c>
      <c r="AG100" s="178">
        <f t="shared" si="80"/>
        <v>90180</v>
      </c>
      <c r="AH100" s="178">
        <f t="shared" si="81"/>
        <v>60120</v>
      </c>
      <c r="AI100" s="178"/>
      <c r="AJ100" s="178">
        <f t="shared" si="82"/>
        <v>631260</v>
      </c>
      <c r="AK100" s="192"/>
      <c r="AL100" s="182">
        <f t="shared" si="91"/>
        <v>0</v>
      </c>
      <c r="AM100" s="182"/>
      <c r="AN100" s="182"/>
      <c r="AO100" s="183"/>
      <c r="AP100" s="179"/>
      <c r="AQ100" s="194">
        <f t="shared" si="83"/>
        <v>0</v>
      </c>
      <c r="AR100" s="178">
        <f t="shared" si="84"/>
        <v>0</v>
      </c>
      <c r="AS100" s="178"/>
      <c r="AT100" s="178">
        <f t="shared" si="85"/>
        <v>5380740</v>
      </c>
      <c r="AU100" s="469">
        <f t="shared" si="86"/>
        <v>82</v>
      </c>
      <c r="AV100" s="195"/>
      <c r="AW100" s="248"/>
    </row>
    <row r="101" spans="1:59" s="189" customFormat="1" ht="31.5" customHeight="1" x14ac:dyDescent="0.25">
      <c r="A101" s="168">
        <f>_xlfn.AGGREGATE(4,7,A$13:A100)+1</f>
        <v>83</v>
      </c>
      <c r="B101" s="168" t="str">
        <f>VLOOKUP(D101,[1]LuongBC_T01!$B$9:$C$292,2,FALSE)</f>
        <v>0016100006678003</v>
      </c>
      <c r="C101" s="864" t="s">
        <v>1046</v>
      </c>
      <c r="D101" s="230" t="s">
        <v>779</v>
      </c>
      <c r="E101" s="263" t="s">
        <v>1106</v>
      </c>
      <c r="F101" s="231"/>
      <c r="G101" s="231"/>
      <c r="H101" s="231"/>
      <c r="I101" s="231" t="s">
        <v>284</v>
      </c>
      <c r="J101" s="231"/>
      <c r="K101" s="170" t="str">
        <f>VLOOKUP(D101,[2]T3!$B$2:$D$328,3,FALSE)</f>
        <v>024647632</v>
      </c>
      <c r="L101" s="226">
        <v>1603205357238</v>
      </c>
      <c r="M101" s="226" t="s">
        <v>1046</v>
      </c>
      <c r="N101" s="829" t="str">
        <f>VLOOKUP(D101,'[6]Bao cao So GDDT'!$D$14:$S$282,11,FALSE)</f>
        <v>Cán sự</v>
      </c>
      <c r="O101" s="393" t="s">
        <v>43</v>
      </c>
      <c r="P101" s="170" t="s">
        <v>697</v>
      </c>
      <c r="Q101" s="170">
        <v>1</v>
      </c>
      <c r="R101" s="177">
        <v>3.03</v>
      </c>
      <c r="S101" s="176">
        <f t="shared" si="88"/>
        <v>0</v>
      </c>
      <c r="T101" s="169"/>
      <c r="U101" s="176">
        <f t="shared" si="73"/>
        <v>0</v>
      </c>
      <c r="V101" s="175">
        <f t="shared" si="89"/>
        <v>0</v>
      </c>
      <c r="W101" s="170"/>
      <c r="X101" s="179">
        <f>VLOOKUP(D101,PCTN!D146:W413,20,FALSE)</f>
        <v>0</v>
      </c>
      <c r="Y101" s="216">
        <f t="shared" si="74"/>
        <v>0</v>
      </c>
      <c r="Z101" s="216">
        <f t="shared" si="75"/>
        <v>3.03</v>
      </c>
      <c r="AA101" s="180">
        <f t="shared" si="76"/>
        <v>5454000</v>
      </c>
      <c r="AB101" s="180"/>
      <c r="AC101" s="180">
        <f t="shared" si="77"/>
        <v>0</v>
      </c>
      <c r="AD101" s="180">
        <v>0</v>
      </c>
      <c r="AE101" s="180">
        <f t="shared" si="78"/>
        <v>5454000</v>
      </c>
      <c r="AF101" s="178">
        <f t="shared" si="79"/>
        <v>436320</v>
      </c>
      <c r="AG101" s="178">
        <f t="shared" si="80"/>
        <v>81810</v>
      </c>
      <c r="AH101" s="178">
        <f t="shared" si="81"/>
        <v>54540</v>
      </c>
      <c r="AI101" s="178"/>
      <c r="AJ101" s="178">
        <f t="shared" si="82"/>
        <v>572670</v>
      </c>
      <c r="AK101" s="192"/>
      <c r="AL101" s="182">
        <f t="shared" si="91"/>
        <v>0</v>
      </c>
      <c r="AM101" s="182"/>
      <c r="AN101" s="182"/>
      <c r="AO101" s="183"/>
      <c r="AP101" s="179"/>
      <c r="AQ101" s="194">
        <f t="shared" si="83"/>
        <v>0</v>
      </c>
      <c r="AR101" s="178">
        <f t="shared" si="84"/>
        <v>0</v>
      </c>
      <c r="AS101" s="178"/>
      <c r="AT101" s="178">
        <f t="shared" si="85"/>
        <v>4881330</v>
      </c>
      <c r="AU101" s="469">
        <f t="shared" si="86"/>
        <v>83</v>
      </c>
      <c r="AV101" s="195"/>
      <c r="AW101" s="248"/>
      <c r="AX101" s="29"/>
      <c r="AY101" s="29"/>
      <c r="AZ101" s="29"/>
      <c r="BA101" s="29"/>
      <c r="BB101" s="29"/>
      <c r="BC101" s="29"/>
      <c r="BD101" s="29"/>
      <c r="BE101" s="29"/>
      <c r="BF101" s="29"/>
      <c r="BG101" s="29"/>
    </row>
    <row r="102" spans="1:59" s="189" customFormat="1" ht="38.25" customHeight="1" x14ac:dyDescent="0.25">
      <c r="A102" s="168">
        <f>_xlfn.AGGREGATE(4,7,A$13:A101)+1</f>
        <v>84</v>
      </c>
      <c r="B102" s="168" t="str">
        <f>VLOOKUP(D102,[1]LuongBC_T01!$B$9:$C$292,2,FALSE)</f>
        <v>0016100006679007</v>
      </c>
      <c r="C102" s="371" t="s">
        <v>1035</v>
      </c>
      <c r="D102" s="230" t="s">
        <v>785</v>
      </c>
      <c r="E102" s="263" t="s">
        <v>1462</v>
      </c>
      <c r="F102" s="231"/>
      <c r="G102" s="251"/>
      <c r="H102" s="251"/>
      <c r="I102" s="170" t="s">
        <v>284</v>
      </c>
      <c r="J102" s="231"/>
      <c r="K102" s="170" t="str">
        <f>VLOOKUP(D102,[2]T3!$B$2:$D$328,3,FALSE)</f>
        <v>079086004027</v>
      </c>
      <c r="L102" s="226">
        <v>1603205302590</v>
      </c>
      <c r="M102" s="226" t="s">
        <v>1035</v>
      </c>
      <c r="N102" s="263" t="str">
        <f>VLOOKUP(D102,'[6]Bao cao So GDDT'!$D$14:$S$282,11,FALSE)</f>
        <v>Cán sự</v>
      </c>
      <c r="O102" s="393" t="s">
        <v>43</v>
      </c>
      <c r="P102" s="222" t="s">
        <v>697</v>
      </c>
      <c r="Q102" s="172">
        <v>2</v>
      </c>
      <c r="R102" s="174">
        <v>3.34</v>
      </c>
      <c r="S102" s="176">
        <f t="shared" si="88"/>
        <v>0</v>
      </c>
      <c r="T102" s="370"/>
      <c r="U102" s="176">
        <f t="shared" si="73"/>
        <v>0</v>
      </c>
      <c r="V102" s="175">
        <f t="shared" si="89"/>
        <v>0</v>
      </c>
      <c r="W102" s="170">
        <v>0</v>
      </c>
      <c r="X102" s="179">
        <f>VLOOKUP(D102,PCTN!D132:W399,20,FALSE)</f>
        <v>0</v>
      </c>
      <c r="Y102" s="216">
        <f t="shared" si="74"/>
        <v>0</v>
      </c>
      <c r="Z102" s="216">
        <f t="shared" si="75"/>
        <v>3.34</v>
      </c>
      <c r="AA102" s="180">
        <f t="shared" si="76"/>
        <v>6012000</v>
      </c>
      <c r="AB102" s="180"/>
      <c r="AC102" s="180">
        <f t="shared" si="77"/>
        <v>0</v>
      </c>
      <c r="AD102" s="180">
        <f>AA102/24*AB102*75%</f>
        <v>0</v>
      </c>
      <c r="AE102" s="180">
        <f t="shared" si="78"/>
        <v>6012000</v>
      </c>
      <c r="AF102" s="178">
        <f t="shared" si="79"/>
        <v>480960</v>
      </c>
      <c r="AG102" s="178">
        <f t="shared" si="80"/>
        <v>90180</v>
      </c>
      <c r="AH102" s="178">
        <f t="shared" si="81"/>
        <v>60120</v>
      </c>
      <c r="AI102" s="178"/>
      <c r="AJ102" s="178">
        <f t="shared" si="82"/>
        <v>631260</v>
      </c>
      <c r="AK102" s="192"/>
      <c r="AL102" s="182">
        <f t="shared" si="91"/>
        <v>0</v>
      </c>
      <c r="AM102" s="182"/>
      <c r="AN102" s="182"/>
      <c r="AO102" s="193"/>
      <c r="AP102" s="179"/>
      <c r="AQ102" s="194">
        <f t="shared" si="83"/>
        <v>0</v>
      </c>
      <c r="AR102" s="178">
        <f t="shared" si="84"/>
        <v>0</v>
      </c>
      <c r="AS102" s="178"/>
      <c r="AT102" s="178">
        <f t="shared" si="85"/>
        <v>5380740</v>
      </c>
      <c r="AU102" s="469">
        <f t="shared" si="86"/>
        <v>84</v>
      </c>
      <c r="AV102" s="195"/>
      <c r="AW102" s="224"/>
    </row>
    <row r="103" spans="1:59" s="189" customFormat="1" ht="48" customHeight="1" x14ac:dyDescent="0.25">
      <c r="A103" s="168">
        <f>_xlfn.AGGREGATE(4,7,A$13:A102)+1</f>
        <v>85</v>
      </c>
      <c r="B103" s="168" t="str">
        <f>VLOOKUP(D103,[1]LuongBC_T01!$B$9:$C$292,2,FALSE)</f>
        <v>0016100006770007</v>
      </c>
      <c r="C103" s="170" t="s">
        <v>1319</v>
      </c>
      <c r="D103" s="169" t="s">
        <v>1283</v>
      </c>
      <c r="E103" s="263" t="s">
        <v>1638</v>
      </c>
      <c r="F103" s="169"/>
      <c r="G103" s="170"/>
      <c r="H103" s="170"/>
      <c r="I103" s="170"/>
      <c r="J103" s="169"/>
      <c r="K103" s="168" t="s">
        <v>1353</v>
      </c>
      <c r="L103" s="397"/>
      <c r="M103" s="397"/>
      <c r="N103" s="263" t="str">
        <f>VLOOKUP(D103,'[6]Bao cao So GDDT'!$D$14:$S$282,11,FALSE)</f>
        <v>Kỹ sư (hạng III)</v>
      </c>
      <c r="O103" s="390" t="s">
        <v>1116</v>
      </c>
      <c r="P103" s="222"/>
      <c r="Q103" s="172"/>
      <c r="R103" s="174">
        <v>3</v>
      </c>
      <c r="S103" s="176">
        <f t="shared" si="88"/>
        <v>0.35</v>
      </c>
      <c r="T103" s="370"/>
      <c r="U103" s="176">
        <f t="shared" si="73"/>
        <v>0</v>
      </c>
      <c r="V103" s="175">
        <f t="shared" si="89"/>
        <v>0</v>
      </c>
      <c r="W103" s="170">
        <v>0.35</v>
      </c>
      <c r="X103" s="179">
        <f>VLOOKUP(D103,PCTN!D168:W435,20,FALSE)</f>
        <v>0</v>
      </c>
      <c r="Y103" s="216">
        <f t="shared" si="74"/>
        <v>0</v>
      </c>
      <c r="Z103" s="216">
        <f t="shared" si="75"/>
        <v>3.35</v>
      </c>
      <c r="AA103" s="180">
        <f t="shared" si="76"/>
        <v>6030000</v>
      </c>
      <c r="AB103" s="180"/>
      <c r="AC103" s="180">
        <f t="shared" si="77"/>
        <v>0</v>
      </c>
      <c r="AD103" s="180">
        <f>AA103/24*AB103*75%</f>
        <v>0</v>
      </c>
      <c r="AE103" s="180">
        <f t="shared" si="78"/>
        <v>6030000</v>
      </c>
      <c r="AF103" s="178">
        <f t="shared" si="79"/>
        <v>482400</v>
      </c>
      <c r="AG103" s="178">
        <f t="shared" si="80"/>
        <v>90450</v>
      </c>
      <c r="AH103" s="178">
        <f t="shared" si="81"/>
        <v>60300</v>
      </c>
      <c r="AI103" s="178"/>
      <c r="AJ103" s="178">
        <f t="shared" si="82"/>
        <v>633150</v>
      </c>
      <c r="AK103" s="181"/>
      <c r="AL103" s="182">
        <f t="shared" si="91"/>
        <v>0</v>
      </c>
      <c r="AM103" s="182"/>
      <c r="AN103" s="182"/>
      <c r="AO103" s="193"/>
      <c r="AP103" s="179"/>
      <c r="AQ103" s="194">
        <f t="shared" si="83"/>
        <v>0</v>
      </c>
      <c r="AR103" s="178">
        <f t="shared" si="84"/>
        <v>0</v>
      </c>
      <c r="AS103" s="178"/>
      <c r="AT103" s="178">
        <f t="shared" si="85"/>
        <v>5396850</v>
      </c>
      <c r="AU103" s="469">
        <f t="shared" si="86"/>
        <v>85</v>
      </c>
      <c r="AV103" s="195"/>
      <c r="AW103" s="223"/>
    </row>
    <row r="104" spans="1:59" s="189" customFormat="1" ht="38.25" customHeight="1" x14ac:dyDescent="0.25">
      <c r="A104" s="168">
        <f>_xlfn.AGGREGATE(4,7,A$13:A103)+1</f>
        <v>86</v>
      </c>
      <c r="B104" s="168" t="str">
        <f>VLOOKUP(D104,[1]LuongBC_T01!$B$9:$C$292,2,FALSE)</f>
        <v>0016100006511001</v>
      </c>
      <c r="C104" s="168" t="s">
        <v>1413</v>
      </c>
      <c r="D104" s="169" t="s">
        <v>1411</v>
      </c>
      <c r="E104" s="263" t="s">
        <v>1106</v>
      </c>
      <c r="F104" s="220"/>
      <c r="G104" s="220"/>
      <c r="H104" s="220"/>
      <c r="I104" s="220"/>
      <c r="J104" s="220"/>
      <c r="K104" s="168"/>
      <c r="L104" s="220"/>
      <c r="M104" s="170"/>
      <c r="N104" s="263" t="str">
        <f>VLOOKUP(D104,'[6]Bao cao So GDDT'!$D$14:$S$282,11,FALSE)</f>
        <v>Kỹ sư (hạng III)</v>
      </c>
      <c r="O104" s="263" t="s">
        <v>1116</v>
      </c>
      <c r="P104" s="251"/>
      <c r="Q104" s="251"/>
      <c r="R104" s="170">
        <v>2.67</v>
      </c>
      <c r="S104" s="176"/>
      <c r="T104" s="220"/>
      <c r="U104" s="176">
        <f t="shared" si="73"/>
        <v>0</v>
      </c>
      <c r="V104" s="175"/>
      <c r="W104" s="170"/>
      <c r="X104" s="179">
        <v>0</v>
      </c>
      <c r="Y104" s="216">
        <f t="shared" si="74"/>
        <v>0</v>
      </c>
      <c r="Z104" s="216">
        <f t="shared" si="75"/>
        <v>2.67</v>
      </c>
      <c r="AA104" s="180">
        <f t="shared" si="76"/>
        <v>4806000</v>
      </c>
      <c r="AB104" s="180"/>
      <c r="AC104" s="180">
        <f t="shared" si="77"/>
        <v>0</v>
      </c>
      <c r="AD104" s="180">
        <f>AA104/24*AB104*75%</f>
        <v>0</v>
      </c>
      <c r="AE104" s="180">
        <f t="shared" si="78"/>
        <v>4806000</v>
      </c>
      <c r="AF104" s="178">
        <f t="shared" si="79"/>
        <v>384480</v>
      </c>
      <c r="AG104" s="178">
        <f t="shared" si="80"/>
        <v>72090</v>
      </c>
      <c r="AH104" s="178">
        <f t="shared" si="81"/>
        <v>48060</v>
      </c>
      <c r="AI104" s="178"/>
      <c r="AJ104" s="178">
        <f t="shared" si="82"/>
        <v>504630</v>
      </c>
      <c r="AK104" s="192"/>
      <c r="AL104" s="182">
        <f t="shared" si="91"/>
        <v>0</v>
      </c>
      <c r="AM104" s="182"/>
      <c r="AN104" s="182"/>
      <c r="AO104" s="183">
        <f>R104+U104+W104</f>
        <v>2.67</v>
      </c>
      <c r="AP104" s="640"/>
      <c r="AQ104" s="185">
        <f t="shared" si="83"/>
        <v>0</v>
      </c>
      <c r="AR104" s="178">
        <f t="shared" si="84"/>
        <v>0</v>
      </c>
      <c r="AS104" s="178"/>
      <c r="AT104" s="178">
        <f t="shared" si="85"/>
        <v>4301370</v>
      </c>
      <c r="AU104" s="469">
        <f t="shared" si="86"/>
        <v>86</v>
      </c>
      <c r="AV104" s="195"/>
      <c r="AW104" s="485"/>
    </row>
    <row r="105" spans="1:59" s="189" customFormat="1" ht="33.75" customHeight="1" x14ac:dyDescent="0.25">
      <c r="A105" s="168">
        <f>_xlfn.AGGREGATE(4,7,A$13:A104)+1</f>
        <v>87</v>
      </c>
      <c r="B105" s="168" t="str">
        <f>VLOOKUP(D105,[1]LuongBC_T01!$B$9:$C$292,2,FALSE)</f>
        <v>0016100006599006</v>
      </c>
      <c r="C105" s="199" t="s">
        <v>948</v>
      </c>
      <c r="D105" s="169" t="s">
        <v>658</v>
      </c>
      <c r="E105" s="263" t="s">
        <v>1106</v>
      </c>
      <c r="F105" s="169" t="s">
        <v>553</v>
      </c>
      <c r="G105" s="169"/>
      <c r="H105" s="169"/>
      <c r="I105" s="169" t="s">
        <v>284</v>
      </c>
      <c r="J105" s="169"/>
      <c r="K105" s="170" t="str">
        <f>VLOOKUP(D105,[2]T3!$B$2:$D$328,3,FALSE)</f>
        <v>024683154</v>
      </c>
      <c r="L105" s="213" t="s">
        <v>664</v>
      </c>
      <c r="M105" s="213" t="s">
        <v>948</v>
      </c>
      <c r="N105" s="263" t="str">
        <f>VLOOKUP(D105,'[6]Bao cao So GDDT'!$D$14:$S$282,11,FALSE)</f>
        <v>Kỹ thuật viên (hạng IV)</v>
      </c>
      <c r="O105" s="393" t="s">
        <v>1118</v>
      </c>
      <c r="P105" s="170" t="s">
        <v>698</v>
      </c>
      <c r="Q105" s="170">
        <v>6</v>
      </c>
      <c r="R105" s="214">
        <v>3.46</v>
      </c>
      <c r="S105" s="176">
        <f t="shared" ref="S105:S119" si="92">U105+W105+Y105</f>
        <v>0</v>
      </c>
      <c r="T105" s="178"/>
      <c r="U105" s="176">
        <f t="shared" si="73"/>
        <v>0</v>
      </c>
      <c r="V105" s="175">
        <f t="shared" ref="V105:V111" si="93">R105*T105*$D$8/100</f>
        <v>0</v>
      </c>
      <c r="W105" s="178"/>
      <c r="X105" s="179">
        <f>VLOOKUP(D105,PCTN!D163:W430,20,FALSE)</f>
        <v>0</v>
      </c>
      <c r="Y105" s="216">
        <f t="shared" si="74"/>
        <v>0</v>
      </c>
      <c r="Z105" s="216">
        <f t="shared" si="75"/>
        <v>3.46</v>
      </c>
      <c r="AA105" s="180">
        <f t="shared" si="76"/>
        <v>6228000</v>
      </c>
      <c r="AB105" s="180"/>
      <c r="AC105" s="180">
        <f t="shared" si="77"/>
        <v>0</v>
      </c>
      <c r="AD105" s="180">
        <v>0</v>
      </c>
      <c r="AE105" s="180">
        <f t="shared" si="78"/>
        <v>6228000</v>
      </c>
      <c r="AF105" s="178">
        <f t="shared" si="79"/>
        <v>498240</v>
      </c>
      <c r="AG105" s="178">
        <f t="shared" si="80"/>
        <v>93420</v>
      </c>
      <c r="AH105" s="178">
        <f t="shared" si="81"/>
        <v>62280</v>
      </c>
      <c r="AI105" s="178"/>
      <c r="AJ105" s="178">
        <f t="shared" si="82"/>
        <v>653940</v>
      </c>
      <c r="AK105" s="215"/>
      <c r="AL105" s="182">
        <f t="shared" ref="AL105:AL128" si="94">AK105*$D$8</f>
        <v>0</v>
      </c>
      <c r="AM105" s="182"/>
      <c r="AN105" s="182"/>
      <c r="AO105" s="193">
        <f>R105+U105+W105</f>
        <v>3.46</v>
      </c>
      <c r="AP105" s="179"/>
      <c r="AQ105" s="194">
        <f t="shared" si="83"/>
        <v>0</v>
      </c>
      <c r="AR105" s="178">
        <f t="shared" si="84"/>
        <v>0</v>
      </c>
      <c r="AS105" s="178"/>
      <c r="AT105" s="178">
        <f t="shared" si="85"/>
        <v>5574060</v>
      </c>
      <c r="AU105" s="469">
        <f t="shared" si="86"/>
        <v>87</v>
      </c>
      <c r="AV105" s="195"/>
      <c r="AW105" s="242"/>
      <c r="AX105" s="29"/>
      <c r="AY105" s="29"/>
      <c r="AZ105" s="29"/>
      <c r="BA105" s="29"/>
      <c r="BB105" s="29"/>
      <c r="BC105" s="29"/>
      <c r="BD105" s="29"/>
      <c r="BE105" s="29"/>
      <c r="BF105" s="29"/>
      <c r="BG105" s="29"/>
    </row>
    <row r="106" spans="1:59" s="189" customFormat="1" ht="33.75" customHeight="1" x14ac:dyDescent="0.25">
      <c r="A106" s="726">
        <f>_xlfn.AGGREGATE(4,7,A$13:A105)+1</f>
        <v>88</v>
      </c>
      <c r="B106" s="726" t="str">
        <f>VLOOKUP(D106,[1]LuongBC_T01!$B$9:$C$292,2,FALSE)</f>
        <v>0016100006807008</v>
      </c>
      <c r="C106" s="750" t="s">
        <v>950</v>
      </c>
      <c r="D106" s="728" t="s">
        <v>1216</v>
      </c>
      <c r="E106" s="729" t="s">
        <v>1106</v>
      </c>
      <c r="F106" s="728" t="s">
        <v>553</v>
      </c>
      <c r="G106" s="730"/>
      <c r="H106" s="730"/>
      <c r="I106" s="730" t="s">
        <v>284</v>
      </c>
      <c r="J106" s="728" t="s">
        <v>270</v>
      </c>
      <c r="K106" s="730" t="str">
        <f>VLOOKUP(D106,[2]T3!$B$2:$D$328,3,FALSE)</f>
        <v>079084001864</v>
      </c>
      <c r="L106" s="731" t="s">
        <v>153</v>
      </c>
      <c r="M106" s="731" t="s">
        <v>950</v>
      </c>
      <c r="N106" s="729" t="str">
        <f>VLOOKUP(D106,'[6]Bao cao So GDDT'!$D$14:$S$282,11,FALSE)</f>
        <v>Kỹ thuật viên (hạng IV)</v>
      </c>
      <c r="O106" s="732" t="s">
        <v>1118</v>
      </c>
      <c r="P106" s="753" t="s">
        <v>698</v>
      </c>
      <c r="Q106" s="733">
        <v>6</v>
      </c>
      <c r="R106" s="735">
        <v>3.46</v>
      </c>
      <c r="S106" s="736">
        <f t="shared" si="92"/>
        <v>0</v>
      </c>
      <c r="T106" s="737"/>
      <c r="U106" s="736">
        <f t="shared" si="73"/>
        <v>0</v>
      </c>
      <c r="V106" s="738">
        <f t="shared" si="93"/>
        <v>0</v>
      </c>
      <c r="W106" s="730"/>
      <c r="X106" s="739">
        <f>VLOOKUP(D106,PCTN!D164:W431,20,FALSE)</f>
        <v>0</v>
      </c>
      <c r="Y106" s="740">
        <f t="shared" si="74"/>
        <v>0</v>
      </c>
      <c r="Z106" s="740">
        <f t="shared" si="75"/>
        <v>3.46</v>
      </c>
      <c r="AA106" s="741">
        <f t="shared" si="76"/>
        <v>6228000</v>
      </c>
      <c r="AB106" s="741"/>
      <c r="AC106" s="741">
        <f t="shared" si="77"/>
        <v>0</v>
      </c>
      <c r="AD106" s="741">
        <f>AA106/24*AB106*75%</f>
        <v>0</v>
      </c>
      <c r="AE106" s="741">
        <f t="shared" si="78"/>
        <v>6228000</v>
      </c>
      <c r="AF106" s="742">
        <f t="shared" si="79"/>
        <v>498240</v>
      </c>
      <c r="AG106" s="742">
        <f t="shared" si="80"/>
        <v>93420</v>
      </c>
      <c r="AH106" s="742">
        <f t="shared" si="81"/>
        <v>62280</v>
      </c>
      <c r="AI106" s="742"/>
      <c r="AJ106" s="742">
        <f t="shared" si="82"/>
        <v>653940</v>
      </c>
      <c r="AK106" s="743"/>
      <c r="AL106" s="744">
        <f t="shared" si="94"/>
        <v>0</v>
      </c>
      <c r="AM106" s="744"/>
      <c r="AN106" s="744"/>
      <c r="AO106" s="756">
        <f>R106+U106+W106</f>
        <v>3.46</v>
      </c>
      <c r="AP106" s="739"/>
      <c r="AQ106" s="758">
        <f t="shared" si="83"/>
        <v>0</v>
      </c>
      <c r="AR106" s="742">
        <f t="shared" si="84"/>
        <v>0</v>
      </c>
      <c r="AS106" s="742"/>
      <c r="AT106" s="742">
        <f t="shared" si="85"/>
        <v>5574060</v>
      </c>
      <c r="AU106" s="748">
        <f t="shared" si="86"/>
        <v>88</v>
      </c>
      <c r="AV106" s="989"/>
      <c r="AW106" s="242"/>
      <c r="AX106" s="29"/>
      <c r="AY106" s="29"/>
      <c r="AZ106" s="29"/>
      <c r="BA106" s="29"/>
      <c r="BB106" s="29"/>
      <c r="BC106" s="29"/>
      <c r="BD106" s="29"/>
      <c r="BE106" s="29"/>
      <c r="BF106" s="29"/>
      <c r="BG106" s="29"/>
    </row>
    <row r="107" spans="1:59" s="189" customFormat="1" ht="32.25" customHeight="1" x14ac:dyDescent="0.25">
      <c r="A107" s="168">
        <f>_xlfn.AGGREGATE(4,7,A$13:A106)+1</f>
        <v>89</v>
      </c>
      <c r="B107" s="168" t="str">
        <f>VLOOKUP(D107,[1]LuongBC_T01!$B$9:$C$292,2,FALSE)</f>
        <v>0016100006716002</v>
      </c>
      <c r="C107" s="199" t="s">
        <v>933</v>
      </c>
      <c r="D107" s="169" t="s">
        <v>654</v>
      </c>
      <c r="E107" s="263" t="s">
        <v>1106</v>
      </c>
      <c r="F107" s="169" t="s">
        <v>553</v>
      </c>
      <c r="G107" s="170" t="s">
        <v>25</v>
      </c>
      <c r="H107" s="169"/>
      <c r="I107" s="169" t="s">
        <v>284</v>
      </c>
      <c r="J107" s="169"/>
      <c r="K107" s="168" t="s">
        <v>1357</v>
      </c>
      <c r="L107" s="197">
        <v>1603205182619</v>
      </c>
      <c r="M107" s="197" t="s">
        <v>933</v>
      </c>
      <c r="N107" s="263" t="str">
        <f>VLOOKUP(D107,'[6]Bao cao So GDDT'!$D$14:$S$282,11,FALSE)</f>
        <v>Cán sự</v>
      </c>
      <c r="O107" s="393" t="s">
        <v>43</v>
      </c>
      <c r="P107" s="170" t="s">
        <v>698</v>
      </c>
      <c r="Q107" s="170">
        <v>7</v>
      </c>
      <c r="R107" s="192">
        <v>3.66</v>
      </c>
      <c r="S107" s="176">
        <f t="shared" si="92"/>
        <v>0</v>
      </c>
      <c r="T107" s="178"/>
      <c r="U107" s="176">
        <f t="shared" si="73"/>
        <v>0</v>
      </c>
      <c r="V107" s="175">
        <f t="shared" si="93"/>
        <v>0</v>
      </c>
      <c r="W107" s="178"/>
      <c r="X107" s="179">
        <f>VLOOKUP(D107,PCTN!D151:W418,20,FALSE)</f>
        <v>0</v>
      </c>
      <c r="Y107" s="216">
        <f t="shared" si="74"/>
        <v>0</v>
      </c>
      <c r="Z107" s="216">
        <f t="shared" si="75"/>
        <v>3.66</v>
      </c>
      <c r="AA107" s="180">
        <f t="shared" si="76"/>
        <v>6588000</v>
      </c>
      <c r="AB107" s="180"/>
      <c r="AC107" s="180">
        <f t="shared" si="77"/>
        <v>0</v>
      </c>
      <c r="AD107" s="180">
        <f>AA107/24*AB107*75%</f>
        <v>0</v>
      </c>
      <c r="AE107" s="180">
        <f t="shared" si="78"/>
        <v>6588000</v>
      </c>
      <c r="AF107" s="178">
        <f t="shared" si="79"/>
        <v>527040</v>
      </c>
      <c r="AG107" s="178">
        <f t="shared" si="80"/>
        <v>98820</v>
      </c>
      <c r="AH107" s="178">
        <f t="shared" si="81"/>
        <v>65880</v>
      </c>
      <c r="AI107" s="178"/>
      <c r="AJ107" s="178">
        <f t="shared" si="82"/>
        <v>691740</v>
      </c>
      <c r="AK107" s="215"/>
      <c r="AL107" s="182">
        <f t="shared" si="94"/>
        <v>0</v>
      </c>
      <c r="AM107" s="182"/>
      <c r="AN107" s="182"/>
      <c r="AO107" s="216"/>
      <c r="AP107" s="179"/>
      <c r="AQ107" s="194">
        <f t="shared" si="83"/>
        <v>0</v>
      </c>
      <c r="AR107" s="178">
        <f t="shared" si="84"/>
        <v>0</v>
      </c>
      <c r="AS107" s="178"/>
      <c r="AT107" s="178">
        <f t="shared" si="85"/>
        <v>5896260</v>
      </c>
      <c r="AU107" s="469">
        <f t="shared" si="86"/>
        <v>89</v>
      </c>
      <c r="AV107" s="195"/>
      <c r="AW107" s="198" t="s">
        <v>703</v>
      </c>
      <c r="AY107" s="189">
        <f>AY118-AY121</f>
        <v>5347535.5</v>
      </c>
      <c r="AZ107" s="189">
        <f>AZ118-AZ121</f>
        <v>4907464</v>
      </c>
    </row>
    <row r="108" spans="1:59" s="189" customFormat="1" ht="31.5" customHeight="1" x14ac:dyDescent="0.25">
      <c r="A108" s="168">
        <f>_xlfn.AGGREGATE(4,7,A$13:A107)+1</f>
        <v>90</v>
      </c>
      <c r="B108" s="168" t="str">
        <f>VLOOKUP(D108,[1]LuongBC_T01!$B$9:$C$292,2,FALSE)</f>
        <v>0016100006725001</v>
      </c>
      <c r="C108" s="199" t="s">
        <v>1024</v>
      </c>
      <c r="D108" s="169" t="s">
        <v>659</v>
      </c>
      <c r="E108" s="263" t="s">
        <v>1261</v>
      </c>
      <c r="F108" s="169" t="s">
        <v>553</v>
      </c>
      <c r="G108" s="170" t="s">
        <v>25</v>
      </c>
      <c r="H108" s="169"/>
      <c r="I108" s="169" t="s">
        <v>284</v>
      </c>
      <c r="J108" s="169"/>
      <c r="K108" s="170" t="str">
        <f>VLOOKUP(D108,[2]T3!$B$2:$D$328,3,FALSE)</f>
        <v>025154407</v>
      </c>
      <c r="L108" s="197">
        <v>1603205247426</v>
      </c>
      <c r="M108" s="197" t="s">
        <v>1024</v>
      </c>
      <c r="N108" s="263" t="str">
        <f>VLOOKUP(D108,'[6]Bao cao So GDDT'!$D$14:$S$282,11,FALSE)</f>
        <v>Y sĩ (hạng IV)</v>
      </c>
      <c r="O108" s="393" t="s">
        <v>1120</v>
      </c>
      <c r="P108" s="170" t="s">
        <v>698</v>
      </c>
      <c r="Q108" s="170">
        <v>7</v>
      </c>
      <c r="R108" s="214">
        <v>3.66</v>
      </c>
      <c r="S108" s="176">
        <f t="shared" si="92"/>
        <v>0</v>
      </c>
      <c r="T108" s="178"/>
      <c r="U108" s="176">
        <f t="shared" si="73"/>
        <v>0</v>
      </c>
      <c r="V108" s="175">
        <f t="shared" si="93"/>
        <v>0</v>
      </c>
      <c r="W108" s="178"/>
      <c r="X108" s="179">
        <f>VLOOKUP(D108,PCTN!D280:W547,20,FALSE)</f>
        <v>0</v>
      </c>
      <c r="Y108" s="216">
        <f t="shared" si="74"/>
        <v>0</v>
      </c>
      <c r="Z108" s="216">
        <f t="shared" si="75"/>
        <v>3.66</v>
      </c>
      <c r="AA108" s="180">
        <f t="shared" si="76"/>
        <v>6588000</v>
      </c>
      <c r="AB108" s="180"/>
      <c r="AC108" s="180">
        <f t="shared" si="77"/>
        <v>0</v>
      </c>
      <c r="AD108" s="180">
        <f>AA108/24*AB108*75%</f>
        <v>0</v>
      </c>
      <c r="AE108" s="180">
        <f t="shared" si="78"/>
        <v>6588000</v>
      </c>
      <c r="AF108" s="178">
        <f t="shared" si="79"/>
        <v>527040</v>
      </c>
      <c r="AG108" s="178">
        <f t="shared" si="80"/>
        <v>98820</v>
      </c>
      <c r="AH108" s="178">
        <f t="shared" si="81"/>
        <v>65880</v>
      </c>
      <c r="AI108" s="178"/>
      <c r="AJ108" s="178">
        <f t="shared" si="82"/>
        <v>691740</v>
      </c>
      <c r="AK108" s="215"/>
      <c r="AL108" s="182">
        <f t="shared" si="94"/>
        <v>0</v>
      </c>
      <c r="AM108" s="182"/>
      <c r="AN108" s="182"/>
      <c r="AO108" s="193">
        <f>R108+U108+W108</f>
        <v>3.66</v>
      </c>
      <c r="AP108" s="179">
        <v>0.2</v>
      </c>
      <c r="AQ108" s="194">
        <f t="shared" si="83"/>
        <v>0.73199999999999998</v>
      </c>
      <c r="AR108" s="178">
        <f t="shared" si="84"/>
        <v>1317600</v>
      </c>
      <c r="AS108" s="178"/>
      <c r="AT108" s="178">
        <f t="shared" si="85"/>
        <v>7213860</v>
      </c>
      <c r="AU108" s="469">
        <f t="shared" ref="AU108:AU121" si="95">A108</f>
        <v>90</v>
      </c>
      <c r="AV108" s="195"/>
      <c r="AW108" s="198" t="s">
        <v>713</v>
      </c>
    </row>
    <row r="109" spans="1:59" s="189" customFormat="1" ht="33.75" customHeight="1" x14ac:dyDescent="0.25">
      <c r="A109" s="168">
        <f>_xlfn.AGGREGATE(4,7,A$13:A108)+1</f>
        <v>91</v>
      </c>
      <c r="B109" s="168" t="str">
        <f>VLOOKUP(D109,[1]LuongBC_T01!$B$9:$C$292,2,FALSE)</f>
        <v>0016100006524006</v>
      </c>
      <c r="C109" s="371" t="s">
        <v>1050</v>
      </c>
      <c r="D109" s="230" t="s">
        <v>1215</v>
      </c>
      <c r="E109" s="263" t="s">
        <v>1257</v>
      </c>
      <c r="F109" s="231"/>
      <c r="G109" s="251" t="s">
        <v>25</v>
      </c>
      <c r="H109" s="231"/>
      <c r="I109" s="231"/>
      <c r="J109" s="231"/>
      <c r="K109" s="170" t="str">
        <f>VLOOKUP(D109,[2]T3!$B$2:$D$328,3,FALSE)</f>
        <v>025408857</v>
      </c>
      <c r="L109" s="226"/>
      <c r="M109" s="226" t="s">
        <v>1050</v>
      </c>
      <c r="N109" s="263" t="str">
        <f>VLOOKUP(D109,'[6]Bao cao So GDDT'!$D$14:$S$282,11,FALSE)</f>
        <v>Kế toán viên</v>
      </c>
      <c r="O109" s="393" t="s">
        <v>38</v>
      </c>
      <c r="P109" s="170" t="s">
        <v>692</v>
      </c>
      <c r="Q109" s="170">
        <v>2</v>
      </c>
      <c r="R109" s="177">
        <v>3.66</v>
      </c>
      <c r="S109" s="176">
        <f t="shared" si="92"/>
        <v>0</v>
      </c>
      <c r="T109" s="169"/>
      <c r="U109" s="176">
        <f t="shared" si="73"/>
        <v>0</v>
      </c>
      <c r="V109" s="175">
        <f t="shared" si="93"/>
        <v>0</v>
      </c>
      <c r="W109" s="170"/>
      <c r="X109" s="179">
        <f>VLOOKUP(D109,PCTN!D161:W428,20,FALSE)</f>
        <v>0</v>
      </c>
      <c r="Y109" s="216">
        <f t="shared" si="74"/>
        <v>0</v>
      </c>
      <c r="Z109" s="216">
        <f t="shared" si="75"/>
        <v>3.66</v>
      </c>
      <c r="AA109" s="180">
        <f t="shared" si="76"/>
        <v>6588000</v>
      </c>
      <c r="AB109" s="180"/>
      <c r="AC109" s="180">
        <f t="shared" si="77"/>
        <v>0</v>
      </c>
      <c r="AD109" s="180">
        <f>AA109/24*AB109*75%</f>
        <v>0</v>
      </c>
      <c r="AE109" s="180">
        <f t="shared" si="78"/>
        <v>6588000</v>
      </c>
      <c r="AF109" s="178">
        <f t="shared" si="79"/>
        <v>527040</v>
      </c>
      <c r="AG109" s="178">
        <f t="shared" si="80"/>
        <v>98820</v>
      </c>
      <c r="AH109" s="178">
        <f t="shared" si="81"/>
        <v>65880</v>
      </c>
      <c r="AI109" s="178"/>
      <c r="AJ109" s="178">
        <f t="shared" si="82"/>
        <v>691740</v>
      </c>
      <c r="AK109" s="192"/>
      <c r="AL109" s="182">
        <f t="shared" si="94"/>
        <v>0</v>
      </c>
      <c r="AM109" s="182"/>
      <c r="AN109" s="182"/>
      <c r="AO109" s="183"/>
      <c r="AP109" s="179"/>
      <c r="AQ109" s="194">
        <f t="shared" si="83"/>
        <v>0</v>
      </c>
      <c r="AR109" s="178">
        <f t="shared" si="84"/>
        <v>0</v>
      </c>
      <c r="AS109" s="178"/>
      <c r="AT109" s="178">
        <f t="shared" si="85"/>
        <v>5896260</v>
      </c>
      <c r="AU109" s="469">
        <f t="shared" si="95"/>
        <v>91</v>
      </c>
      <c r="AV109" s="244"/>
      <c r="AW109" s="255"/>
    </row>
    <row r="110" spans="1:59" s="189" customFormat="1" ht="38.25" x14ac:dyDescent="0.25">
      <c r="A110" s="168">
        <f>_xlfn.AGGREGATE(4,7,A$13:A109)+1</f>
        <v>92</v>
      </c>
      <c r="B110" s="168" t="str">
        <f>VLOOKUP(D110,[1]LuongBC_T01!$B$9:$C$292,2,FALSE)</f>
        <v>0016100006515007</v>
      </c>
      <c r="C110" s="199" t="s">
        <v>940</v>
      </c>
      <c r="D110" s="169" t="s">
        <v>683</v>
      </c>
      <c r="E110" s="263" t="s">
        <v>1257</v>
      </c>
      <c r="F110" s="169" t="s">
        <v>553</v>
      </c>
      <c r="G110" s="170" t="s">
        <v>25</v>
      </c>
      <c r="H110" s="170"/>
      <c r="I110" s="170"/>
      <c r="J110" s="169"/>
      <c r="K110" s="170" t="str">
        <f>VLOOKUP(D110,[2]T3!$B$2:$D$328,3,FALSE)</f>
        <v>025197968</v>
      </c>
      <c r="L110" s="249">
        <v>1603205178873</v>
      </c>
      <c r="M110" s="249" t="s">
        <v>940</v>
      </c>
      <c r="N110" s="263" t="s">
        <v>1604</v>
      </c>
      <c r="O110" s="390" t="s">
        <v>38</v>
      </c>
      <c r="P110" s="222" t="s">
        <v>698</v>
      </c>
      <c r="Q110" s="172">
        <v>7</v>
      </c>
      <c r="R110" s="174">
        <v>3.66</v>
      </c>
      <c r="S110" s="176">
        <f t="shared" si="92"/>
        <v>0</v>
      </c>
      <c r="T110" s="370"/>
      <c r="U110" s="176">
        <f t="shared" si="73"/>
        <v>0</v>
      </c>
      <c r="V110" s="175">
        <f t="shared" si="93"/>
        <v>0</v>
      </c>
      <c r="W110" s="170"/>
      <c r="X110" s="179">
        <f>VLOOKUP(D110,PCTN!D162:W429,20,FALSE)</f>
        <v>0</v>
      </c>
      <c r="Y110" s="216">
        <f t="shared" si="74"/>
        <v>0</v>
      </c>
      <c r="Z110" s="216">
        <f t="shared" si="75"/>
        <v>3.66</v>
      </c>
      <c r="AA110" s="180">
        <f t="shared" si="76"/>
        <v>6588000</v>
      </c>
      <c r="AB110" s="180"/>
      <c r="AC110" s="180">
        <f t="shared" si="77"/>
        <v>0</v>
      </c>
      <c r="AD110" s="180">
        <v>0</v>
      </c>
      <c r="AE110" s="180">
        <f t="shared" si="78"/>
        <v>6588000</v>
      </c>
      <c r="AF110" s="178">
        <f t="shared" si="79"/>
        <v>527040</v>
      </c>
      <c r="AG110" s="178">
        <f t="shared" si="80"/>
        <v>98820</v>
      </c>
      <c r="AH110" s="178">
        <f t="shared" si="81"/>
        <v>65880</v>
      </c>
      <c r="AI110" s="178"/>
      <c r="AJ110" s="178">
        <f t="shared" si="82"/>
        <v>691740</v>
      </c>
      <c r="AK110" s="192"/>
      <c r="AL110" s="182">
        <f t="shared" si="94"/>
        <v>0</v>
      </c>
      <c r="AM110" s="182"/>
      <c r="AN110" s="182"/>
      <c r="AO110" s="193">
        <f>R110+U110+W110</f>
        <v>3.66</v>
      </c>
      <c r="AP110" s="179"/>
      <c r="AQ110" s="194">
        <f t="shared" si="83"/>
        <v>0</v>
      </c>
      <c r="AR110" s="178">
        <f t="shared" si="84"/>
        <v>0</v>
      </c>
      <c r="AS110" s="178"/>
      <c r="AT110" s="178">
        <f t="shared" si="85"/>
        <v>5896260</v>
      </c>
      <c r="AU110" s="469">
        <f t="shared" si="95"/>
        <v>92</v>
      </c>
      <c r="AV110" s="244"/>
      <c r="AW110" s="242"/>
    </row>
    <row r="111" spans="1:59" s="189" customFormat="1" ht="33.75" customHeight="1" x14ac:dyDescent="0.25">
      <c r="A111" s="168">
        <f>_xlfn.AGGREGATE(4,7,A$13:A110)+1</f>
        <v>93</v>
      </c>
      <c r="B111" s="168" t="str">
        <f>VLOOKUP(D111,[1]LuongBC_T01!$B$9:$C$292,2,FALSE)</f>
        <v>0016100006512008</v>
      </c>
      <c r="C111" s="864" t="s">
        <v>1037</v>
      </c>
      <c r="D111" s="169" t="s">
        <v>648</v>
      </c>
      <c r="E111" s="263" t="s">
        <v>1257</v>
      </c>
      <c r="F111" s="169" t="s">
        <v>549</v>
      </c>
      <c r="G111" s="170" t="s">
        <v>25</v>
      </c>
      <c r="H111" s="169"/>
      <c r="I111" s="169" t="s">
        <v>284</v>
      </c>
      <c r="J111" s="169"/>
      <c r="K111" s="170" t="str">
        <f>VLOOKUP(D111,[2]T3!$B$2:$D$328,3,FALSE)</f>
        <v>022527163</v>
      </c>
      <c r="L111" s="213" t="s">
        <v>660</v>
      </c>
      <c r="M111" s="213" t="s">
        <v>1037</v>
      </c>
      <c r="N111" s="263" t="str">
        <f>VLOOKUP(D111,'[6]Bao cao So GDDT'!$D$14:$S$282,11,FALSE)</f>
        <v>Chuyên viên</v>
      </c>
      <c r="O111" s="393" t="s">
        <v>39</v>
      </c>
      <c r="P111" s="170" t="s">
        <v>692</v>
      </c>
      <c r="Q111" s="170">
        <v>4</v>
      </c>
      <c r="R111" s="192">
        <v>3.99</v>
      </c>
      <c r="S111" s="176">
        <f t="shared" si="92"/>
        <v>0</v>
      </c>
      <c r="T111" s="178"/>
      <c r="U111" s="176">
        <f t="shared" si="73"/>
        <v>0</v>
      </c>
      <c r="V111" s="175">
        <f t="shared" si="93"/>
        <v>0</v>
      </c>
      <c r="W111" s="178"/>
      <c r="X111" s="179">
        <f>VLOOKUP(D111,PCTN!D135:W402,20,FALSE)</f>
        <v>0</v>
      </c>
      <c r="Y111" s="216">
        <f t="shared" si="74"/>
        <v>0</v>
      </c>
      <c r="Z111" s="216">
        <f t="shared" si="75"/>
        <v>3.99</v>
      </c>
      <c r="AA111" s="180">
        <f t="shared" si="76"/>
        <v>7182000</v>
      </c>
      <c r="AB111" s="180"/>
      <c r="AC111" s="180">
        <f t="shared" si="77"/>
        <v>0</v>
      </c>
      <c r="AD111" s="180">
        <f>AA111/24*AB111*75%</f>
        <v>0</v>
      </c>
      <c r="AE111" s="180">
        <f t="shared" si="78"/>
        <v>7182000</v>
      </c>
      <c r="AF111" s="178">
        <f t="shared" si="79"/>
        <v>574560</v>
      </c>
      <c r="AG111" s="178">
        <f t="shared" si="80"/>
        <v>107730</v>
      </c>
      <c r="AH111" s="178">
        <f t="shared" si="81"/>
        <v>71820</v>
      </c>
      <c r="AI111" s="178"/>
      <c r="AJ111" s="178">
        <f t="shared" si="82"/>
        <v>754110</v>
      </c>
      <c r="AK111" s="215"/>
      <c r="AL111" s="182">
        <f t="shared" si="94"/>
        <v>0</v>
      </c>
      <c r="AM111" s="182"/>
      <c r="AN111" s="182"/>
      <c r="AO111" s="193"/>
      <c r="AP111" s="179"/>
      <c r="AQ111" s="194">
        <f t="shared" si="83"/>
        <v>0</v>
      </c>
      <c r="AR111" s="178">
        <f t="shared" si="84"/>
        <v>0</v>
      </c>
      <c r="AS111" s="178"/>
      <c r="AT111" s="178">
        <f t="shared" si="85"/>
        <v>6427890</v>
      </c>
      <c r="AU111" s="469">
        <f t="shared" si="95"/>
        <v>93</v>
      </c>
      <c r="AV111" s="243"/>
      <c r="AW111" s="223"/>
      <c r="AX111" s="29"/>
      <c r="AY111" s="29"/>
      <c r="AZ111" s="29"/>
      <c r="BA111" s="29"/>
      <c r="BB111" s="29"/>
      <c r="BC111" s="29"/>
      <c r="BD111" s="29"/>
      <c r="BE111" s="29"/>
      <c r="BF111" s="29"/>
      <c r="BG111" s="29"/>
    </row>
    <row r="112" spans="1:59" s="189" customFormat="1" ht="38.25" x14ac:dyDescent="0.25">
      <c r="A112" s="168">
        <f>_xlfn.AGGREGATE(4,7,A$13:A111)+1</f>
        <v>94</v>
      </c>
      <c r="B112" s="168" t="str">
        <f>VLOOKUP(D112,[1]LuongBC_T01!$B$9:$C$292,2,FALSE)</f>
        <v>0016100006681004</v>
      </c>
      <c r="C112" s="858" t="s">
        <v>939</v>
      </c>
      <c r="D112" s="230" t="s">
        <v>771</v>
      </c>
      <c r="E112" s="263" t="s">
        <v>1257</v>
      </c>
      <c r="F112" s="231"/>
      <c r="G112" s="251" t="s">
        <v>25</v>
      </c>
      <c r="H112" s="231"/>
      <c r="I112" s="231"/>
      <c r="J112" s="231"/>
      <c r="K112" s="170" t="str">
        <f>VLOOKUP(D112,[2]T3!$B$2:$D$328,3,FALSE)</f>
        <v>025796369</v>
      </c>
      <c r="L112" s="226">
        <v>1603205372861</v>
      </c>
      <c r="M112" s="226" t="s">
        <v>939</v>
      </c>
      <c r="N112" s="829" t="str">
        <f>VLOOKUP(D112,'[6]Bao cao So GDDT'!$D$14:$S$282,11,FALSE)</f>
        <v>Chuyên viên</v>
      </c>
      <c r="O112" s="393" t="s">
        <v>39</v>
      </c>
      <c r="P112" s="170" t="s">
        <v>698</v>
      </c>
      <c r="Q112" s="170">
        <v>1</v>
      </c>
      <c r="R112" s="170">
        <v>2.67</v>
      </c>
      <c r="S112" s="176">
        <f t="shared" si="92"/>
        <v>0</v>
      </c>
      <c r="T112" s="169"/>
      <c r="U112" s="176">
        <f t="shared" si="73"/>
        <v>0</v>
      </c>
      <c r="V112" s="175"/>
      <c r="W112" s="178"/>
      <c r="X112" s="179">
        <f>VLOOKUP(D112,PCTN!D158:W425,20,FALSE)</f>
        <v>0</v>
      </c>
      <c r="Y112" s="216">
        <f t="shared" si="74"/>
        <v>0</v>
      </c>
      <c r="Z112" s="216">
        <f t="shared" si="75"/>
        <v>2.67</v>
      </c>
      <c r="AA112" s="180">
        <f t="shared" si="76"/>
        <v>4806000</v>
      </c>
      <c r="AB112" s="180"/>
      <c r="AC112" s="180">
        <f t="shared" si="77"/>
        <v>0</v>
      </c>
      <c r="AD112" s="180">
        <v>0</v>
      </c>
      <c r="AE112" s="180">
        <f t="shared" si="78"/>
        <v>4806000</v>
      </c>
      <c r="AF112" s="178">
        <f t="shared" si="79"/>
        <v>384480</v>
      </c>
      <c r="AG112" s="178">
        <f t="shared" si="80"/>
        <v>72090</v>
      </c>
      <c r="AH112" s="178">
        <f t="shared" si="81"/>
        <v>48060</v>
      </c>
      <c r="AI112" s="178"/>
      <c r="AJ112" s="178">
        <f t="shared" si="82"/>
        <v>504630</v>
      </c>
      <c r="AK112" s="192"/>
      <c r="AL112" s="182">
        <f t="shared" si="94"/>
        <v>0</v>
      </c>
      <c r="AM112" s="182"/>
      <c r="AN112" s="182"/>
      <c r="AO112" s="183">
        <f>R112+U112+W112</f>
        <v>2.67</v>
      </c>
      <c r="AP112" s="179"/>
      <c r="AQ112" s="194">
        <f t="shared" si="83"/>
        <v>0</v>
      </c>
      <c r="AR112" s="178">
        <f t="shared" si="84"/>
        <v>0</v>
      </c>
      <c r="AS112" s="178"/>
      <c r="AT112" s="178">
        <f t="shared" si="85"/>
        <v>4301370</v>
      </c>
      <c r="AU112" s="469">
        <f t="shared" si="95"/>
        <v>94</v>
      </c>
      <c r="AV112" s="195"/>
      <c r="AW112" s="823" t="s">
        <v>1492</v>
      </c>
      <c r="AX112" s="29"/>
      <c r="AY112" s="29"/>
      <c r="AZ112" s="29"/>
      <c r="BA112" s="29"/>
      <c r="BB112" s="29"/>
      <c r="BC112" s="29"/>
      <c r="BD112" s="29"/>
      <c r="BE112" s="29"/>
      <c r="BF112" s="29"/>
      <c r="BG112" s="29"/>
    </row>
    <row r="113" spans="1:59" s="189" customFormat="1" ht="38.25" customHeight="1" x14ac:dyDescent="0.25">
      <c r="A113" s="168">
        <f>_xlfn.AGGREGATE(4,7,A$13:A112)+1</f>
        <v>95</v>
      </c>
      <c r="B113" s="168" t="str">
        <f>VLOOKUP(D113,[1]LuongBC_T01!$B$9:$C$292,2,FALSE)</f>
        <v>0016100006540001</v>
      </c>
      <c r="C113" s="30" t="s">
        <v>1325</v>
      </c>
      <c r="D113" s="169" t="s">
        <v>1294</v>
      </c>
      <c r="E113" s="263" t="s">
        <v>1587</v>
      </c>
      <c r="F113" s="220"/>
      <c r="G113" s="220"/>
      <c r="H113" s="220"/>
      <c r="I113" s="220"/>
      <c r="J113" s="220"/>
      <c r="K113" s="170" t="str">
        <f>VLOOKUP(D113,[2]T3!$B$2:$D$328,3,FALSE)</f>
        <v>051091000077</v>
      </c>
      <c r="L113" s="220"/>
      <c r="M113" s="170"/>
      <c r="N113" s="263" t="str">
        <f>VLOOKUP(D113,'[6]Bao cao So GDDT'!$D$14:$S$282,11,FALSE)</f>
        <v>Kỹ sư (hạng III)</v>
      </c>
      <c r="O113" s="263" t="s">
        <v>1116</v>
      </c>
      <c r="P113" s="251"/>
      <c r="Q113" s="251"/>
      <c r="R113" s="170">
        <v>2.67</v>
      </c>
      <c r="S113" s="176">
        <f t="shared" si="92"/>
        <v>0.45</v>
      </c>
      <c r="T113" s="220"/>
      <c r="U113" s="176">
        <f t="shared" si="73"/>
        <v>0</v>
      </c>
      <c r="V113" s="175"/>
      <c r="W113" s="170">
        <v>0.45</v>
      </c>
      <c r="X113" s="179">
        <f>VLOOKUP(D113,PCTN!D104:W371,20,FALSE)</f>
        <v>0</v>
      </c>
      <c r="Y113" s="216">
        <f t="shared" si="74"/>
        <v>0</v>
      </c>
      <c r="Z113" s="216">
        <f t="shared" si="75"/>
        <v>3.12</v>
      </c>
      <c r="AA113" s="180">
        <f t="shared" si="76"/>
        <v>5616000</v>
      </c>
      <c r="AB113" s="180"/>
      <c r="AC113" s="180">
        <f t="shared" si="77"/>
        <v>0</v>
      </c>
      <c r="AD113" s="180">
        <f>AA113/24*AB113*75%</f>
        <v>0</v>
      </c>
      <c r="AE113" s="180">
        <f t="shared" si="78"/>
        <v>5616000</v>
      </c>
      <c r="AF113" s="178">
        <f t="shared" si="79"/>
        <v>449280</v>
      </c>
      <c r="AG113" s="178">
        <f t="shared" si="80"/>
        <v>84240</v>
      </c>
      <c r="AH113" s="178">
        <f t="shared" si="81"/>
        <v>56160</v>
      </c>
      <c r="AI113" s="178"/>
      <c r="AJ113" s="178">
        <f t="shared" si="82"/>
        <v>589680</v>
      </c>
      <c r="AK113" s="192"/>
      <c r="AL113" s="182">
        <f t="shared" si="94"/>
        <v>0</v>
      </c>
      <c r="AM113" s="182"/>
      <c r="AN113" s="182"/>
      <c r="AO113" s="183">
        <f>R113+U113+W113</f>
        <v>3.12</v>
      </c>
      <c r="AP113" s="179"/>
      <c r="AQ113" s="185">
        <f t="shared" si="83"/>
        <v>0</v>
      </c>
      <c r="AR113" s="178">
        <f t="shared" si="84"/>
        <v>0</v>
      </c>
      <c r="AS113" s="178"/>
      <c r="AT113" s="178">
        <f t="shared" si="85"/>
        <v>5026320</v>
      </c>
      <c r="AU113" s="469">
        <f t="shared" si="95"/>
        <v>95</v>
      </c>
      <c r="AV113" s="195"/>
      <c r="AW113" s="485"/>
      <c r="AX113" s="29"/>
      <c r="AY113" s="29"/>
      <c r="AZ113" s="29"/>
      <c r="BA113" s="29"/>
      <c r="BB113" s="29"/>
      <c r="BC113" s="29"/>
      <c r="BD113" s="29"/>
      <c r="BE113" s="29"/>
      <c r="BF113" s="29"/>
      <c r="BG113" s="29"/>
    </row>
    <row r="114" spans="1:59" s="189" customFormat="1" ht="32.25" customHeight="1" x14ac:dyDescent="0.25">
      <c r="A114" s="168">
        <f>_xlfn.AGGREGATE(4,7,A$13:A113)+1</f>
        <v>96</v>
      </c>
      <c r="B114" s="168" t="str">
        <f>VLOOKUP(D114,[1]LuongBC_T01!$B$9:$C$292,2,FALSE)</f>
        <v>0016100006528001</v>
      </c>
      <c r="C114" s="199" t="s">
        <v>918</v>
      </c>
      <c r="D114" s="169" t="s">
        <v>1203</v>
      </c>
      <c r="E114" s="263" t="s">
        <v>1467</v>
      </c>
      <c r="F114" s="169" t="s">
        <v>549</v>
      </c>
      <c r="G114" s="170"/>
      <c r="H114" s="170" t="s">
        <v>283</v>
      </c>
      <c r="I114" s="200" t="s">
        <v>283</v>
      </c>
      <c r="J114" s="220" t="s">
        <v>262</v>
      </c>
      <c r="K114" s="170" t="str">
        <f>VLOOKUP(D114,[2]T3!$B$2:$D$328,3,FALSE)</f>
        <v>024610718</v>
      </c>
      <c r="L114" s="171" t="s">
        <v>123</v>
      </c>
      <c r="M114" s="171" t="s">
        <v>918</v>
      </c>
      <c r="N114" s="263" t="str">
        <f>VLOOKUP(D114,'[6]Bao cao So GDDT'!$D$14:$S$282,11,FALSE)</f>
        <v>Giảng viên GDNN LT (hạng III)</v>
      </c>
      <c r="O114" s="390" t="s">
        <v>1438</v>
      </c>
      <c r="P114" s="172" t="s">
        <v>692</v>
      </c>
      <c r="Q114" s="173">
        <v>4</v>
      </c>
      <c r="R114" s="174">
        <v>4.32</v>
      </c>
      <c r="S114" s="176">
        <f>U114+W114+Y114</f>
        <v>1.0972</v>
      </c>
      <c r="T114" s="370"/>
      <c r="U114" s="176">
        <f>ROUND(R114*T114/100,4)</f>
        <v>0</v>
      </c>
      <c r="V114" s="175">
        <f>R114*T114*$D$8/100</f>
        <v>0</v>
      </c>
      <c r="W114" s="170">
        <v>0.35</v>
      </c>
      <c r="X114" s="179">
        <v>0.16</v>
      </c>
      <c r="Y114" s="216">
        <f>ROUND((R114+U114+W114)*X114,4)</f>
        <v>0.74719999999999998</v>
      </c>
      <c r="Z114" s="216">
        <f>R114+U114+W114+Y114</f>
        <v>5.4172000000000002</v>
      </c>
      <c r="AA114" s="180">
        <f>ROUND(Z114*$D$8,0)</f>
        <v>9750960</v>
      </c>
      <c r="AB114" s="180"/>
      <c r="AC114" s="180">
        <f>AA114/24*AB114</f>
        <v>0</v>
      </c>
      <c r="AD114" s="180">
        <f>AA114/24*AB114*75%</f>
        <v>0</v>
      </c>
      <c r="AE114" s="180">
        <f>ROUND(AA114-AC114+AD114,0)</f>
        <v>9750960</v>
      </c>
      <c r="AF114" s="178">
        <f>AA114*8%</f>
        <v>780076.8</v>
      </c>
      <c r="AG114" s="178">
        <f>AA114*1.5%</f>
        <v>146264.4</v>
      </c>
      <c r="AH114" s="178">
        <f>AA114*1%</f>
        <v>97509.6</v>
      </c>
      <c r="AI114" s="178"/>
      <c r="AJ114" s="178">
        <f>SUM(AF114:AI114)</f>
        <v>1023850.8</v>
      </c>
      <c r="AK114" s="192"/>
      <c r="AL114" s="182">
        <f>AK114*$D$8</f>
        <v>0</v>
      </c>
      <c r="AM114" s="182"/>
      <c r="AN114" s="182"/>
      <c r="AO114" s="193">
        <f>R114+U114+W114</f>
        <v>4.67</v>
      </c>
      <c r="AP114" s="246">
        <v>0.25</v>
      </c>
      <c r="AQ114" s="194">
        <f>ROUND(AO114*AP114,4)</f>
        <v>1.1675</v>
      </c>
      <c r="AR114" s="178">
        <f>ROUND(AQ114*$D$8,0)</f>
        <v>2101500</v>
      </c>
      <c r="AS114" s="178"/>
      <c r="AT114" s="178">
        <f>ROUND(AE114-AJ114+AL114+AN114+AR114,0)</f>
        <v>10828609</v>
      </c>
      <c r="AU114" s="469">
        <f>A114</f>
        <v>96</v>
      </c>
      <c r="AV114" s="186"/>
      <c r="AW114" s="187" t="s">
        <v>704</v>
      </c>
    </row>
    <row r="115" spans="1:59" s="189" customFormat="1" ht="45" customHeight="1" x14ac:dyDescent="0.25">
      <c r="A115" s="168">
        <f>_xlfn.AGGREGATE(4,7,A$13:A114)+1</f>
        <v>97</v>
      </c>
      <c r="B115" s="168" t="str">
        <f>VLOOKUP(D115,[1]LuongBC_T01!$B$9:$C$292,2,FALSE)</f>
        <v>0016100006652004</v>
      </c>
      <c r="C115" s="864" t="s">
        <v>1042</v>
      </c>
      <c r="D115" s="230" t="s">
        <v>784</v>
      </c>
      <c r="E115" s="263" t="s">
        <v>1103</v>
      </c>
      <c r="F115" s="231"/>
      <c r="G115" s="251" t="s">
        <v>25</v>
      </c>
      <c r="H115" s="231"/>
      <c r="I115" s="169" t="s">
        <v>284</v>
      </c>
      <c r="J115" s="231"/>
      <c r="K115" s="170" t="str">
        <f>VLOOKUP(D115,[2]T3!$B$2:$D$328,3,FALSE)</f>
        <v>023124949</v>
      </c>
      <c r="L115" s="226" t="s">
        <v>792</v>
      </c>
      <c r="M115" s="226" t="s">
        <v>1042</v>
      </c>
      <c r="N115" s="829" t="str">
        <f>VLOOKUP(D115,'[6]Bao cao So GDDT'!$D$14:$S$282,11,FALSE)</f>
        <v>Chuyên viên</v>
      </c>
      <c r="O115" s="393" t="s">
        <v>39</v>
      </c>
      <c r="P115" s="170" t="s">
        <v>692</v>
      </c>
      <c r="Q115" s="170">
        <v>2</v>
      </c>
      <c r="R115" s="192">
        <v>3.33</v>
      </c>
      <c r="S115" s="176">
        <f t="shared" si="92"/>
        <v>0</v>
      </c>
      <c r="T115" s="178"/>
      <c r="U115" s="176">
        <f t="shared" si="73"/>
        <v>0</v>
      </c>
      <c r="V115" s="175">
        <f t="shared" ref="V115:V120" si="96">R115*T115*$D$8/100</f>
        <v>0</v>
      </c>
      <c r="W115" s="178"/>
      <c r="X115" s="179">
        <f>VLOOKUP(D115,PCTN!D141:W408,20,FALSE)</f>
        <v>0</v>
      </c>
      <c r="Y115" s="216">
        <f t="shared" si="74"/>
        <v>0</v>
      </c>
      <c r="Z115" s="216">
        <f t="shared" si="75"/>
        <v>3.33</v>
      </c>
      <c r="AA115" s="180">
        <f t="shared" si="76"/>
        <v>5994000</v>
      </c>
      <c r="AB115" s="180"/>
      <c r="AC115" s="180">
        <f t="shared" si="77"/>
        <v>0</v>
      </c>
      <c r="AD115" s="180">
        <f>AA115/24*AB115*75%</f>
        <v>0</v>
      </c>
      <c r="AE115" s="180">
        <f t="shared" si="78"/>
        <v>5994000</v>
      </c>
      <c r="AF115" s="178">
        <f t="shared" si="79"/>
        <v>479520</v>
      </c>
      <c r="AG115" s="178">
        <f t="shared" si="80"/>
        <v>89910</v>
      </c>
      <c r="AH115" s="178">
        <f t="shared" si="81"/>
        <v>59940</v>
      </c>
      <c r="AI115" s="178"/>
      <c r="AJ115" s="178">
        <f t="shared" si="82"/>
        <v>629370</v>
      </c>
      <c r="AK115" s="215"/>
      <c r="AL115" s="182">
        <f t="shared" si="94"/>
        <v>0</v>
      </c>
      <c r="AM115" s="182"/>
      <c r="AN115" s="182"/>
      <c r="AO115" s="216"/>
      <c r="AP115" s="179"/>
      <c r="AQ115" s="194">
        <f t="shared" si="83"/>
        <v>0</v>
      </c>
      <c r="AR115" s="178">
        <f t="shared" si="84"/>
        <v>0</v>
      </c>
      <c r="AS115" s="178"/>
      <c r="AT115" s="178">
        <f t="shared" si="85"/>
        <v>5364630</v>
      </c>
      <c r="AU115" s="469">
        <f t="shared" si="95"/>
        <v>97</v>
      </c>
      <c r="AV115" s="195"/>
      <c r="AW115" s="242"/>
      <c r="AX115" s="29"/>
      <c r="AY115" s="29"/>
      <c r="AZ115" s="29"/>
      <c r="BA115" s="29"/>
      <c r="BB115" s="29"/>
      <c r="BC115" s="29"/>
      <c r="BD115" s="29"/>
      <c r="BE115" s="29"/>
      <c r="BF115" s="29"/>
      <c r="BG115" s="29"/>
    </row>
    <row r="116" spans="1:59" s="189" customFormat="1" ht="38.25" x14ac:dyDescent="0.25">
      <c r="A116" s="168">
        <f>_xlfn.AGGREGATE(4,7,A$13:A115)+1</f>
        <v>98</v>
      </c>
      <c r="B116" s="168" t="str">
        <f>VLOOKUP(D116,[1]LuongBC_T01!$B$9:$C$292,2,FALSE)</f>
        <v>0016100006541008</v>
      </c>
      <c r="C116" s="864" t="s">
        <v>1044</v>
      </c>
      <c r="D116" s="169" t="s">
        <v>650</v>
      </c>
      <c r="E116" s="263" t="s">
        <v>1103</v>
      </c>
      <c r="F116" s="169" t="s">
        <v>549</v>
      </c>
      <c r="G116" s="170" t="s">
        <v>25</v>
      </c>
      <c r="H116" s="169"/>
      <c r="I116" s="169" t="s">
        <v>284</v>
      </c>
      <c r="J116" s="169"/>
      <c r="K116" s="170" t="str">
        <f>VLOOKUP(D116,[2]T3!$B$2:$D$328,3,FALSE)</f>
        <v>023660331</v>
      </c>
      <c r="L116" s="197">
        <v>1603205182178</v>
      </c>
      <c r="M116" s="197" t="s">
        <v>1044</v>
      </c>
      <c r="N116" s="829" t="str">
        <f>VLOOKUP(D116,'[6]Bao cao So GDDT'!$D$14:$S$282,11,FALSE)</f>
        <v>Chuyên viên</v>
      </c>
      <c r="O116" s="393" t="s">
        <v>39</v>
      </c>
      <c r="P116" s="170" t="s">
        <v>697</v>
      </c>
      <c r="Q116" s="170">
        <v>3</v>
      </c>
      <c r="R116" s="192">
        <v>3.66</v>
      </c>
      <c r="S116" s="176">
        <f t="shared" si="92"/>
        <v>0</v>
      </c>
      <c r="T116" s="178"/>
      <c r="U116" s="176">
        <f t="shared" si="73"/>
        <v>0</v>
      </c>
      <c r="V116" s="175">
        <f t="shared" si="96"/>
        <v>0</v>
      </c>
      <c r="W116" s="178"/>
      <c r="X116" s="179">
        <f>VLOOKUP(D116,PCTN!D143:W410,20,FALSE)</f>
        <v>0</v>
      </c>
      <c r="Y116" s="216">
        <f t="shared" si="74"/>
        <v>0</v>
      </c>
      <c r="Z116" s="216">
        <f t="shared" si="75"/>
        <v>3.66</v>
      </c>
      <c r="AA116" s="180">
        <f t="shared" si="76"/>
        <v>6588000</v>
      </c>
      <c r="AB116" s="180"/>
      <c r="AC116" s="180">
        <f t="shared" si="77"/>
        <v>0</v>
      </c>
      <c r="AD116" s="532">
        <f>AA116/24*AB116*75%</f>
        <v>0</v>
      </c>
      <c r="AE116" s="180">
        <f t="shared" si="78"/>
        <v>6588000</v>
      </c>
      <c r="AF116" s="533">
        <f t="shared" si="79"/>
        <v>527040</v>
      </c>
      <c r="AG116" s="533">
        <f t="shared" si="80"/>
        <v>98820</v>
      </c>
      <c r="AH116" s="533">
        <f t="shared" si="81"/>
        <v>65880</v>
      </c>
      <c r="AI116" s="178"/>
      <c r="AJ116" s="178">
        <f t="shared" si="82"/>
        <v>691740</v>
      </c>
      <c r="AK116" s="215"/>
      <c r="AL116" s="182">
        <f t="shared" si="94"/>
        <v>0</v>
      </c>
      <c r="AM116" s="182"/>
      <c r="AN116" s="182"/>
      <c r="AO116" s="193"/>
      <c r="AP116" s="179"/>
      <c r="AQ116" s="194">
        <f t="shared" si="83"/>
        <v>0</v>
      </c>
      <c r="AR116" s="178">
        <f t="shared" si="84"/>
        <v>0</v>
      </c>
      <c r="AS116" s="178"/>
      <c r="AT116" s="178">
        <f t="shared" si="85"/>
        <v>5896260</v>
      </c>
      <c r="AU116" s="469">
        <f t="shared" si="95"/>
        <v>98</v>
      </c>
      <c r="AV116" s="221"/>
      <c r="AW116" s="186" t="s">
        <v>709</v>
      </c>
      <c r="AX116" s="29"/>
      <c r="AY116" s="29"/>
      <c r="AZ116" s="29"/>
      <c r="BA116" s="29"/>
      <c r="BB116" s="29"/>
      <c r="BC116" s="29"/>
      <c r="BD116" s="29"/>
      <c r="BE116" s="29"/>
      <c r="BF116" s="29"/>
      <c r="BG116" s="29"/>
    </row>
    <row r="117" spans="1:59" s="189" customFormat="1" ht="38.25" x14ac:dyDescent="0.25">
      <c r="A117" s="168">
        <f>_xlfn.AGGREGATE(4,7,A$13:A116)+1</f>
        <v>99</v>
      </c>
      <c r="B117" s="168" t="str">
        <f>VLOOKUP(D117,[1]LuongBC_T01!$B$9:$C$292,2,FALSE)</f>
        <v>0016100006521007</v>
      </c>
      <c r="C117" s="858" t="s">
        <v>931</v>
      </c>
      <c r="D117" s="169" t="s">
        <v>657</v>
      </c>
      <c r="E117" s="263" t="s">
        <v>1103</v>
      </c>
      <c r="F117" s="169" t="s">
        <v>549</v>
      </c>
      <c r="G117" s="170" t="s">
        <v>25</v>
      </c>
      <c r="H117" s="169"/>
      <c r="I117" s="169" t="s">
        <v>284</v>
      </c>
      <c r="J117" s="169"/>
      <c r="K117" s="170" t="str">
        <f>VLOOKUP(D117,[2]T3!$B$2:$D$328,3,FALSE)</f>
        <v>026005827</v>
      </c>
      <c r="L117" s="197">
        <v>1603205182394</v>
      </c>
      <c r="M117" s="197" t="s">
        <v>931</v>
      </c>
      <c r="N117" s="263" t="str">
        <f>VLOOKUP(D117,'[6]Bao cao So GDDT'!$D$14:$S$282,11,FALSE)</f>
        <v>Chuyên viên</v>
      </c>
      <c r="O117" s="390" t="s">
        <v>39</v>
      </c>
      <c r="P117" s="170" t="s">
        <v>692</v>
      </c>
      <c r="Q117" s="170">
        <v>4</v>
      </c>
      <c r="R117" s="192">
        <v>3.99</v>
      </c>
      <c r="S117" s="176">
        <f t="shared" si="92"/>
        <v>0</v>
      </c>
      <c r="T117" s="178"/>
      <c r="U117" s="176">
        <f t="shared" si="73"/>
        <v>0</v>
      </c>
      <c r="V117" s="175">
        <f t="shared" si="96"/>
        <v>0</v>
      </c>
      <c r="W117" s="178"/>
      <c r="X117" s="179">
        <f>VLOOKUP(D117,PCTN!D148:W415,20,FALSE)</f>
        <v>0</v>
      </c>
      <c r="Y117" s="216">
        <f t="shared" si="74"/>
        <v>0</v>
      </c>
      <c r="Z117" s="216">
        <f t="shared" si="75"/>
        <v>3.99</v>
      </c>
      <c r="AA117" s="180">
        <f t="shared" si="76"/>
        <v>7182000</v>
      </c>
      <c r="AB117" s="180"/>
      <c r="AC117" s="180">
        <f t="shared" si="77"/>
        <v>0</v>
      </c>
      <c r="AD117" s="180">
        <f>AA117/24*AB117*75%</f>
        <v>0</v>
      </c>
      <c r="AE117" s="180">
        <f t="shared" si="78"/>
        <v>7182000</v>
      </c>
      <c r="AF117" s="178">
        <f t="shared" si="79"/>
        <v>574560</v>
      </c>
      <c r="AG117" s="178">
        <f t="shared" si="80"/>
        <v>107730</v>
      </c>
      <c r="AH117" s="178">
        <f t="shared" si="81"/>
        <v>71820</v>
      </c>
      <c r="AI117" s="178"/>
      <c r="AJ117" s="178">
        <f t="shared" si="82"/>
        <v>754110</v>
      </c>
      <c r="AK117" s="215"/>
      <c r="AL117" s="182">
        <f t="shared" si="94"/>
        <v>0</v>
      </c>
      <c r="AM117" s="182"/>
      <c r="AN117" s="182"/>
      <c r="AO117" s="216"/>
      <c r="AP117" s="179"/>
      <c r="AQ117" s="194">
        <f t="shared" si="83"/>
        <v>0</v>
      </c>
      <c r="AR117" s="178">
        <f t="shared" si="84"/>
        <v>0</v>
      </c>
      <c r="AS117" s="178"/>
      <c r="AT117" s="178">
        <f t="shared" si="85"/>
        <v>6427890</v>
      </c>
      <c r="AU117" s="469">
        <f t="shared" si="95"/>
        <v>99</v>
      </c>
      <c r="AV117" s="221"/>
      <c r="AW117" s="223" t="s">
        <v>705</v>
      </c>
      <c r="AX117" s="29"/>
      <c r="AY117" s="29">
        <f>3.66+0.35</f>
        <v>4.01</v>
      </c>
      <c r="AZ117" s="29">
        <f>3.33+0.35</f>
        <v>3.68</v>
      </c>
      <c r="BA117" s="29"/>
      <c r="BB117" s="29"/>
      <c r="BC117" s="29"/>
      <c r="BD117" s="29"/>
      <c r="BE117" s="29"/>
      <c r="BF117" s="29"/>
      <c r="BG117" s="29"/>
    </row>
    <row r="118" spans="1:59" s="189" customFormat="1" ht="38.25" x14ac:dyDescent="0.25">
      <c r="A118" s="168">
        <f>_xlfn.AGGREGATE(4,7,A$13:A117)+1</f>
        <v>100</v>
      </c>
      <c r="B118" s="168" t="str">
        <f>VLOOKUP(D118,[1]LuongBC_T01!$B$9:$C$292,2,FALSE)</f>
        <v>0016100006768002</v>
      </c>
      <c r="C118" s="30" t="s">
        <v>1320</v>
      </c>
      <c r="D118" s="169" t="s">
        <v>1280</v>
      </c>
      <c r="E118" s="263" t="s">
        <v>1103</v>
      </c>
      <c r="F118" s="169"/>
      <c r="G118" s="170"/>
      <c r="H118" s="169"/>
      <c r="I118" s="169"/>
      <c r="J118" s="169"/>
      <c r="K118" s="170" t="str">
        <f>VLOOKUP(D118,[2]T3!$B$2:$D$328,3,FALSE)</f>
        <v>197178714</v>
      </c>
      <c r="L118" s="197"/>
      <c r="M118" s="197"/>
      <c r="N118" s="829" t="str">
        <f>VLOOKUP(D118,'[6]Bao cao So GDDT'!$D$14:$S$282,11,FALSE)</f>
        <v>Chuyên viên</v>
      </c>
      <c r="O118" s="390" t="s">
        <v>39</v>
      </c>
      <c r="P118" s="170"/>
      <c r="Q118" s="170"/>
      <c r="R118" s="192">
        <v>3.33</v>
      </c>
      <c r="S118" s="176">
        <f t="shared" si="92"/>
        <v>0</v>
      </c>
      <c r="T118" s="178"/>
      <c r="U118" s="176">
        <f t="shared" si="73"/>
        <v>0</v>
      </c>
      <c r="V118" s="175">
        <f t="shared" si="96"/>
        <v>0</v>
      </c>
      <c r="W118" s="178"/>
      <c r="X118" s="179">
        <f>VLOOKUP(D118,PCTN!D149:W416,20,FALSE)</f>
        <v>0</v>
      </c>
      <c r="Y118" s="216">
        <f t="shared" si="74"/>
        <v>0</v>
      </c>
      <c r="Z118" s="216">
        <f t="shared" si="75"/>
        <v>3.33</v>
      </c>
      <c r="AA118" s="180">
        <f t="shared" si="76"/>
        <v>5994000</v>
      </c>
      <c r="AB118" s="180"/>
      <c r="AC118" s="180">
        <f t="shared" si="77"/>
        <v>0</v>
      </c>
      <c r="AD118" s="180">
        <v>0</v>
      </c>
      <c r="AE118" s="180">
        <f t="shared" si="78"/>
        <v>5994000</v>
      </c>
      <c r="AF118" s="178">
        <f t="shared" si="79"/>
        <v>479520</v>
      </c>
      <c r="AG118" s="178">
        <f t="shared" si="80"/>
        <v>89910</v>
      </c>
      <c r="AH118" s="178">
        <f t="shared" si="81"/>
        <v>59940</v>
      </c>
      <c r="AI118" s="178"/>
      <c r="AJ118" s="178">
        <f t="shared" si="82"/>
        <v>629370</v>
      </c>
      <c r="AK118" s="215"/>
      <c r="AL118" s="182">
        <f t="shared" si="94"/>
        <v>0</v>
      </c>
      <c r="AM118" s="182"/>
      <c r="AN118" s="182"/>
      <c r="AO118" s="216"/>
      <c r="AP118" s="179"/>
      <c r="AQ118" s="194">
        <f t="shared" si="83"/>
        <v>0</v>
      </c>
      <c r="AR118" s="178">
        <f t="shared" si="84"/>
        <v>0</v>
      </c>
      <c r="AS118" s="178"/>
      <c r="AT118" s="178">
        <f t="shared" si="85"/>
        <v>5364630</v>
      </c>
      <c r="AU118" s="469">
        <f t="shared" si="95"/>
        <v>100</v>
      </c>
      <c r="AV118" s="221"/>
      <c r="AW118" s="223"/>
      <c r="AX118" s="29"/>
      <c r="AY118" s="29">
        <f>AY117*1490000</f>
        <v>5974900</v>
      </c>
      <c r="AZ118" s="29">
        <f>AZ117*1490000</f>
        <v>5483200</v>
      </c>
      <c r="BA118" s="29"/>
      <c r="BB118" s="29"/>
      <c r="BC118" s="29"/>
      <c r="BD118" s="29"/>
      <c r="BE118" s="29"/>
      <c r="BF118" s="29"/>
      <c r="BG118" s="29"/>
    </row>
    <row r="119" spans="1:59" s="189" customFormat="1" ht="33.75" customHeight="1" x14ac:dyDescent="0.25">
      <c r="A119" s="168">
        <f>_xlfn.AGGREGATE(4,7,A$13:A118)+1</f>
        <v>101</v>
      </c>
      <c r="B119" s="168" t="str">
        <f>VLOOKUP(D119,[1]LuongBC_T01!$B$9:$C$292,2,FALSE)</f>
        <v>0016100006526009</v>
      </c>
      <c r="C119" s="858" t="s">
        <v>938</v>
      </c>
      <c r="D119" s="169" t="s">
        <v>656</v>
      </c>
      <c r="E119" s="263" t="s">
        <v>1103</v>
      </c>
      <c r="F119" s="169" t="s">
        <v>549</v>
      </c>
      <c r="G119" s="170" t="s">
        <v>25</v>
      </c>
      <c r="H119" s="169"/>
      <c r="I119" s="169" t="s">
        <v>284</v>
      </c>
      <c r="J119" s="169"/>
      <c r="K119" s="170" t="str">
        <f>VLOOKUP(D119,[2]T3!$B$2:$D$328,3,FALSE)</f>
        <v>024683155</v>
      </c>
      <c r="L119" s="213" t="s">
        <v>663</v>
      </c>
      <c r="M119" s="213" t="s">
        <v>938</v>
      </c>
      <c r="N119" s="829" t="str">
        <f>VLOOKUP(D119,'[6]Bao cao So GDDT'!$D$14:$S$282,11,FALSE)</f>
        <v>Chuyên viên</v>
      </c>
      <c r="O119" s="393" t="s">
        <v>39</v>
      </c>
      <c r="P119" s="170" t="s">
        <v>698</v>
      </c>
      <c r="Q119" s="170">
        <v>4</v>
      </c>
      <c r="R119" s="192">
        <v>3.33</v>
      </c>
      <c r="S119" s="176">
        <f t="shared" si="92"/>
        <v>0</v>
      </c>
      <c r="T119" s="178"/>
      <c r="U119" s="176">
        <f t="shared" ref="U119:U151" si="97">ROUND(R119*T119/100,4)</f>
        <v>0</v>
      </c>
      <c r="V119" s="175">
        <f t="shared" si="96"/>
        <v>0</v>
      </c>
      <c r="W119" s="178"/>
      <c r="X119" s="179">
        <f>VLOOKUP(D119,PCTN!D156:W423,20,FALSE)</f>
        <v>0</v>
      </c>
      <c r="Y119" s="216">
        <f t="shared" ref="Y119:Y151" si="98">ROUND((R119+U119+W119)*X119,4)</f>
        <v>0</v>
      </c>
      <c r="Z119" s="216">
        <f t="shared" ref="Z119:Z151" si="99">R119+U119+W119+Y119</f>
        <v>3.33</v>
      </c>
      <c r="AA119" s="180">
        <f t="shared" ref="AA119:AA151" si="100">ROUND(Z119*$D$8,0)</f>
        <v>5994000</v>
      </c>
      <c r="AB119" s="180"/>
      <c r="AC119" s="180">
        <f t="shared" ref="AC119:AC151" si="101">AA119/24*AB119</f>
        <v>0</v>
      </c>
      <c r="AD119" s="180">
        <v>0</v>
      </c>
      <c r="AE119" s="180">
        <f t="shared" ref="AE119:AE151" si="102">ROUND(AA119-AC119+AD119,0)</f>
        <v>5994000</v>
      </c>
      <c r="AF119" s="178">
        <f t="shared" ref="AF119:AF151" si="103">AA119*8%</f>
        <v>479520</v>
      </c>
      <c r="AG119" s="178">
        <f t="shared" ref="AG119:AG151" si="104">AA119*1.5%</f>
        <v>89910</v>
      </c>
      <c r="AH119" s="178">
        <f t="shared" ref="AH119:AH151" si="105">AA119*1%</f>
        <v>59940</v>
      </c>
      <c r="AI119" s="178"/>
      <c r="AJ119" s="178">
        <f t="shared" ref="AJ119:AJ151" si="106">SUM(AF119:AI119)</f>
        <v>629370</v>
      </c>
      <c r="AK119" s="215"/>
      <c r="AL119" s="182">
        <f t="shared" si="94"/>
        <v>0</v>
      </c>
      <c r="AM119" s="182"/>
      <c r="AN119" s="182"/>
      <c r="AO119" s="216"/>
      <c r="AP119" s="179"/>
      <c r="AQ119" s="194">
        <f t="shared" ref="AQ119:AQ151" si="107">ROUND(AO119*AP119,4)</f>
        <v>0</v>
      </c>
      <c r="AR119" s="178">
        <f t="shared" ref="AR119:AR151" si="108">ROUND(AQ119*$D$8,0)</f>
        <v>0</v>
      </c>
      <c r="AS119" s="178"/>
      <c r="AT119" s="178">
        <f t="shared" ref="AT119:AT151" si="109">ROUND(AE119-AJ119+AL119+AN119+AR119,0)</f>
        <v>5364630</v>
      </c>
      <c r="AU119" s="469">
        <f t="shared" si="95"/>
        <v>101</v>
      </c>
      <c r="AV119" s="221"/>
      <c r="AW119" s="52" t="s">
        <v>705</v>
      </c>
      <c r="AX119" s="29"/>
      <c r="AY119" s="29"/>
      <c r="AZ119" s="29"/>
      <c r="BA119" s="29"/>
      <c r="BB119" s="29"/>
      <c r="BC119" s="29"/>
      <c r="BD119" s="29"/>
      <c r="BE119" s="29"/>
      <c r="BF119" s="29"/>
      <c r="BG119" s="29"/>
    </row>
    <row r="120" spans="1:59" s="189" customFormat="1" ht="39" customHeight="1" x14ac:dyDescent="0.25">
      <c r="A120" s="168">
        <f>_xlfn.AGGREGATE(4,7,A$13:A119)+1</f>
        <v>102</v>
      </c>
      <c r="B120" s="168" t="str">
        <f>VLOOKUP(D120,[1]LuongBC_T01!$B$9:$C$292,2,FALSE)</f>
        <v>0016100006568003</v>
      </c>
      <c r="C120" s="724" t="s">
        <v>1317</v>
      </c>
      <c r="D120" s="169" t="s">
        <v>1124</v>
      </c>
      <c r="E120" s="263" t="s">
        <v>1103</v>
      </c>
      <c r="F120" s="169"/>
      <c r="G120" s="200"/>
      <c r="H120" s="200"/>
      <c r="I120" s="200"/>
      <c r="J120" s="200"/>
      <c r="K120" s="170" t="str">
        <f>VLOOKUP(D120,[2]T3!$B$2:$D$328,3,FALSE)</f>
        <v>023790449</v>
      </c>
      <c r="L120" s="201"/>
      <c r="M120" s="201"/>
      <c r="N120" s="263" t="str">
        <f>VLOOKUP(D120,'[6]Bao cao So GDDT'!$D$14:$S$282,11,FALSE)</f>
        <v>Chuyên viên</v>
      </c>
      <c r="O120" s="390" t="s">
        <v>39</v>
      </c>
      <c r="P120" s="222"/>
      <c r="Q120" s="172">
        <v>3</v>
      </c>
      <c r="R120" s="430">
        <v>3.66</v>
      </c>
      <c r="S120" s="176"/>
      <c r="T120" s="220"/>
      <c r="U120" s="176">
        <f t="shared" si="97"/>
        <v>0</v>
      </c>
      <c r="V120" s="175">
        <f t="shared" si="96"/>
        <v>0</v>
      </c>
      <c r="W120" s="170"/>
      <c r="X120" s="179">
        <f>VLOOKUP(D120,PCTN!D227:W494,20,FALSE)</f>
        <v>0</v>
      </c>
      <c r="Y120" s="216">
        <f t="shared" si="98"/>
        <v>0</v>
      </c>
      <c r="Z120" s="216">
        <f t="shared" si="99"/>
        <v>3.66</v>
      </c>
      <c r="AA120" s="180">
        <f t="shared" si="100"/>
        <v>6588000</v>
      </c>
      <c r="AB120" s="180"/>
      <c r="AC120" s="180">
        <f t="shared" si="101"/>
        <v>0</v>
      </c>
      <c r="AD120" s="180">
        <v>0</v>
      </c>
      <c r="AE120" s="180">
        <f t="shared" si="102"/>
        <v>6588000</v>
      </c>
      <c r="AF120" s="178">
        <f t="shared" si="103"/>
        <v>527040</v>
      </c>
      <c r="AG120" s="178">
        <f t="shared" si="104"/>
        <v>98820</v>
      </c>
      <c r="AH120" s="178">
        <f t="shared" si="105"/>
        <v>65880</v>
      </c>
      <c r="AI120" s="178"/>
      <c r="AJ120" s="178">
        <f t="shared" si="106"/>
        <v>691740</v>
      </c>
      <c r="AK120" s="192"/>
      <c r="AL120" s="182">
        <f t="shared" si="94"/>
        <v>0</v>
      </c>
      <c r="AM120" s="182"/>
      <c r="AN120" s="182"/>
      <c r="AO120" s="193">
        <f>R120+U120+W120</f>
        <v>3.66</v>
      </c>
      <c r="AP120" s="179"/>
      <c r="AQ120" s="194">
        <f t="shared" si="107"/>
        <v>0</v>
      </c>
      <c r="AR120" s="178">
        <f t="shared" si="108"/>
        <v>0</v>
      </c>
      <c r="AS120" s="178"/>
      <c r="AT120" s="178">
        <f t="shared" si="109"/>
        <v>5896260</v>
      </c>
      <c r="AU120" s="469">
        <f t="shared" si="95"/>
        <v>102</v>
      </c>
      <c r="AV120" s="195"/>
      <c r="AW120" s="656" t="s">
        <v>1125</v>
      </c>
    </row>
    <row r="121" spans="1:59" s="189" customFormat="1" ht="38.25" customHeight="1" x14ac:dyDescent="0.25">
      <c r="A121" s="168">
        <f>_xlfn.AGGREGATE(4,7,A$13:A120)+1</f>
        <v>103</v>
      </c>
      <c r="B121" s="168" t="str">
        <f>VLOOKUP(D121,[1]LuongBC_T01!$B$9:$C$292,2,FALSE)</f>
        <v>0016100006535008</v>
      </c>
      <c r="C121" s="199" t="s">
        <v>1023</v>
      </c>
      <c r="D121" s="230" t="s">
        <v>801</v>
      </c>
      <c r="E121" s="263" t="s">
        <v>1103</v>
      </c>
      <c r="F121" s="169"/>
      <c r="G121" s="170" t="s">
        <v>25</v>
      </c>
      <c r="H121" s="170"/>
      <c r="I121" s="170"/>
      <c r="J121" s="169"/>
      <c r="K121" s="170" t="str">
        <f>VLOOKUP(D121,[2]T3!$B$2:$D$328,3,FALSE)</f>
        <v>024985581</v>
      </c>
      <c r="L121" s="253"/>
      <c r="M121" s="253" t="s">
        <v>1023</v>
      </c>
      <c r="N121" s="263" t="str">
        <f>VLOOKUP(D121,'[6]Bao cao So GDDT'!$D$14:$S$282,11,FALSE)</f>
        <v>Cán sự</v>
      </c>
      <c r="O121" s="391" t="s">
        <v>43</v>
      </c>
      <c r="P121" s="222" t="s">
        <v>698</v>
      </c>
      <c r="Q121" s="172">
        <v>7</v>
      </c>
      <c r="R121" s="174">
        <v>3.96</v>
      </c>
      <c r="S121" s="176">
        <f t="shared" ref="S121:S128" si="110">U121+W121+Y121</f>
        <v>0</v>
      </c>
      <c r="T121" s="370"/>
      <c r="U121" s="176">
        <f t="shared" si="97"/>
        <v>0</v>
      </c>
      <c r="V121" s="175"/>
      <c r="W121" s="170"/>
      <c r="X121" s="179">
        <f>VLOOKUP(D121,PCTN!D150:W417,20,FALSE)</f>
        <v>0</v>
      </c>
      <c r="Y121" s="216">
        <f t="shared" si="98"/>
        <v>0</v>
      </c>
      <c r="Z121" s="216">
        <f t="shared" si="99"/>
        <v>3.96</v>
      </c>
      <c r="AA121" s="180">
        <f t="shared" si="100"/>
        <v>7128000</v>
      </c>
      <c r="AB121" s="180"/>
      <c r="AC121" s="180">
        <f t="shared" si="101"/>
        <v>0</v>
      </c>
      <c r="AD121" s="180">
        <f>AA121/24*AB121*75%</f>
        <v>0</v>
      </c>
      <c r="AE121" s="180">
        <f t="shared" si="102"/>
        <v>7128000</v>
      </c>
      <c r="AF121" s="178">
        <f t="shared" si="103"/>
        <v>570240</v>
      </c>
      <c r="AG121" s="178">
        <f t="shared" si="104"/>
        <v>106920</v>
      </c>
      <c r="AH121" s="178">
        <f t="shared" si="105"/>
        <v>71280</v>
      </c>
      <c r="AI121" s="178"/>
      <c r="AJ121" s="178">
        <f t="shared" si="106"/>
        <v>748440</v>
      </c>
      <c r="AK121" s="192"/>
      <c r="AL121" s="182">
        <f t="shared" si="94"/>
        <v>0</v>
      </c>
      <c r="AM121" s="182"/>
      <c r="AN121" s="182"/>
      <c r="AO121" s="193">
        <f>R121+U121+W121</f>
        <v>3.96</v>
      </c>
      <c r="AP121" s="246"/>
      <c r="AQ121" s="194">
        <f t="shared" si="107"/>
        <v>0</v>
      </c>
      <c r="AR121" s="178">
        <f t="shared" si="108"/>
        <v>0</v>
      </c>
      <c r="AS121" s="178"/>
      <c r="AT121" s="178">
        <f t="shared" si="109"/>
        <v>6379560</v>
      </c>
      <c r="AU121" s="469">
        <f t="shared" si="95"/>
        <v>103</v>
      </c>
      <c r="AV121" s="244"/>
      <c r="AW121" s="657" t="s">
        <v>1129</v>
      </c>
      <c r="AY121" s="189">
        <f>AY118*10.5%</f>
        <v>627364.5</v>
      </c>
      <c r="AZ121" s="189">
        <f>AZ118*10.5%</f>
        <v>575736</v>
      </c>
    </row>
    <row r="122" spans="1:59" s="191" customFormat="1" ht="42" customHeight="1" x14ac:dyDescent="0.25">
      <c r="A122" s="168">
        <f>_xlfn.AGGREGATE(4,7,A$13:A121)+1</f>
        <v>104</v>
      </c>
      <c r="B122" s="168" t="str">
        <f>VLOOKUP(D122,[1]LuongBC_T01!$B$9:$C$292,2,FALSE)</f>
        <v>0016100006711008</v>
      </c>
      <c r="C122" s="199" t="s">
        <v>967</v>
      </c>
      <c r="D122" s="169" t="s">
        <v>60</v>
      </c>
      <c r="E122" s="263" t="s">
        <v>1679</v>
      </c>
      <c r="F122" s="220" t="s">
        <v>549</v>
      </c>
      <c r="G122" s="200" t="s">
        <v>25</v>
      </c>
      <c r="H122" s="200" t="s">
        <v>283</v>
      </c>
      <c r="I122" s="200" t="s">
        <v>283</v>
      </c>
      <c r="J122" s="220" t="s">
        <v>242</v>
      </c>
      <c r="K122" s="170" t="str">
        <f>VLOOKUP(D122,[2]T3!$B$2:$D$328,3,FALSE)</f>
        <v>023444718</v>
      </c>
      <c r="L122" s="241" t="s">
        <v>163</v>
      </c>
      <c r="M122" s="241" t="s">
        <v>967</v>
      </c>
      <c r="N122" s="263" t="str">
        <f>VLOOKUP(D122,'[6]Bao cao So GDDT'!$D$14:$S$282,11,FALSE)</f>
        <v>Chuyên viên</v>
      </c>
      <c r="O122" s="390" t="s">
        <v>39</v>
      </c>
      <c r="P122" s="172" t="s">
        <v>692</v>
      </c>
      <c r="Q122" s="173">
        <v>4</v>
      </c>
      <c r="R122" s="174">
        <v>4.32</v>
      </c>
      <c r="S122" s="176">
        <f t="shared" si="110"/>
        <v>0</v>
      </c>
      <c r="T122" s="377"/>
      <c r="U122" s="176">
        <f t="shared" si="97"/>
        <v>0</v>
      </c>
      <c r="V122" s="175">
        <f t="shared" ref="V122:V128" si="111">R122*T122*$D$8/100</f>
        <v>0</v>
      </c>
      <c r="W122" s="200"/>
      <c r="X122" s="179">
        <f>VLOOKUP(D122,PCTN!D184:W451,20,FALSE)</f>
        <v>0</v>
      </c>
      <c r="Y122" s="216">
        <f t="shared" si="98"/>
        <v>0</v>
      </c>
      <c r="Z122" s="216">
        <f t="shared" si="99"/>
        <v>4.32</v>
      </c>
      <c r="AA122" s="180">
        <f t="shared" si="100"/>
        <v>7776000</v>
      </c>
      <c r="AB122" s="180"/>
      <c r="AC122" s="180">
        <f t="shared" si="101"/>
        <v>0</v>
      </c>
      <c r="AD122" s="180">
        <f>AA122/24*AB122*75%</f>
        <v>0</v>
      </c>
      <c r="AE122" s="180">
        <f t="shared" si="102"/>
        <v>7776000</v>
      </c>
      <c r="AF122" s="178">
        <f t="shared" si="103"/>
        <v>622080</v>
      </c>
      <c r="AG122" s="178">
        <f t="shared" si="104"/>
        <v>116640</v>
      </c>
      <c r="AH122" s="178">
        <f t="shared" si="105"/>
        <v>77760</v>
      </c>
      <c r="AI122" s="178"/>
      <c r="AJ122" s="178">
        <f t="shared" si="106"/>
        <v>816480</v>
      </c>
      <c r="AK122" s="181"/>
      <c r="AL122" s="182">
        <f t="shared" si="94"/>
        <v>0</v>
      </c>
      <c r="AM122" s="182"/>
      <c r="AN122" s="182"/>
      <c r="AO122" s="193">
        <f>R122+U122+W122</f>
        <v>4.32</v>
      </c>
      <c r="AP122" s="179">
        <v>0</v>
      </c>
      <c r="AQ122" s="194">
        <f t="shared" si="107"/>
        <v>0</v>
      </c>
      <c r="AR122" s="178">
        <f t="shared" si="108"/>
        <v>0</v>
      </c>
      <c r="AS122" s="178"/>
      <c r="AT122" s="178">
        <f t="shared" si="109"/>
        <v>6959520</v>
      </c>
      <c r="AU122" s="469">
        <f t="shared" ref="AU122:AU151" si="112">A122</f>
        <v>104</v>
      </c>
      <c r="AV122" s="195"/>
      <c r="AW122" s="187"/>
    </row>
    <row r="123" spans="1:59" s="189" customFormat="1" ht="48" customHeight="1" x14ac:dyDescent="0.25">
      <c r="A123" s="726">
        <f>_xlfn.AGGREGATE(4,7,A$13:A122)+1</f>
        <v>105</v>
      </c>
      <c r="B123" s="726" t="str">
        <f>VLOOKUP(D123,[1]LuongBC_T01!$B$9:$C$292,2,FALSE)</f>
        <v>0016100006654007</v>
      </c>
      <c r="C123" s="750" t="s">
        <v>1021</v>
      </c>
      <c r="D123" s="977" t="s">
        <v>804</v>
      </c>
      <c r="E123" s="729" t="s">
        <v>1103</v>
      </c>
      <c r="F123" s="728"/>
      <c r="G123" s="730" t="s">
        <v>25</v>
      </c>
      <c r="H123" s="730"/>
      <c r="I123" s="730"/>
      <c r="J123" s="728"/>
      <c r="K123" s="730" t="str">
        <f>VLOOKUP(D123,[2]T3!$B$2:$D$328,3,FALSE)</f>
        <v>020155632</v>
      </c>
      <c r="L123" s="987"/>
      <c r="M123" s="987" t="s">
        <v>1021</v>
      </c>
      <c r="N123" s="729" t="str">
        <f>VLOOKUP(D123,'[6]Bao cao So GDDT'!$D$14:$S$282,11,FALSE)</f>
        <v>Chuyên viên</v>
      </c>
      <c r="O123" s="988" t="s">
        <v>39</v>
      </c>
      <c r="P123" s="753" t="s">
        <v>692</v>
      </c>
      <c r="Q123" s="733">
        <v>5</v>
      </c>
      <c r="R123" s="735">
        <v>4.6500000000000004</v>
      </c>
      <c r="S123" s="736">
        <f t="shared" si="110"/>
        <v>0</v>
      </c>
      <c r="T123" s="737"/>
      <c r="U123" s="736">
        <f t="shared" si="97"/>
        <v>0</v>
      </c>
      <c r="V123" s="738">
        <f t="shared" si="111"/>
        <v>0</v>
      </c>
      <c r="W123" s="730"/>
      <c r="X123" s="739">
        <f>VLOOKUP(D123,PCTN!D133:W400,20,FALSE)</f>
        <v>0</v>
      </c>
      <c r="Y123" s="740">
        <f t="shared" si="98"/>
        <v>0</v>
      </c>
      <c r="Z123" s="740">
        <f t="shared" si="99"/>
        <v>4.6500000000000004</v>
      </c>
      <c r="AA123" s="741">
        <f t="shared" si="100"/>
        <v>8370000</v>
      </c>
      <c r="AB123" s="741"/>
      <c r="AC123" s="741">
        <f t="shared" si="101"/>
        <v>0</v>
      </c>
      <c r="AD123" s="741">
        <v>0</v>
      </c>
      <c r="AE123" s="741">
        <f t="shared" si="102"/>
        <v>8370000</v>
      </c>
      <c r="AF123" s="742">
        <f t="shared" si="103"/>
        <v>669600</v>
      </c>
      <c r="AG123" s="742">
        <f t="shared" si="104"/>
        <v>125550</v>
      </c>
      <c r="AH123" s="742">
        <f t="shared" si="105"/>
        <v>83700</v>
      </c>
      <c r="AI123" s="742"/>
      <c r="AJ123" s="742">
        <f t="shared" si="106"/>
        <v>878850</v>
      </c>
      <c r="AK123" s="743"/>
      <c r="AL123" s="744">
        <f t="shared" si="94"/>
        <v>0</v>
      </c>
      <c r="AM123" s="744"/>
      <c r="AN123" s="744"/>
      <c r="AO123" s="756">
        <f>R123+U123+W123</f>
        <v>4.6500000000000004</v>
      </c>
      <c r="AP123" s="757"/>
      <c r="AQ123" s="758">
        <f t="shared" si="107"/>
        <v>0</v>
      </c>
      <c r="AR123" s="742">
        <f t="shared" si="108"/>
        <v>0</v>
      </c>
      <c r="AS123" s="742"/>
      <c r="AT123" s="742">
        <f t="shared" si="109"/>
        <v>7491150</v>
      </c>
      <c r="AU123" s="748">
        <f t="shared" si="112"/>
        <v>105</v>
      </c>
      <c r="AV123" s="749"/>
      <c r="AW123" s="823" t="s">
        <v>1130</v>
      </c>
      <c r="AX123" s="29"/>
      <c r="AY123" s="29"/>
      <c r="AZ123" s="29"/>
      <c r="BA123" s="29"/>
      <c r="BB123" s="29"/>
      <c r="BC123" s="29"/>
      <c r="BD123" s="29"/>
      <c r="BE123" s="29"/>
      <c r="BF123" s="29"/>
      <c r="BG123" s="29"/>
    </row>
    <row r="124" spans="1:59" s="189" customFormat="1" ht="42" customHeight="1" x14ac:dyDescent="0.25">
      <c r="A124" s="168">
        <f>_xlfn.AGGREGATE(4,7,A$13:A123)+1</f>
        <v>106</v>
      </c>
      <c r="B124" s="168" t="str">
        <f>VLOOKUP(D124,[1]LuongBC_T01!$B$9:$C$292,2,FALSE)</f>
        <v>0016100006714007</v>
      </c>
      <c r="C124" s="199" t="s">
        <v>1001</v>
      </c>
      <c r="D124" s="169" t="s">
        <v>567</v>
      </c>
      <c r="E124" s="263" t="s">
        <v>1679</v>
      </c>
      <c r="F124" s="169" t="s">
        <v>549</v>
      </c>
      <c r="G124" s="200" t="s">
        <v>25</v>
      </c>
      <c r="H124" s="200" t="s">
        <v>284</v>
      </c>
      <c r="I124" s="200" t="s">
        <v>283</v>
      </c>
      <c r="J124" s="200" t="s">
        <v>576</v>
      </c>
      <c r="K124" s="170" t="str">
        <f>VLOOKUP(D124,[2]T3!$B$2:$D$328,3,FALSE)</f>
        <v>250443735</v>
      </c>
      <c r="L124" s="201" t="s">
        <v>598</v>
      </c>
      <c r="M124" s="201" t="s">
        <v>1001</v>
      </c>
      <c r="N124" s="263" t="str">
        <f>VLOOKUP(D124,'[6]Bao cao So GDDT'!$D$14:$S$282,11,FALSE)</f>
        <v>Chuyên viên</v>
      </c>
      <c r="O124" s="390" t="s">
        <v>39</v>
      </c>
      <c r="P124" s="170" t="s">
        <v>692</v>
      </c>
      <c r="Q124" s="170">
        <v>3</v>
      </c>
      <c r="R124" s="177">
        <v>3.66</v>
      </c>
      <c r="S124" s="176">
        <f t="shared" si="110"/>
        <v>0</v>
      </c>
      <c r="T124" s="220"/>
      <c r="U124" s="176">
        <f t="shared" si="97"/>
        <v>0</v>
      </c>
      <c r="V124" s="175">
        <f t="shared" si="111"/>
        <v>0</v>
      </c>
      <c r="W124" s="170"/>
      <c r="X124" s="179">
        <f>VLOOKUP(D124,PCTN!D226:W493,20,FALSE)</f>
        <v>0</v>
      </c>
      <c r="Y124" s="216">
        <f t="shared" si="98"/>
        <v>0</v>
      </c>
      <c r="Z124" s="216">
        <f t="shared" si="99"/>
        <v>3.66</v>
      </c>
      <c r="AA124" s="180">
        <f t="shared" si="100"/>
        <v>6588000</v>
      </c>
      <c r="AB124" s="180"/>
      <c r="AC124" s="180">
        <f t="shared" si="101"/>
        <v>0</v>
      </c>
      <c r="AD124" s="180">
        <v>0</v>
      </c>
      <c r="AE124" s="180">
        <f t="shared" si="102"/>
        <v>6588000</v>
      </c>
      <c r="AF124" s="178">
        <f t="shared" si="103"/>
        <v>527040</v>
      </c>
      <c r="AG124" s="178">
        <f t="shared" si="104"/>
        <v>98820</v>
      </c>
      <c r="AH124" s="178">
        <f t="shared" si="105"/>
        <v>65880</v>
      </c>
      <c r="AI124" s="178"/>
      <c r="AJ124" s="178">
        <f t="shared" si="106"/>
        <v>691740</v>
      </c>
      <c r="AK124" s="192"/>
      <c r="AL124" s="182">
        <f t="shared" si="94"/>
        <v>0</v>
      </c>
      <c r="AM124" s="182"/>
      <c r="AN124" s="182"/>
      <c r="AO124" s="193">
        <f>R124+U124+W124</f>
        <v>3.66</v>
      </c>
      <c r="AP124" s="179"/>
      <c r="AQ124" s="194">
        <f t="shared" si="107"/>
        <v>0</v>
      </c>
      <c r="AR124" s="178">
        <f t="shared" si="108"/>
        <v>0</v>
      </c>
      <c r="AS124" s="178"/>
      <c r="AT124" s="178">
        <f t="shared" si="109"/>
        <v>5896260</v>
      </c>
      <c r="AU124" s="469">
        <f t="shared" si="112"/>
        <v>106</v>
      </c>
      <c r="AV124" s="195"/>
      <c r="AW124" s="198" t="s">
        <v>728</v>
      </c>
      <c r="AX124" s="29"/>
      <c r="AY124" s="29"/>
      <c r="AZ124" s="29"/>
      <c r="BA124" s="29"/>
      <c r="BB124" s="29"/>
      <c r="BC124" s="29"/>
      <c r="BD124" s="29"/>
      <c r="BE124" s="29"/>
      <c r="BF124" s="29"/>
      <c r="BG124" s="29"/>
    </row>
    <row r="125" spans="1:59" s="189" customFormat="1" ht="42" customHeight="1" x14ac:dyDescent="0.25">
      <c r="A125" s="168">
        <f>_xlfn.AGGREGATE(4,7,A$13:A124)+1</f>
        <v>107</v>
      </c>
      <c r="B125" s="168" t="str">
        <f>VLOOKUP(D125,[1]LuongBC_T01!$B$9:$C$292,2,FALSE)</f>
        <v>0016100006719001</v>
      </c>
      <c r="C125" s="371" t="s">
        <v>1036</v>
      </c>
      <c r="D125" s="169" t="s">
        <v>649</v>
      </c>
      <c r="E125" s="263" t="s">
        <v>1679</v>
      </c>
      <c r="F125" s="169" t="s">
        <v>549</v>
      </c>
      <c r="G125" s="170" t="s">
        <v>25</v>
      </c>
      <c r="H125" s="169"/>
      <c r="I125" s="169" t="s">
        <v>284</v>
      </c>
      <c r="J125" s="169"/>
      <c r="K125" s="170" t="str">
        <f>VLOOKUP(D125,[2]T3!$B$2:$D$328,3,FALSE)</f>
        <v>025240565</v>
      </c>
      <c r="L125" s="197">
        <v>1603205189653</v>
      </c>
      <c r="M125" s="197" t="s">
        <v>1036</v>
      </c>
      <c r="N125" s="263" t="str">
        <f>VLOOKUP(D125,'[6]Bao cao So GDDT'!$D$14:$S$282,11,FALSE)</f>
        <v>Chuyên viên</v>
      </c>
      <c r="O125" s="393" t="s">
        <v>39</v>
      </c>
      <c r="P125" s="170" t="s">
        <v>692</v>
      </c>
      <c r="Q125" s="170">
        <v>4</v>
      </c>
      <c r="R125" s="192">
        <v>3.99</v>
      </c>
      <c r="S125" s="176">
        <f t="shared" si="110"/>
        <v>0</v>
      </c>
      <c r="T125" s="178"/>
      <c r="U125" s="176">
        <f t="shared" si="97"/>
        <v>0</v>
      </c>
      <c r="V125" s="175">
        <f t="shared" si="111"/>
        <v>0</v>
      </c>
      <c r="W125" s="178"/>
      <c r="X125" s="179">
        <f>VLOOKUP(D125,PCTN!D134:W401,20,FALSE)</f>
        <v>0</v>
      </c>
      <c r="Y125" s="216">
        <f t="shared" si="98"/>
        <v>0</v>
      </c>
      <c r="Z125" s="216">
        <f t="shared" si="99"/>
        <v>3.99</v>
      </c>
      <c r="AA125" s="180">
        <f t="shared" si="100"/>
        <v>7182000</v>
      </c>
      <c r="AB125" s="180"/>
      <c r="AC125" s="180">
        <f t="shared" si="101"/>
        <v>0</v>
      </c>
      <c r="AD125" s="180">
        <v>0</v>
      </c>
      <c r="AE125" s="180">
        <f t="shared" si="102"/>
        <v>7182000</v>
      </c>
      <c r="AF125" s="178">
        <f t="shared" si="103"/>
        <v>574560</v>
      </c>
      <c r="AG125" s="178">
        <f t="shared" si="104"/>
        <v>107730</v>
      </c>
      <c r="AH125" s="178">
        <f t="shared" si="105"/>
        <v>71820</v>
      </c>
      <c r="AI125" s="178"/>
      <c r="AJ125" s="178">
        <f t="shared" si="106"/>
        <v>754110</v>
      </c>
      <c r="AK125" s="215"/>
      <c r="AL125" s="182">
        <f t="shared" si="94"/>
        <v>0</v>
      </c>
      <c r="AM125" s="182"/>
      <c r="AN125" s="182"/>
      <c r="AO125" s="193"/>
      <c r="AP125" s="179"/>
      <c r="AQ125" s="194">
        <f t="shared" si="107"/>
        <v>0</v>
      </c>
      <c r="AR125" s="178">
        <f t="shared" si="108"/>
        <v>0</v>
      </c>
      <c r="AS125" s="178"/>
      <c r="AT125" s="178">
        <f t="shared" si="109"/>
        <v>6427890</v>
      </c>
      <c r="AU125" s="469">
        <f t="shared" si="112"/>
        <v>107</v>
      </c>
      <c r="AV125" s="221"/>
      <c r="AW125" s="245" t="s">
        <v>706</v>
      </c>
    </row>
    <row r="126" spans="1:59" s="189" customFormat="1" ht="41.25" customHeight="1" x14ac:dyDescent="0.25">
      <c r="A126" s="168">
        <f>_xlfn.AGGREGATE(4,7,A$13:A125)+1</f>
        <v>108</v>
      </c>
      <c r="B126" s="168" t="str">
        <f>VLOOKUP(D126,[1]LuongBC_T01!$B$9:$C$292,2,FALSE)</f>
        <v>0016100006498005</v>
      </c>
      <c r="C126" s="371" t="s">
        <v>1049</v>
      </c>
      <c r="D126" s="230" t="s">
        <v>1214</v>
      </c>
      <c r="E126" s="263" t="s">
        <v>1679</v>
      </c>
      <c r="F126" s="231"/>
      <c r="G126" s="251" t="s">
        <v>25</v>
      </c>
      <c r="H126" s="231"/>
      <c r="I126" s="231"/>
      <c r="J126" s="231"/>
      <c r="K126" s="170" t="str">
        <f>VLOOKUP(D126,[2]T3!$B$2:$D$328,3,FALSE)</f>
        <v>036186004635</v>
      </c>
      <c r="L126" s="226"/>
      <c r="M126" s="226" t="s">
        <v>1049</v>
      </c>
      <c r="N126" s="263" t="str">
        <f>VLOOKUP(D126,'[6]Bao cao So GDDT'!$D$14:$S$282,11,FALSE)</f>
        <v>Kế toán viên</v>
      </c>
      <c r="O126" s="393" t="s">
        <v>38</v>
      </c>
      <c r="P126" s="170" t="s">
        <v>692</v>
      </c>
      <c r="Q126" s="170">
        <v>3</v>
      </c>
      <c r="R126" s="177">
        <v>3.66</v>
      </c>
      <c r="S126" s="176">
        <f t="shared" si="110"/>
        <v>0</v>
      </c>
      <c r="T126" s="169"/>
      <c r="U126" s="176">
        <f t="shared" si="97"/>
        <v>0</v>
      </c>
      <c r="V126" s="175">
        <f t="shared" si="111"/>
        <v>0</v>
      </c>
      <c r="W126" s="170"/>
      <c r="X126" s="179">
        <f>VLOOKUP(D126,PCTN!D160:W427,20,FALSE)</f>
        <v>0</v>
      </c>
      <c r="Y126" s="216">
        <f t="shared" si="98"/>
        <v>0</v>
      </c>
      <c r="Z126" s="216">
        <f t="shared" si="99"/>
        <v>3.66</v>
      </c>
      <c r="AA126" s="180">
        <f t="shared" si="100"/>
        <v>6588000</v>
      </c>
      <c r="AB126" s="180"/>
      <c r="AC126" s="180">
        <f t="shared" si="101"/>
        <v>0</v>
      </c>
      <c r="AD126" s="180">
        <f t="shared" ref="AD126:AD134" si="113">AA126/24*AB126*75%</f>
        <v>0</v>
      </c>
      <c r="AE126" s="180">
        <f t="shared" si="102"/>
        <v>6588000</v>
      </c>
      <c r="AF126" s="178">
        <f t="shared" si="103"/>
        <v>527040</v>
      </c>
      <c r="AG126" s="178">
        <f t="shared" si="104"/>
        <v>98820</v>
      </c>
      <c r="AH126" s="178">
        <f t="shared" si="105"/>
        <v>65880</v>
      </c>
      <c r="AI126" s="178"/>
      <c r="AJ126" s="178">
        <f t="shared" si="106"/>
        <v>691740</v>
      </c>
      <c r="AK126" s="192"/>
      <c r="AL126" s="182">
        <f t="shared" si="94"/>
        <v>0</v>
      </c>
      <c r="AM126" s="182"/>
      <c r="AN126" s="182"/>
      <c r="AO126" s="183"/>
      <c r="AP126" s="179"/>
      <c r="AQ126" s="194">
        <f t="shared" si="107"/>
        <v>0</v>
      </c>
      <c r="AR126" s="178">
        <f t="shared" si="108"/>
        <v>0</v>
      </c>
      <c r="AS126" s="178"/>
      <c r="AT126" s="178">
        <f t="shared" si="109"/>
        <v>5896260</v>
      </c>
      <c r="AU126" s="469">
        <f t="shared" si="112"/>
        <v>108</v>
      </c>
      <c r="AV126" s="244"/>
      <c r="AW126" s="255" t="e">
        <f>AW96*3</f>
        <v>#VALUE!</v>
      </c>
      <c r="AY126" s="189">
        <f>3.33*1490000*1.8*3</f>
        <v>26793180</v>
      </c>
    </row>
    <row r="127" spans="1:59" s="189" customFormat="1" ht="35.25" customHeight="1" x14ac:dyDescent="0.25">
      <c r="A127" s="168">
        <f>_xlfn.AGGREGATE(4,7,A$13:A126)+1</f>
        <v>109</v>
      </c>
      <c r="B127" s="168" t="str">
        <f>VLOOKUP(D127,[1]LuongBC_T01!$B$9:$C$292,2,FALSE)</f>
        <v>0016100006682008</v>
      </c>
      <c r="C127" s="512" t="s">
        <v>912</v>
      </c>
      <c r="D127" s="524" t="s">
        <v>1200</v>
      </c>
      <c r="E127" s="521" t="s">
        <v>1574</v>
      </c>
      <c r="F127" s="524" t="s">
        <v>549</v>
      </c>
      <c r="G127" s="525" t="s">
        <v>25</v>
      </c>
      <c r="H127" s="525"/>
      <c r="I127" s="525" t="s">
        <v>284</v>
      </c>
      <c r="J127" s="524" t="s">
        <v>276</v>
      </c>
      <c r="K127" s="484" t="s">
        <v>1348</v>
      </c>
      <c r="L127" s="610" t="s">
        <v>129</v>
      </c>
      <c r="M127" s="610" t="s">
        <v>912</v>
      </c>
      <c r="N127" s="263" t="str">
        <f>VLOOKUP(D127,'[6]Bao cao So GDDT'!$D$14:$S$282,11,FALSE)</f>
        <v>Kế toán viên</v>
      </c>
      <c r="O127" s="611" t="s">
        <v>38</v>
      </c>
      <c r="P127" s="613" t="s">
        <v>692</v>
      </c>
      <c r="Q127" s="613">
        <v>5</v>
      </c>
      <c r="R127" s="614">
        <v>4.32</v>
      </c>
      <c r="S127" s="463">
        <f>U127+W127+Y127</f>
        <v>0.35</v>
      </c>
      <c r="T127" s="615"/>
      <c r="U127" s="463">
        <f>ROUND(R127*T127/100,4)</f>
        <v>0</v>
      </c>
      <c r="V127" s="529">
        <f>R127*T127*$D$8/100</f>
        <v>0</v>
      </c>
      <c r="W127" s="525">
        <v>0.35</v>
      </c>
      <c r="X127" s="179">
        <f>VLOOKUP(D127,PCTN!D106:W373,20,FALSE)</f>
        <v>0</v>
      </c>
      <c r="Y127" s="531">
        <f>ROUND((R127+U127+W127)*X127,4)</f>
        <v>0</v>
      </c>
      <c r="Z127" s="531">
        <f>R127+U127+W127+Y127</f>
        <v>4.67</v>
      </c>
      <c r="AA127" s="532">
        <f>ROUND(Z127*$D$8,0)</f>
        <v>8406000</v>
      </c>
      <c r="AB127" s="532"/>
      <c r="AC127" s="532">
        <f>AA127/24*AB127</f>
        <v>0</v>
      </c>
      <c r="AD127" s="532">
        <f>AA127/24*AB127*75%</f>
        <v>0</v>
      </c>
      <c r="AE127" s="532">
        <f>ROUND(AA127-AC127+AD127,0)</f>
        <v>8406000</v>
      </c>
      <c r="AF127" s="533">
        <f>AA127*8%</f>
        <v>672480</v>
      </c>
      <c r="AG127" s="533">
        <f>AA127*1.5%</f>
        <v>126090</v>
      </c>
      <c r="AH127" s="533">
        <f>AA127*1%</f>
        <v>84060</v>
      </c>
      <c r="AI127" s="533"/>
      <c r="AJ127" s="533">
        <f>SUM(AF127:AI127)</f>
        <v>882630</v>
      </c>
      <c r="AK127" s="534"/>
      <c r="AL127" s="535">
        <f>AK127*$D$8</f>
        <v>0</v>
      </c>
      <c r="AM127" s="535"/>
      <c r="AN127" s="535"/>
      <c r="AO127" s="616">
        <f>R127+U127+W127</f>
        <v>4.67</v>
      </c>
      <c r="AP127" s="530"/>
      <c r="AQ127" s="537">
        <f>ROUND(AO127*AP127,4)</f>
        <v>0</v>
      </c>
      <c r="AR127" s="533">
        <f>ROUND(AQ127*$D$8,0)</f>
        <v>0</v>
      </c>
      <c r="AS127" s="533"/>
      <c r="AT127" s="533">
        <f>ROUND(AE127-AJ127+AL127+AN127+AR127,0)</f>
        <v>7523370</v>
      </c>
      <c r="AU127" s="538">
        <f>A127</f>
        <v>109</v>
      </c>
      <c r="AV127" s="539"/>
      <c r="AW127" s="187"/>
      <c r="AX127" s="29"/>
      <c r="AY127" s="29"/>
      <c r="AZ127" s="29"/>
      <c r="BA127" s="29"/>
      <c r="BB127" s="29"/>
      <c r="BC127" s="29"/>
      <c r="BD127" s="29"/>
      <c r="BE127" s="29"/>
      <c r="BF127" s="29"/>
      <c r="BG127" s="29"/>
    </row>
    <row r="128" spans="1:59" s="189" customFormat="1" ht="31.5" customHeight="1" x14ac:dyDescent="0.25">
      <c r="A128" s="168">
        <f>_xlfn.AGGREGATE(4,7,A$13:A127)+1</f>
        <v>110</v>
      </c>
      <c r="B128" s="168" t="str">
        <f>VLOOKUP(D128,[1]LuongBC_T01!$B$9:$C$292,2,FALSE)</f>
        <v>0016100006792008</v>
      </c>
      <c r="C128" s="371" t="s">
        <v>1040</v>
      </c>
      <c r="D128" s="230" t="s">
        <v>780</v>
      </c>
      <c r="E128" s="263" t="s">
        <v>1470</v>
      </c>
      <c r="F128" s="231"/>
      <c r="G128" s="231"/>
      <c r="H128" s="231"/>
      <c r="I128" s="169" t="s">
        <v>284</v>
      </c>
      <c r="J128" s="231"/>
      <c r="K128" s="170" t="str">
        <f>VLOOKUP(D128,[2]T3!$B$2:$D$328,3,FALSE)</f>
        <v>079089006525</v>
      </c>
      <c r="L128" s="226">
        <v>1603205286752</v>
      </c>
      <c r="M128" s="226" t="s">
        <v>1040</v>
      </c>
      <c r="N128" s="263" t="str">
        <f>VLOOKUP(D128,'[6]Bao cao So GDDT'!$D$14:$S$282,11,FALSE)</f>
        <v>Kỹ sư (hạng III)</v>
      </c>
      <c r="O128" s="393" t="s">
        <v>1116</v>
      </c>
      <c r="P128" s="170" t="s">
        <v>692</v>
      </c>
      <c r="Q128" s="170">
        <v>3</v>
      </c>
      <c r="R128" s="192">
        <v>3.66</v>
      </c>
      <c r="S128" s="176">
        <f t="shared" si="110"/>
        <v>0</v>
      </c>
      <c r="T128" s="178"/>
      <c r="U128" s="176">
        <f t="shared" si="97"/>
        <v>0</v>
      </c>
      <c r="V128" s="175">
        <f t="shared" si="111"/>
        <v>0</v>
      </c>
      <c r="W128" s="178"/>
      <c r="X128" s="179">
        <f>VLOOKUP(D128,PCTN!D138:W405,20,FALSE)</f>
        <v>0</v>
      </c>
      <c r="Y128" s="216">
        <f t="shared" si="98"/>
        <v>0</v>
      </c>
      <c r="Z128" s="216">
        <f t="shared" si="99"/>
        <v>3.66</v>
      </c>
      <c r="AA128" s="180">
        <f t="shared" si="100"/>
        <v>6588000</v>
      </c>
      <c r="AB128" s="180"/>
      <c r="AC128" s="180">
        <f t="shared" si="101"/>
        <v>0</v>
      </c>
      <c r="AD128" s="180">
        <f t="shared" si="113"/>
        <v>0</v>
      </c>
      <c r="AE128" s="180">
        <f t="shared" si="102"/>
        <v>6588000</v>
      </c>
      <c r="AF128" s="178">
        <f t="shared" si="103"/>
        <v>527040</v>
      </c>
      <c r="AG128" s="178">
        <f t="shared" si="104"/>
        <v>98820</v>
      </c>
      <c r="AH128" s="178">
        <f t="shared" si="105"/>
        <v>65880</v>
      </c>
      <c r="AI128" s="178"/>
      <c r="AJ128" s="178">
        <f t="shared" si="106"/>
        <v>691740</v>
      </c>
      <c r="AK128" s="215"/>
      <c r="AL128" s="182">
        <f t="shared" si="94"/>
        <v>0</v>
      </c>
      <c r="AM128" s="182"/>
      <c r="AN128" s="182"/>
      <c r="AO128" s="216"/>
      <c r="AP128" s="179"/>
      <c r="AQ128" s="194">
        <f t="shared" si="107"/>
        <v>0</v>
      </c>
      <c r="AR128" s="178">
        <f t="shared" si="108"/>
        <v>0</v>
      </c>
      <c r="AS128" s="178"/>
      <c r="AT128" s="178">
        <f t="shared" si="109"/>
        <v>5896260</v>
      </c>
      <c r="AU128" s="469">
        <f t="shared" si="112"/>
        <v>110</v>
      </c>
      <c r="AV128" s="195"/>
      <c r="AW128" s="242"/>
    </row>
    <row r="129" spans="1:59" s="189" customFormat="1" ht="33.75" customHeight="1" x14ac:dyDescent="0.25">
      <c r="A129" s="168">
        <f>_xlfn.AGGREGATE(4,7,A$13:A128)+1</f>
        <v>111</v>
      </c>
      <c r="B129" s="168" t="str">
        <f>VLOOKUP(D129,[1]LuongBC_T01!$B$9:$C$292,2,FALSE)</f>
        <v>0016100006733004</v>
      </c>
      <c r="C129" s="199" t="s">
        <v>1022</v>
      </c>
      <c r="D129" s="230" t="s">
        <v>802</v>
      </c>
      <c r="E129" s="263" t="s">
        <v>1470</v>
      </c>
      <c r="F129" s="169"/>
      <c r="G129" s="170" t="s">
        <v>25</v>
      </c>
      <c r="H129" s="170"/>
      <c r="I129" s="170"/>
      <c r="J129" s="169"/>
      <c r="K129" s="170" t="str">
        <f>VLOOKUP(D129,[2]T3!$B$2:$D$328,3,FALSE)</f>
        <v>025442983</v>
      </c>
      <c r="L129" s="253"/>
      <c r="M129" s="253" t="s">
        <v>1022</v>
      </c>
      <c r="N129" s="263" t="str">
        <f>VLOOKUP(D129,'[6]Bao cao So GDDT'!$D$14:$S$282,11,FALSE)</f>
        <v>Chuyên viên</v>
      </c>
      <c r="O129" s="391" t="s">
        <v>39</v>
      </c>
      <c r="P129" s="222" t="s">
        <v>697</v>
      </c>
      <c r="Q129" s="172">
        <v>1</v>
      </c>
      <c r="R129" s="174">
        <v>3.66</v>
      </c>
      <c r="S129" s="176">
        <f t="shared" ref="S129:S142" si="114">U129+W129+Y129</f>
        <v>0</v>
      </c>
      <c r="T129" s="370"/>
      <c r="U129" s="176">
        <f t="shared" si="97"/>
        <v>0</v>
      </c>
      <c r="V129" s="175"/>
      <c r="W129" s="170"/>
      <c r="X129" s="179">
        <f>VLOOKUP(D129,PCTN!D144:W411,20,FALSE)</f>
        <v>0</v>
      </c>
      <c r="Y129" s="216">
        <f t="shared" si="98"/>
        <v>0</v>
      </c>
      <c r="Z129" s="216">
        <f t="shared" si="99"/>
        <v>3.66</v>
      </c>
      <c r="AA129" s="180">
        <f t="shared" si="100"/>
        <v>6588000</v>
      </c>
      <c r="AB129" s="180"/>
      <c r="AC129" s="180">
        <f t="shared" si="101"/>
        <v>0</v>
      </c>
      <c r="AD129" s="180">
        <f t="shared" si="113"/>
        <v>0</v>
      </c>
      <c r="AE129" s="180">
        <f t="shared" si="102"/>
        <v>6588000</v>
      </c>
      <c r="AF129" s="178">
        <f t="shared" si="103"/>
        <v>527040</v>
      </c>
      <c r="AG129" s="178">
        <f t="shared" si="104"/>
        <v>98820</v>
      </c>
      <c r="AH129" s="178">
        <f t="shared" si="105"/>
        <v>65880</v>
      </c>
      <c r="AI129" s="178"/>
      <c r="AJ129" s="178">
        <f t="shared" si="106"/>
        <v>691740</v>
      </c>
      <c r="AK129" s="192"/>
      <c r="AL129" s="182">
        <f t="shared" ref="AL129:AL145" si="115">AK129*$D$8</f>
        <v>0</v>
      </c>
      <c r="AM129" s="182"/>
      <c r="AN129" s="182"/>
      <c r="AO129" s="193">
        <f>R129+U129+W129</f>
        <v>3.66</v>
      </c>
      <c r="AP129" s="246"/>
      <c r="AQ129" s="194">
        <f t="shared" si="107"/>
        <v>0</v>
      </c>
      <c r="AR129" s="178">
        <f t="shared" si="108"/>
        <v>0</v>
      </c>
      <c r="AS129" s="178"/>
      <c r="AT129" s="178">
        <f t="shared" si="109"/>
        <v>5896260</v>
      </c>
      <c r="AU129" s="469">
        <f t="shared" si="112"/>
        <v>111</v>
      </c>
      <c r="AV129" s="195"/>
      <c r="AW129" s="198"/>
    </row>
    <row r="130" spans="1:59" s="189" customFormat="1" ht="36.75" customHeight="1" x14ac:dyDescent="0.25">
      <c r="A130" s="168">
        <f>_xlfn.AGGREGATE(4,7,A$13:A129)+1</f>
        <v>112</v>
      </c>
      <c r="B130" s="168" t="str">
        <f>VLOOKUP(D130,[1]LuongBC_T01!$B$9:$C$292,2,FALSE)</f>
        <v>0016100006685007</v>
      </c>
      <c r="C130" s="199" t="s">
        <v>935</v>
      </c>
      <c r="D130" s="169" t="s">
        <v>653</v>
      </c>
      <c r="E130" s="263" t="s">
        <v>1470</v>
      </c>
      <c r="F130" s="169" t="s">
        <v>553</v>
      </c>
      <c r="G130" s="170" t="s">
        <v>25</v>
      </c>
      <c r="H130" s="169"/>
      <c r="I130" s="169" t="s">
        <v>284</v>
      </c>
      <c r="J130" s="169"/>
      <c r="K130" s="170" t="str">
        <f>VLOOKUP(D130,[2]T3!$B$2:$D$328,3,FALSE)</f>
        <v>030186001391</v>
      </c>
      <c r="L130" s="197">
        <v>1603205182575</v>
      </c>
      <c r="M130" s="197" t="s">
        <v>935</v>
      </c>
      <c r="N130" s="263" t="str">
        <f>VLOOKUP(D130,'[6]Bao cao So GDDT'!$D$14:$S$282,11,FALSE)</f>
        <v>Chuyên viên</v>
      </c>
      <c r="O130" s="393" t="s">
        <v>39</v>
      </c>
      <c r="P130" s="170" t="s">
        <v>698</v>
      </c>
      <c r="Q130" s="170">
        <v>6</v>
      </c>
      <c r="R130" s="192">
        <v>3.66</v>
      </c>
      <c r="S130" s="176">
        <f t="shared" si="114"/>
        <v>0</v>
      </c>
      <c r="T130" s="178"/>
      <c r="U130" s="176">
        <f t="shared" si="97"/>
        <v>0</v>
      </c>
      <c r="V130" s="175">
        <f t="shared" ref="V130:V138" si="116">R130*T130*$D$8/100</f>
        <v>0</v>
      </c>
      <c r="W130" s="178"/>
      <c r="X130" s="179">
        <f>VLOOKUP(D130,PCTN!D154:W421,20,FALSE)</f>
        <v>0</v>
      </c>
      <c r="Y130" s="216">
        <f t="shared" si="98"/>
        <v>0</v>
      </c>
      <c r="Z130" s="216">
        <f t="shared" si="99"/>
        <v>3.66</v>
      </c>
      <c r="AA130" s="180">
        <f t="shared" si="100"/>
        <v>6588000</v>
      </c>
      <c r="AB130" s="180"/>
      <c r="AC130" s="180">
        <f t="shared" si="101"/>
        <v>0</v>
      </c>
      <c r="AD130" s="180">
        <f t="shared" si="113"/>
        <v>0</v>
      </c>
      <c r="AE130" s="180">
        <f t="shared" si="102"/>
        <v>6588000</v>
      </c>
      <c r="AF130" s="178">
        <f t="shared" si="103"/>
        <v>527040</v>
      </c>
      <c r="AG130" s="178">
        <f t="shared" si="104"/>
        <v>98820</v>
      </c>
      <c r="AH130" s="178">
        <f t="shared" si="105"/>
        <v>65880</v>
      </c>
      <c r="AI130" s="178"/>
      <c r="AJ130" s="178">
        <f t="shared" si="106"/>
        <v>691740</v>
      </c>
      <c r="AK130" s="215"/>
      <c r="AL130" s="182">
        <f t="shared" si="115"/>
        <v>0</v>
      </c>
      <c r="AM130" s="182"/>
      <c r="AN130" s="182"/>
      <c r="AO130" s="216"/>
      <c r="AP130" s="179"/>
      <c r="AQ130" s="194">
        <f t="shared" si="107"/>
        <v>0</v>
      </c>
      <c r="AR130" s="178">
        <f t="shared" si="108"/>
        <v>0</v>
      </c>
      <c r="AS130" s="178"/>
      <c r="AT130" s="178">
        <f t="shared" si="109"/>
        <v>5896260</v>
      </c>
      <c r="AU130" s="469">
        <f t="shared" si="112"/>
        <v>112</v>
      </c>
      <c r="AV130" s="195"/>
      <c r="AW130" s="217">
        <f>3.99*1800000*1.8</f>
        <v>12927600</v>
      </c>
    </row>
    <row r="131" spans="1:59" s="189" customFormat="1" ht="39" customHeight="1" x14ac:dyDescent="0.25">
      <c r="A131" s="726">
        <f>_xlfn.AGGREGATE(4,7,A$13:A130)+1</f>
        <v>113</v>
      </c>
      <c r="B131" s="726" t="str">
        <f>VLOOKUP(D131,[1]LuongBC_T01!$B$9:$C$292,2,FALSE)</f>
        <v>0016100006648007</v>
      </c>
      <c r="C131" s="750" t="s">
        <v>941</v>
      </c>
      <c r="D131" s="728" t="s">
        <v>823</v>
      </c>
      <c r="E131" s="729" t="s">
        <v>1426</v>
      </c>
      <c r="F131" s="728"/>
      <c r="G131" s="730"/>
      <c r="H131" s="730"/>
      <c r="I131" s="730"/>
      <c r="J131" s="728"/>
      <c r="K131" s="730" t="str">
        <f>VLOOKUP(D131,[2]T3!$B$2:$D$328,3,FALSE)</f>
        <v>024858065</v>
      </c>
      <c r="L131" s="980"/>
      <c r="M131" s="980" t="s">
        <v>941</v>
      </c>
      <c r="N131" s="729" t="s">
        <v>1602</v>
      </c>
      <c r="O131" s="732" t="s">
        <v>1601</v>
      </c>
      <c r="P131" s="753" t="s">
        <v>692</v>
      </c>
      <c r="Q131" s="733">
        <v>5</v>
      </c>
      <c r="R131" s="735">
        <v>4.74</v>
      </c>
      <c r="S131" s="736">
        <f t="shared" si="114"/>
        <v>1.4360999999999999</v>
      </c>
      <c r="T131" s="737"/>
      <c r="U131" s="736">
        <f t="shared" si="97"/>
        <v>0</v>
      </c>
      <c r="V131" s="738">
        <f t="shared" si="116"/>
        <v>0</v>
      </c>
      <c r="W131" s="730">
        <v>0.45</v>
      </c>
      <c r="X131" s="739">
        <v>0.19</v>
      </c>
      <c r="Y131" s="740">
        <f t="shared" si="98"/>
        <v>0.98609999999999998</v>
      </c>
      <c r="Z131" s="740">
        <f t="shared" si="99"/>
        <v>6.1760999999999999</v>
      </c>
      <c r="AA131" s="741">
        <f t="shared" si="100"/>
        <v>11116980</v>
      </c>
      <c r="AB131" s="741"/>
      <c r="AC131" s="741">
        <f t="shared" si="101"/>
        <v>0</v>
      </c>
      <c r="AD131" s="741">
        <f t="shared" si="113"/>
        <v>0</v>
      </c>
      <c r="AE131" s="741">
        <f t="shared" si="102"/>
        <v>11116980</v>
      </c>
      <c r="AF131" s="742">
        <f t="shared" si="103"/>
        <v>889358.4</v>
      </c>
      <c r="AG131" s="742">
        <f t="shared" si="104"/>
        <v>166754.69999999998</v>
      </c>
      <c r="AH131" s="742">
        <f t="shared" si="105"/>
        <v>111169.8</v>
      </c>
      <c r="AI131" s="742"/>
      <c r="AJ131" s="742">
        <f t="shared" si="106"/>
        <v>1167282.9000000001</v>
      </c>
      <c r="AK131" s="743"/>
      <c r="AL131" s="744">
        <f t="shared" si="115"/>
        <v>0</v>
      </c>
      <c r="AM131" s="744"/>
      <c r="AN131" s="744"/>
      <c r="AO131" s="756">
        <f>R131+U131+W131</f>
        <v>5.19</v>
      </c>
      <c r="AP131" s="757">
        <v>0.25</v>
      </c>
      <c r="AQ131" s="758">
        <f t="shared" si="107"/>
        <v>1.2975000000000001</v>
      </c>
      <c r="AR131" s="742">
        <f t="shared" si="108"/>
        <v>2335500</v>
      </c>
      <c r="AS131" s="742"/>
      <c r="AT131" s="742">
        <f t="shared" si="109"/>
        <v>12285197</v>
      </c>
      <c r="AU131" s="748">
        <f t="shared" si="112"/>
        <v>113</v>
      </c>
      <c r="AV131" s="981"/>
      <c r="AW131" s="242">
        <f>3.66*1800000*1.8</f>
        <v>11858400</v>
      </c>
    </row>
    <row r="132" spans="1:59" s="189" customFormat="1" ht="46.5" customHeight="1" x14ac:dyDescent="0.25">
      <c r="A132" s="168">
        <f>_xlfn.AGGREGATE(4,7,A$13:A131)+1</f>
        <v>114</v>
      </c>
      <c r="B132" s="168" t="str">
        <f>VLOOKUP(D132,[1]LuongBC_T01!$B$9:$C$292,2,FALSE)</f>
        <v>0016100006548002</v>
      </c>
      <c r="C132" s="858" t="s">
        <v>911</v>
      </c>
      <c r="D132" s="230" t="s">
        <v>782</v>
      </c>
      <c r="E132" s="263" t="s">
        <v>1678</v>
      </c>
      <c r="F132" s="231"/>
      <c r="G132" s="231"/>
      <c r="H132" s="200"/>
      <c r="I132" s="200" t="s">
        <v>284</v>
      </c>
      <c r="J132" s="231"/>
      <c r="K132" s="170" t="str">
        <f>VLOOKUP(D132,[2]T3!$B$2:$D$328,3,FALSE)</f>
        <v>250411489</v>
      </c>
      <c r="L132" s="226" t="s">
        <v>791</v>
      </c>
      <c r="M132" s="226" t="s">
        <v>911</v>
      </c>
      <c r="N132" s="829" t="str">
        <f>VLOOKUP(D132,'[6]Bao cao So GDDT'!$D$14:$S$282,11,FALSE)</f>
        <v>Kỹ sư (hạng III)</v>
      </c>
      <c r="O132" s="393" t="s">
        <v>1116</v>
      </c>
      <c r="P132" s="170" t="s">
        <v>692</v>
      </c>
      <c r="Q132" s="170">
        <v>5</v>
      </c>
      <c r="R132" s="177">
        <v>4.32</v>
      </c>
      <c r="S132" s="176">
        <f t="shared" si="114"/>
        <v>0.45</v>
      </c>
      <c r="T132" s="169"/>
      <c r="U132" s="176">
        <f t="shared" si="97"/>
        <v>0</v>
      </c>
      <c r="V132" s="175">
        <f t="shared" si="116"/>
        <v>0</v>
      </c>
      <c r="W132" s="170">
        <v>0.45</v>
      </c>
      <c r="X132" s="179">
        <f>VLOOKUP(D132,PCTN!D103:W370,20,FALSE)</f>
        <v>0</v>
      </c>
      <c r="Y132" s="216">
        <f t="shared" si="98"/>
        <v>0</v>
      </c>
      <c r="Z132" s="216">
        <f t="shared" si="99"/>
        <v>4.7700000000000005</v>
      </c>
      <c r="AA132" s="180">
        <f t="shared" si="100"/>
        <v>8586000</v>
      </c>
      <c r="AB132" s="180"/>
      <c r="AC132" s="180">
        <f t="shared" si="101"/>
        <v>0</v>
      </c>
      <c r="AD132" s="180">
        <f t="shared" si="113"/>
        <v>0</v>
      </c>
      <c r="AE132" s="180">
        <f t="shared" si="102"/>
        <v>8586000</v>
      </c>
      <c r="AF132" s="178">
        <f t="shared" si="103"/>
        <v>686880</v>
      </c>
      <c r="AG132" s="178">
        <f t="shared" si="104"/>
        <v>128790</v>
      </c>
      <c r="AH132" s="178">
        <f t="shared" si="105"/>
        <v>85860</v>
      </c>
      <c r="AI132" s="178"/>
      <c r="AJ132" s="178">
        <f t="shared" si="106"/>
        <v>901530</v>
      </c>
      <c r="AK132" s="192"/>
      <c r="AL132" s="182">
        <f t="shared" si="115"/>
        <v>0</v>
      </c>
      <c r="AM132" s="182"/>
      <c r="AN132" s="182"/>
      <c r="AO132" s="183">
        <f>R132+U132+W132</f>
        <v>4.7700000000000005</v>
      </c>
      <c r="AP132" s="179"/>
      <c r="AQ132" s="194">
        <f t="shared" si="107"/>
        <v>0</v>
      </c>
      <c r="AR132" s="178">
        <f t="shared" si="108"/>
        <v>0</v>
      </c>
      <c r="AS132" s="178"/>
      <c r="AT132" s="178">
        <f t="shared" si="109"/>
        <v>7684470</v>
      </c>
      <c r="AU132" s="469">
        <f t="shared" si="112"/>
        <v>114</v>
      </c>
      <c r="AV132" s="195"/>
      <c r="AW132" s="259">
        <f>AW130-AW131</f>
        <v>1069200</v>
      </c>
      <c r="AX132" s="29"/>
      <c r="AY132" s="29"/>
      <c r="AZ132" s="29"/>
      <c r="BA132" s="29"/>
      <c r="BB132" s="29"/>
      <c r="BC132" s="29"/>
      <c r="BD132" s="29"/>
      <c r="BE132" s="29"/>
      <c r="BF132" s="29"/>
      <c r="BG132" s="29"/>
    </row>
    <row r="133" spans="1:59" s="189" customFormat="1" ht="45" customHeight="1" x14ac:dyDescent="0.25">
      <c r="A133" s="168">
        <f>_xlfn.AGGREGATE(4,7,A$13:A132)+1</f>
        <v>115</v>
      </c>
      <c r="B133" s="168" t="str">
        <f>VLOOKUP(D133,[1]LuongBC_T01!$B$9:$C$292,2,FALSE)</f>
        <v>0016100006640006</v>
      </c>
      <c r="C133" s="858" t="s">
        <v>1082</v>
      </c>
      <c r="D133" s="169" t="s">
        <v>741</v>
      </c>
      <c r="E133" s="263" t="s">
        <v>1679</v>
      </c>
      <c r="F133" s="169"/>
      <c r="G133" s="170" t="s">
        <v>25</v>
      </c>
      <c r="H133" s="170"/>
      <c r="I133" s="200"/>
      <c r="J133" s="220" t="s">
        <v>689</v>
      </c>
      <c r="K133" s="170" t="str">
        <f>VLOOKUP(D133,[2]T3!$B$2:$D$328,3,FALSE)</f>
        <v>025638694</v>
      </c>
      <c r="L133" s="201" t="s">
        <v>688</v>
      </c>
      <c r="M133" s="201" t="s">
        <v>1082</v>
      </c>
      <c r="N133" s="829" t="str">
        <f>VLOOKUP(D133,'[6]Bao cao So GDDT'!$D$14:$S$282,11,FALSE)</f>
        <v>Giáo viên Trung học</v>
      </c>
      <c r="O133" s="390" t="s">
        <v>39</v>
      </c>
      <c r="P133" s="172" t="s">
        <v>692</v>
      </c>
      <c r="Q133" s="173">
        <v>4</v>
      </c>
      <c r="R133" s="174">
        <v>3.99</v>
      </c>
      <c r="S133" s="176">
        <f t="shared" si="114"/>
        <v>0</v>
      </c>
      <c r="T133" s="370"/>
      <c r="U133" s="176">
        <f t="shared" si="97"/>
        <v>0</v>
      </c>
      <c r="V133" s="175">
        <f t="shared" si="116"/>
        <v>0</v>
      </c>
      <c r="W133" s="170"/>
      <c r="X133" s="179">
        <f>VLOOKUP(D133,PCTN!D279:W546,20,FALSE)</f>
        <v>0</v>
      </c>
      <c r="Y133" s="216">
        <f t="shared" si="98"/>
        <v>0</v>
      </c>
      <c r="Z133" s="216">
        <f t="shared" si="99"/>
        <v>3.99</v>
      </c>
      <c r="AA133" s="180">
        <f t="shared" si="100"/>
        <v>7182000</v>
      </c>
      <c r="AB133" s="180"/>
      <c r="AC133" s="180">
        <f t="shared" si="101"/>
        <v>0</v>
      </c>
      <c r="AD133" s="180">
        <f t="shared" si="113"/>
        <v>0</v>
      </c>
      <c r="AE133" s="180">
        <f t="shared" si="102"/>
        <v>7182000</v>
      </c>
      <c r="AF133" s="178">
        <f t="shared" si="103"/>
        <v>574560</v>
      </c>
      <c r="AG133" s="178">
        <f t="shared" si="104"/>
        <v>107730</v>
      </c>
      <c r="AH133" s="178">
        <f t="shared" si="105"/>
        <v>71820</v>
      </c>
      <c r="AI133" s="178"/>
      <c r="AJ133" s="178">
        <f t="shared" si="106"/>
        <v>754110</v>
      </c>
      <c r="AK133" s="192"/>
      <c r="AL133" s="182">
        <f t="shared" si="115"/>
        <v>0</v>
      </c>
      <c r="AM133" s="182"/>
      <c r="AN133" s="182"/>
      <c r="AO133" s="193">
        <f>R133+U133+W133</f>
        <v>3.99</v>
      </c>
      <c r="AP133" s="179">
        <v>0</v>
      </c>
      <c r="AQ133" s="194">
        <f t="shared" si="107"/>
        <v>0</v>
      </c>
      <c r="AR133" s="178">
        <f t="shared" si="108"/>
        <v>0</v>
      </c>
      <c r="AS133" s="178"/>
      <c r="AT133" s="178">
        <f t="shared" si="109"/>
        <v>6427890</v>
      </c>
      <c r="AU133" s="469">
        <f t="shared" si="112"/>
        <v>115</v>
      </c>
      <c r="AV133" s="195"/>
      <c r="AW133" s="824" t="s">
        <v>704</v>
      </c>
      <c r="AX133" s="29"/>
      <c r="AY133" s="29"/>
      <c r="AZ133" s="29"/>
      <c r="BA133" s="29"/>
      <c r="BB133" s="29"/>
      <c r="BC133" s="29"/>
      <c r="BD133" s="29"/>
      <c r="BE133" s="29"/>
      <c r="BF133" s="29"/>
      <c r="BG133" s="29"/>
    </row>
    <row r="134" spans="1:59" s="189" customFormat="1" ht="42" customHeight="1" x14ac:dyDescent="0.25">
      <c r="A134" s="168">
        <f>_xlfn.AGGREGATE(4,7,A$13:A133)+1</f>
        <v>116</v>
      </c>
      <c r="B134" s="168" t="str">
        <f>VLOOKUP(D134,[1]LuongBC_T01!$B$9:$C$292,2,FALSE)</f>
        <v>0016100006563001</v>
      </c>
      <c r="C134" s="199" t="s">
        <v>916</v>
      </c>
      <c r="D134" s="169" t="s">
        <v>1202</v>
      </c>
      <c r="E134" s="263" t="s">
        <v>1557</v>
      </c>
      <c r="F134" s="169" t="s">
        <v>549</v>
      </c>
      <c r="G134" s="170"/>
      <c r="H134" s="170"/>
      <c r="I134" s="170" t="s">
        <v>284</v>
      </c>
      <c r="J134" s="169" t="s">
        <v>279</v>
      </c>
      <c r="K134" s="170" t="str">
        <f>VLOOKUP(D134,[2]T3!$B$2:$D$328,3,FALSE)</f>
        <v>023809591</v>
      </c>
      <c r="L134" s="171" t="s">
        <v>143</v>
      </c>
      <c r="M134" s="171" t="s">
        <v>916</v>
      </c>
      <c r="N134" s="263" t="str">
        <f>VLOOKUP(D134,'[6]Bao cao So GDDT'!$D$14:$S$282,11,FALSE)</f>
        <v>Giảng viên GDNN LT (hạng III)</v>
      </c>
      <c r="O134" s="390" t="s">
        <v>1438</v>
      </c>
      <c r="P134" s="222" t="s">
        <v>692</v>
      </c>
      <c r="Q134" s="172">
        <v>3</v>
      </c>
      <c r="R134" s="174">
        <v>3.66</v>
      </c>
      <c r="S134" s="176">
        <f t="shared" si="114"/>
        <v>0.90210000000000001</v>
      </c>
      <c r="T134" s="370"/>
      <c r="U134" s="176">
        <f t="shared" si="97"/>
        <v>0</v>
      </c>
      <c r="V134" s="175">
        <f t="shared" si="116"/>
        <v>0</v>
      </c>
      <c r="W134" s="170">
        <v>0.45</v>
      </c>
      <c r="X134" s="179">
        <v>0.11</v>
      </c>
      <c r="Y134" s="216">
        <f t="shared" si="98"/>
        <v>0.4521</v>
      </c>
      <c r="Z134" s="216">
        <f t="shared" si="99"/>
        <v>4.5621</v>
      </c>
      <c r="AA134" s="180">
        <f t="shared" si="100"/>
        <v>8211780</v>
      </c>
      <c r="AB134" s="180"/>
      <c r="AC134" s="180">
        <f t="shared" si="101"/>
        <v>0</v>
      </c>
      <c r="AD134" s="180">
        <f t="shared" si="113"/>
        <v>0</v>
      </c>
      <c r="AE134" s="180">
        <f t="shared" si="102"/>
        <v>8211780</v>
      </c>
      <c r="AF134" s="178">
        <f t="shared" si="103"/>
        <v>656942.4</v>
      </c>
      <c r="AG134" s="178">
        <f t="shared" si="104"/>
        <v>123176.7</v>
      </c>
      <c r="AH134" s="178">
        <f t="shared" si="105"/>
        <v>82117.8</v>
      </c>
      <c r="AI134" s="178"/>
      <c r="AJ134" s="178">
        <f t="shared" si="106"/>
        <v>862236.9</v>
      </c>
      <c r="AK134" s="192"/>
      <c r="AL134" s="182">
        <f t="shared" si="115"/>
        <v>0</v>
      </c>
      <c r="AM134" s="182"/>
      <c r="AN134" s="182"/>
      <c r="AO134" s="193">
        <f>R134+U134+W134</f>
        <v>4.1100000000000003</v>
      </c>
      <c r="AP134" s="246">
        <v>0.25</v>
      </c>
      <c r="AQ134" s="194">
        <f t="shared" si="107"/>
        <v>1.0275000000000001</v>
      </c>
      <c r="AR134" s="178">
        <f t="shared" si="108"/>
        <v>1849500</v>
      </c>
      <c r="AS134" s="178"/>
      <c r="AT134" s="178">
        <f t="shared" si="109"/>
        <v>9199043</v>
      </c>
      <c r="AU134" s="469">
        <f t="shared" si="112"/>
        <v>116</v>
      </c>
      <c r="AV134" s="195"/>
      <c r="AW134" s="186" t="s">
        <v>715</v>
      </c>
      <c r="AY134" s="189">
        <f>(4.01+0.33)*1800000</f>
        <v>7812000</v>
      </c>
    </row>
    <row r="135" spans="1:59" s="189" customFormat="1" ht="38.25" customHeight="1" x14ac:dyDescent="0.25">
      <c r="A135" s="168">
        <f>_xlfn.AGGREGATE(4,7,A$13:A134)+1</f>
        <v>117</v>
      </c>
      <c r="B135" s="168" t="s">
        <v>1429</v>
      </c>
      <c r="C135" s="565" t="s">
        <v>1414</v>
      </c>
      <c r="D135" s="544" t="s">
        <v>1404</v>
      </c>
      <c r="E135" s="263" t="s">
        <v>1651</v>
      </c>
      <c r="F135" s="564"/>
      <c r="G135" s="564"/>
      <c r="H135" s="564"/>
      <c r="I135" s="564"/>
      <c r="J135" s="564"/>
      <c r="K135" s="565"/>
      <c r="L135" s="564"/>
      <c r="M135" s="545"/>
      <c r="N135" s="263" t="str">
        <f>VLOOKUP(D135,'[6]Bao cao So GDDT'!$D$14:$S$282,11,FALSE)</f>
        <v>Giảng viên
(hạng III)</v>
      </c>
      <c r="O135" s="263" t="s">
        <v>807</v>
      </c>
      <c r="P135" s="566"/>
      <c r="Q135" s="566"/>
      <c r="R135" s="551">
        <v>3</v>
      </c>
      <c r="S135" s="546"/>
      <c r="T135" s="564"/>
      <c r="U135" s="546">
        <f>ROUND(R135*T135/100,4)</f>
        <v>0</v>
      </c>
      <c r="V135" s="547"/>
      <c r="W135" s="545">
        <v>0.35</v>
      </c>
      <c r="X135" s="179">
        <v>0.17</v>
      </c>
      <c r="Y135" s="548">
        <f>ROUND((R135+U135+W135)*X135,4)</f>
        <v>0.56950000000000001</v>
      </c>
      <c r="Z135" s="548">
        <f>R135+U135+W135+Y135</f>
        <v>3.9195000000000002</v>
      </c>
      <c r="AA135" s="549">
        <f>ROUND(Z135*$D$8,0)</f>
        <v>7055100</v>
      </c>
      <c r="AB135" s="549"/>
      <c r="AC135" s="549">
        <f>AA135/24*AB135</f>
        <v>0</v>
      </c>
      <c r="AD135" s="180">
        <f>AA135/24*AB135*75%</f>
        <v>0</v>
      </c>
      <c r="AE135" s="549">
        <f>ROUND(AA135-AC135+AD135,0)</f>
        <v>7055100</v>
      </c>
      <c r="AF135" s="550">
        <f>AA135*8%</f>
        <v>564408</v>
      </c>
      <c r="AG135" s="550">
        <f>AA135*1.5%</f>
        <v>105826.5</v>
      </c>
      <c r="AH135" s="550">
        <f>AA135*1%</f>
        <v>70551</v>
      </c>
      <c r="AI135" s="550"/>
      <c r="AJ135" s="550">
        <f>SUM(AF135:AI135)</f>
        <v>740785.5</v>
      </c>
      <c r="AK135" s="567"/>
      <c r="AL135" s="182">
        <f>AK135*$D$8</f>
        <v>0</v>
      </c>
      <c r="AM135" s="568"/>
      <c r="AN135" s="568"/>
      <c r="AO135" s="569">
        <f>R135+U135+W135</f>
        <v>3.35</v>
      </c>
      <c r="AP135" s="640">
        <v>0.25</v>
      </c>
      <c r="AQ135" s="185">
        <f>ROUND(AO135*AP135,4)</f>
        <v>0.83750000000000002</v>
      </c>
      <c r="AR135" s="178">
        <f>ROUND(AQ135*$D$8,0)</f>
        <v>1507500</v>
      </c>
      <c r="AS135" s="550"/>
      <c r="AT135" s="178">
        <f>ROUND(AE135-AJ135+AL135+AN135+AR135,0)</f>
        <v>7821815</v>
      </c>
      <c r="AU135" s="469">
        <f>A135</f>
        <v>117</v>
      </c>
      <c r="AV135" s="195"/>
      <c r="AW135" s="485"/>
    </row>
    <row r="136" spans="1:59" s="189" customFormat="1" ht="43.5" customHeight="1" x14ac:dyDescent="0.25">
      <c r="A136" s="168">
        <f>_xlfn.AGGREGATE(4,7,A$13:A135)+1</f>
        <v>118</v>
      </c>
      <c r="B136" s="168" t="str">
        <f>VLOOKUP(D136,[1]LuongBC_T01!$B$9:$C$292,2,FALSE)</f>
        <v>0016100006542004</v>
      </c>
      <c r="C136" s="199" t="s">
        <v>953</v>
      </c>
      <c r="D136" s="169" t="s">
        <v>756</v>
      </c>
      <c r="E136" s="263" t="s">
        <v>1403</v>
      </c>
      <c r="F136" s="169"/>
      <c r="G136" s="170"/>
      <c r="H136" s="170"/>
      <c r="I136" s="170"/>
      <c r="J136" s="169"/>
      <c r="K136" s="170" t="str">
        <f>VLOOKUP(D136,[2]T3!$B$2:$D$328,3,FALSE)</f>
        <v>079085002906</v>
      </c>
      <c r="L136" s="397" t="s">
        <v>764</v>
      </c>
      <c r="M136" s="397" t="s">
        <v>953</v>
      </c>
      <c r="N136" s="263" t="str">
        <f>VLOOKUP(D136,'[6]Bao cao So GDDT'!$D$14:$S$282,11,FALSE)</f>
        <v>Kỹ thuật viên (hạng IV)</v>
      </c>
      <c r="O136" s="390" t="s">
        <v>1118</v>
      </c>
      <c r="P136" s="222" t="s">
        <v>698</v>
      </c>
      <c r="Q136" s="172">
        <v>3</v>
      </c>
      <c r="R136" s="174">
        <v>3.26</v>
      </c>
      <c r="S136" s="176">
        <f t="shared" si="114"/>
        <v>0</v>
      </c>
      <c r="T136" s="370"/>
      <c r="U136" s="176">
        <f t="shared" si="97"/>
        <v>0</v>
      </c>
      <c r="V136" s="175">
        <f t="shared" si="116"/>
        <v>0</v>
      </c>
      <c r="W136" s="170"/>
      <c r="X136" s="179">
        <f>VLOOKUP(D136,PCTN!D167:W434,20,FALSE)</f>
        <v>0</v>
      </c>
      <c r="Y136" s="216">
        <f t="shared" si="98"/>
        <v>0</v>
      </c>
      <c r="Z136" s="216">
        <f t="shared" si="99"/>
        <v>3.26</v>
      </c>
      <c r="AA136" s="180">
        <f t="shared" si="100"/>
        <v>5868000</v>
      </c>
      <c r="AB136" s="180"/>
      <c r="AC136" s="180">
        <f t="shared" si="101"/>
        <v>0</v>
      </c>
      <c r="AD136" s="180">
        <v>0</v>
      </c>
      <c r="AE136" s="180">
        <f t="shared" si="102"/>
        <v>5868000</v>
      </c>
      <c r="AF136" s="178">
        <f t="shared" si="103"/>
        <v>469440</v>
      </c>
      <c r="AG136" s="178">
        <f t="shared" si="104"/>
        <v>88020</v>
      </c>
      <c r="AH136" s="178">
        <f t="shared" si="105"/>
        <v>58680</v>
      </c>
      <c r="AI136" s="178"/>
      <c r="AJ136" s="178">
        <f t="shared" si="106"/>
        <v>616140</v>
      </c>
      <c r="AK136" s="181"/>
      <c r="AL136" s="182">
        <f t="shared" si="115"/>
        <v>0</v>
      </c>
      <c r="AM136" s="182"/>
      <c r="AN136" s="182"/>
      <c r="AO136" s="193"/>
      <c r="AP136" s="179"/>
      <c r="AQ136" s="194">
        <f t="shared" si="107"/>
        <v>0</v>
      </c>
      <c r="AR136" s="178">
        <f t="shared" si="108"/>
        <v>0</v>
      </c>
      <c r="AS136" s="178"/>
      <c r="AT136" s="178">
        <f t="shared" si="109"/>
        <v>5251860</v>
      </c>
      <c r="AU136" s="469">
        <f t="shared" si="112"/>
        <v>118</v>
      </c>
      <c r="AV136" s="195"/>
      <c r="AW136" s="223"/>
      <c r="AY136" s="189">
        <f>AY134*10.5%</f>
        <v>820260</v>
      </c>
    </row>
    <row r="137" spans="1:59" s="189" customFormat="1" ht="42.75" customHeight="1" x14ac:dyDescent="0.25">
      <c r="A137" s="168">
        <f>_xlfn.AGGREGATE(4,7,A$13:A136)+1</f>
        <v>119</v>
      </c>
      <c r="B137" s="168" t="str">
        <f>VLOOKUP(D137,[1]LuongBC_T01!$B$9:$C$292,2,FALSE)</f>
        <v>0016100006562005</v>
      </c>
      <c r="C137" s="864" t="s">
        <v>1038</v>
      </c>
      <c r="D137" s="169" t="s">
        <v>783</v>
      </c>
      <c r="E137" s="263" t="s">
        <v>1403</v>
      </c>
      <c r="F137" s="169"/>
      <c r="G137" s="169"/>
      <c r="H137" s="169"/>
      <c r="I137" s="169" t="s">
        <v>284</v>
      </c>
      <c r="J137" s="169"/>
      <c r="K137" s="170" t="str">
        <f>VLOOKUP(D137,[2]T3!$B$2:$D$328,3,FALSE)</f>
        <v>025326360</v>
      </c>
      <c r="L137" s="213"/>
      <c r="M137" s="213" t="s">
        <v>1038</v>
      </c>
      <c r="N137" s="829" t="str">
        <f>VLOOKUP(D137,'[6]Bao cao So GDDT'!$D$14:$S$282,11,FALSE)</f>
        <v>Chuyên viên</v>
      </c>
      <c r="O137" s="393" t="s">
        <v>39</v>
      </c>
      <c r="P137" s="170" t="s">
        <v>692</v>
      </c>
      <c r="Q137" s="170">
        <v>3</v>
      </c>
      <c r="R137" s="192">
        <v>3.66</v>
      </c>
      <c r="S137" s="176">
        <f t="shared" si="114"/>
        <v>0</v>
      </c>
      <c r="T137" s="178"/>
      <c r="U137" s="176">
        <f t="shared" si="97"/>
        <v>0</v>
      </c>
      <c r="V137" s="175">
        <f t="shared" si="116"/>
        <v>0</v>
      </c>
      <c r="W137" s="178"/>
      <c r="X137" s="179">
        <f>VLOOKUP(D137,PCTN!D136:W403,20,FALSE)</f>
        <v>0</v>
      </c>
      <c r="Y137" s="216">
        <f t="shared" si="98"/>
        <v>0</v>
      </c>
      <c r="Z137" s="216">
        <f t="shared" si="99"/>
        <v>3.66</v>
      </c>
      <c r="AA137" s="180">
        <f t="shared" si="100"/>
        <v>6588000</v>
      </c>
      <c r="AB137" s="180"/>
      <c r="AC137" s="180">
        <f t="shared" si="101"/>
        <v>0</v>
      </c>
      <c r="AD137" s="180">
        <f t="shared" ref="AD137:AD142" si="117">AA137/24*AB137*75%</f>
        <v>0</v>
      </c>
      <c r="AE137" s="180">
        <f t="shared" si="102"/>
        <v>6588000</v>
      </c>
      <c r="AF137" s="178">
        <f t="shared" si="103"/>
        <v>527040</v>
      </c>
      <c r="AG137" s="178">
        <f t="shared" si="104"/>
        <v>98820</v>
      </c>
      <c r="AH137" s="178">
        <f t="shared" si="105"/>
        <v>65880</v>
      </c>
      <c r="AI137" s="178"/>
      <c r="AJ137" s="178">
        <f t="shared" si="106"/>
        <v>691740</v>
      </c>
      <c r="AK137" s="215"/>
      <c r="AL137" s="182">
        <f t="shared" si="115"/>
        <v>0</v>
      </c>
      <c r="AM137" s="182"/>
      <c r="AN137" s="182"/>
      <c r="AO137" s="193"/>
      <c r="AP137" s="179"/>
      <c r="AQ137" s="194">
        <f t="shared" si="107"/>
        <v>0</v>
      </c>
      <c r="AR137" s="178">
        <f t="shared" si="108"/>
        <v>0</v>
      </c>
      <c r="AS137" s="178"/>
      <c r="AT137" s="178">
        <f t="shared" si="109"/>
        <v>5896260</v>
      </c>
      <c r="AU137" s="469">
        <f t="shared" si="112"/>
        <v>119</v>
      </c>
      <c r="AV137" s="195"/>
      <c r="AW137" s="223"/>
      <c r="AX137" s="29"/>
      <c r="AY137" s="29">
        <f>AY134-AY136</f>
        <v>6991740</v>
      </c>
      <c r="AZ137" s="29"/>
      <c r="BA137" s="29"/>
      <c r="BB137" s="29"/>
      <c r="BC137" s="29"/>
      <c r="BD137" s="29"/>
      <c r="BE137" s="29"/>
      <c r="BF137" s="29"/>
      <c r="BG137" s="29"/>
    </row>
    <row r="138" spans="1:59" s="189" customFormat="1" ht="33" customHeight="1" x14ac:dyDescent="0.25">
      <c r="A138" s="168">
        <f>_xlfn.AGGREGATE(4,7,A$13:A137)+1</f>
        <v>120</v>
      </c>
      <c r="B138" s="168" t="str">
        <f>VLOOKUP(D138,[1]LuongBC_T01!$B$9:$C$292,2,FALSE)</f>
        <v>0016100006608005</v>
      </c>
      <c r="C138" s="199" t="s">
        <v>942</v>
      </c>
      <c r="D138" s="169" t="s">
        <v>818</v>
      </c>
      <c r="E138" s="263" t="s">
        <v>1245</v>
      </c>
      <c r="F138" s="169"/>
      <c r="G138" s="170"/>
      <c r="H138" s="170"/>
      <c r="I138" s="170"/>
      <c r="J138" s="169"/>
      <c r="K138" s="170" t="str">
        <f>VLOOKUP(D138,[2]T3!$B$2:$D$328,3,FALSE)</f>
        <v>022962107</v>
      </c>
      <c r="L138" s="249"/>
      <c r="M138" s="249" t="s">
        <v>942</v>
      </c>
      <c r="N138" s="263" t="str">
        <f>VLOOKUP(D138,'[6]Bao cao So GDDT'!$D$14:$S$282,11,FALSE)</f>
        <v>Giảng viên GDNN LT (hạng III)</v>
      </c>
      <c r="O138" s="390" t="s">
        <v>1438</v>
      </c>
      <c r="P138" s="222" t="s">
        <v>692</v>
      </c>
      <c r="Q138" s="172">
        <v>4</v>
      </c>
      <c r="R138" s="174">
        <v>3.99</v>
      </c>
      <c r="S138" s="176">
        <f t="shared" si="114"/>
        <v>1.2048000000000001</v>
      </c>
      <c r="T138" s="370"/>
      <c r="U138" s="176">
        <f t="shared" si="97"/>
        <v>0</v>
      </c>
      <c r="V138" s="175">
        <f t="shared" si="116"/>
        <v>0</v>
      </c>
      <c r="W138" s="170">
        <v>0.45</v>
      </c>
      <c r="X138" s="179">
        <v>0.17</v>
      </c>
      <c r="Y138" s="216">
        <f t="shared" si="98"/>
        <v>0.75480000000000003</v>
      </c>
      <c r="Z138" s="216">
        <f t="shared" si="99"/>
        <v>5.1948000000000008</v>
      </c>
      <c r="AA138" s="180">
        <f t="shared" si="100"/>
        <v>9350640</v>
      </c>
      <c r="AB138" s="180"/>
      <c r="AC138" s="180">
        <f t="shared" si="101"/>
        <v>0</v>
      </c>
      <c r="AD138" s="180">
        <f t="shared" si="117"/>
        <v>0</v>
      </c>
      <c r="AE138" s="180">
        <f t="shared" si="102"/>
        <v>9350640</v>
      </c>
      <c r="AF138" s="178">
        <f t="shared" si="103"/>
        <v>748051.20000000007</v>
      </c>
      <c r="AG138" s="178">
        <f t="shared" si="104"/>
        <v>140259.6</v>
      </c>
      <c r="AH138" s="178">
        <f t="shared" si="105"/>
        <v>93506.400000000009</v>
      </c>
      <c r="AI138" s="178"/>
      <c r="AJ138" s="178">
        <f t="shared" si="106"/>
        <v>981817.20000000007</v>
      </c>
      <c r="AK138" s="192"/>
      <c r="AL138" s="182">
        <f t="shared" si="115"/>
        <v>0</v>
      </c>
      <c r="AM138" s="182"/>
      <c r="AN138" s="182"/>
      <c r="AO138" s="193">
        <f t="shared" ref="AO138:AO177" si="118">R138+U138+W138</f>
        <v>4.4400000000000004</v>
      </c>
      <c r="AP138" s="246">
        <v>0.25</v>
      </c>
      <c r="AQ138" s="194">
        <f t="shared" si="107"/>
        <v>1.1100000000000001</v>
      </c>
      <c r="AR138" s="178">
        <f t="shared" si="108"/>
        <v>1998000</v>
      </c>
      <c r="AS138" s="178"/>
      <c r="AT138" s="178">
        <f t="shared" si="109"/>
        <v>10366823</v>
      </c>
      <c r="AU138" s="469">
        <f t="shared" si="112"/>
        <v>120</v>
      </c>
      <c r="AV138" s="244"/>
      <c r="AW138" s="242"/>
    </row>
    <row r="139" spans="1:59" s="189" customFormat="1" ht="33" customHeight="1" x14ac:dyDescent="0.25">
      <c r="A139" s="168">
        <f>_xlfn.AGGREGATE(4,7,A$13:A138)+1</f>
        <v>121</v>
      </c>
      <c r="B139" s="168" t="str">
        <f>VLOOKUP(D139,[1]LuongBC_T01!$B$9:$C$292,2,FALSE)</f>
        <v>0016100006633007</v>
      </c>
      <c r="C139" s="199" t="s">
        <v>1030</v>
      </c>
      <c r="D139" s="230" t="s">
        <v>754</v>
      </c>
      <c r="E139" s="263" t="s">
        <v>1416</v>
      </c>
      <c r="F139" s="231"/>
      <c r="G139" s="251" t="s">
        <v>25</v>
      </c>
      <c r="H139" s="231"/>
      <c r="I139" s="231"/>
      <c r="J139" s="231"/>
      <c r="K139" s="170" t="str">
        <f>VLOOKUP(D139,[2]T3!$B$2:$D$328,3,FALSE)</f>
        <v>025548580</v>
      </c>
      <c r="L139" s="931" t="s">
        <v>763</v>
      </c>
      <c r="M139" s="931" t="s">
        <v>1030</v>
      </c>
      <c r="N139" s="263" t="str">
        <f>VLOOKUP(D139,'[6]Bao cao So GDDT'!$D$14:$S$282,11,FALSE)</f>
        <v>Thư viện viên (hạng 3)</v>
      </c>
      <c r="O139" s="393" t="s">
        <v>1121</v>
      </c>
      <c r="P139" s="170" t="s">
        <v>692</v>
      </c>
      <c r="Q139" s="170">
        <v>2</v>
      </c>
      <c r="R139" s="177">
        <v>3.33</v>
      </c>
      <c r="S139" s="176">
        <f t="shared" si="114"/>
        <v>0</v>
      </c>
      <c r="T139" s="169"/>
      <c r="U139" s="176">
        <f t="shared" si="97"/>
        <v>0</v>
      </c>
      <c r="V139" s="175"/>
      <c r="W139" s="170"/>
      <c r="X139" s="179">
        <f>VLOOKUP(D139,PCTN!D281:W548,20,FALSE)</f>
        <v>0</v>
      </c>
      <c r="Y139" s="216">
        <f t="shared" si="98"/>
        <v>0</v>
      </c>
      <c r="Z139" s="216">
        <f t="shared" si="99"/>
        <v>3.33</v>
      </c>
      <c r="AA139" s="180">
        <f t="shared" si="100"/>
        <v>5994000</v>
      </c>
      <c r="AB139" s="180"/>
      <c r="AC139" s="180">
        <f t="shared" si="101"/>
        <v>0</v>
      </c>
      <c r="AD139" s="180">
        <f t="shared" si="117"/>
        <v>0</v>
      </c>
      <c r="AE139" s="180">
        <f t="shared" si="102"/>
        <v>5994000</v>
      </c>
      <c r="AF139" s="178">
        <f t="shared" si="103"/>
        <v>479520</v>
      </c>
      <c r="AG139" s="178">
        <f t="shared" si="104"/>
        <v>89910</v>
      </c>
      <c r="AH139" s="178">
        <f t="shared" si="105"/>
        <v>59940</v>
      </c>
      <c r="AI139" s="178"/>
      <c r="AJ139" s="178">
        <f t="shared" si="106"/>
        <v>629370</v>
      </c>
      <c r="AK139" s="192"/>
      <c r="AL139" s="182">
        <f t="shared" si="115"/>
        <v>0</v>
      </c>
      <c r="AM139" s="182"/>
      <c r="AN139" s="182"/>
      <c r="AO139" s="183">
        <f t="shared" si="118"/>
        <v>3.33</v>
      </c>
      <c r="AP139" s="179"/>
      <c r="AQ139" s="194">
        <f t="shared" si="107"/>
        <v>0</v>
      </c>
      <c r="AR139" s="178">
        <f t="shared" si="108"/>
        <v>0</v>
      </c>
      <c r="AS139" s="178"/>
      <c r="AT139" s="178">
        <f t="shared" si="109"/>
        <v>5364630</v>
      </c>
      <c r="AU139" s="469">
        <f t="shared" si="112"/>
        <v>121</v>
      </c>
      <c r="AV139" s="195"/>
      <c r="AW139" s="196"/>
    </row>
    <row r="140" spans="1:59" s="189" customFormat="1" ht="33" customHeight="1" x14ac:dyDescent="0.25">
      <c r="A140" s="168">
        <f>_xlfn.AGGREGATE(4,7,A$13:A139)+1</f>
        <v>122</v>
      </c>
      <c r="B140" s="168" t="str">
        <f>VLOOKUP(D140,[1]LuongBC_T01!$B$9:$C$292,2,FALSE)</f>
        <v>0016100006561009</v>
      </c>
      <c r="C140" s="864" t="s">
        <v>1043</v>
      </c>
      <c r="D140" s="230" t="s">
        <v>770</v>
      </c>
      <c r="E140" s="263" t="s">
        <v>1416</v>
      </c>
      <c r="F140" s="231"/>
      <c r="G140" s="251" t="s">
        <v>25</v>
      </c>
      <c r="H140" s="231"/>
      <c r="I140" s="169" t="s">
        <v>284</v>
      </c>
      <c r="J140" s="231"/>
      <c r="K140" s="170" t="str">
        <f>VLOOKUP(D140,[2]T3!$B$2:$D$328,3,FALSE)</f>
        <v>310895348</v>
      </c>
      <c r="L140" s="249">
        <v>1603205185623</v>
      </c>
      <c r="M140" s="249" t="s">
        <v>1043</v>
      </c>
      <c r="N140" s="263" t="str">
        <f>VLOOKUP(D140,'[6]Bao cao So GDDT'!$D$14:$S$282,11,FALSE)</f>
        <v>Chuyên viên</v>
      </c>
      <c r="O140" s="393" t="s">
        <v>39</v>
      </c>
      <c r="P140" s="170" t="s">
        <v>692</v>
      </c>
      <c r="Q140" s="170">
        <v>2</v>
      </c>
      <c r="R140" s="177">
        <v>3.33</v>
      </c>
      <c r="S140" s="176">
        <f t="shared" si="114"/>
        <v>0</v>
      </c>
      <c r="T140" s="169"/>
      <c r="U140" s="176">
        <f t="shared" si="97"/>
        <v>0</v>
      </c>
      <c r="V140" s="175">
        <f>R140*T140*$D$8/100</f>
        <v>0</v>
      </c>
      <c r="W140" s="170"/>
      <c r="X140" s="179">
        <f>VLOOKUP(D140,PCTN!D142:W409,20,FALSE)</f>
        <v>0</v>
      </c>
      <c r="Y140" s="216">
        <f t="shared" si="98"/>
        <v>0</v>
      </c>
      <c r="Z140" s="216">
        <f t="shared" si="99"/>
        <v>3.33</v>
      </c>
      <c r="AA140" s="180">
        <f t="shared" si="100"/>
        <v>5994000</v>
      </c>
      <c r="AB140" s="180"/>
      <c r="AC140" s="180">
        <f t="shared" si="101"/>
        <v>0</v>
      </c>
      <c r="AD140" s="180">
        <f t="shared" si="117"/>
        <v>0</v>
      </c>
      <c r="AE140" s="180">
        <f t="shared" si="102"/>
        <v>5994000</v>
      </c>
      <c r="AF140" s="178">
        <f t="shared" si="103"/>
        <v>479520</v>
      </c>
      <c r="AG140" s="178">
        <f t="shared" si="104"/>
        <v>89910</v>
      </c>
      <c r="AH140" s="178">
        <f t="shared" si="105"/>
        <v>59940</v>
      </c>
      <c r="AI140" s="178"/>
      <c r="AJ140" s="178">
        <f t="shared" si="106"/>
        <v>629370</v>
      </c>
      <c r="AK140" s="192"/>
      <c r="AL140" s="182">
        <f t="shared" si="115"/>
        <v>0</v>
      </c>
      <c r="AM140" s="182"/>
      <c r="AN140" s="182"/>
      <c r="AO140" s="183">
        <f t="shared" si="118"/>
        <v>3.33</v>
      </c>
      <c r="AP140" s="179"/>
      <c r="AQ140" s="194">
        <f t="shared" si="107"/>
        <v>0</v>
      </c>
      <c r="AR140" s="178">
        <f t="shared" si="108"/>
        <v>0</v>
      </c>
      <c r="AS140" s="178"/>
      <c r="AT140" s="178">
        <f t="shared" si="109"/>
        <v>5364630</v>
      </c>
      <c r="AU140" s="469">
        <f t="shared" si="112"/>
        <v>122</v>
      </c>
      <c r="AV140" s="195"/>
      <c r="AW140" s="239" t="s">
        <v>769</v>
      </c>
      <c r="AX140" s="29"/>
      <c r="AY140" s="29"/>
      <c r="AZ140" s="29"/>
      <c r="BA140" s="29"/>
      <c r="BB140" s="29"/>
      <c r="BC140" s="29"/>
      <c r="BD140" s="29"/>
      <c r="BE140" s="29"/>
      <c r="BF140" s="29"/>
      <c r="BG140" s="29"/>
    </row>
    <row r="141" spans="1:59" s="228" customFormat="1" ht="33" customHeight="1" x14ac:dyDescent="0.25">
      <c r="A141" s="168">
        <f>_xlfn.AGGREGATE(4,7,A$13:A140)+1</f>
        <v>123</v>
      </c>
      <c r="B141" s="168" t="str">
        <f>VLOOKUP(D141,[1]LuongBC_T01!$B$9:$C$292,2,FALSE)</f>
        <v>0016100006552007</v>
      </c>
      <c r="C141" s="199" t="s">
        <v>936</v>
      </c>
      <c r="D141" s="169" t="s">
        <v>1213</v>
      </c>
      <c r="E141" s="263" t="s">
        <v>1258</v>
      </c>
      <c r="F141" s="169" t="s">
        <v>553</v>
      </c>
      <c r="G141" s="170" t="s">
        <v>25</v>
      </c>
      <c r="H141" s="170"/>
      <c r="I141" s="170" t="s">
        <v>284</v>
      </c>
      <c r="J141" s="169" t="s">
        <v>277</v>
      </c>
      <c r="K141" s="170" t="str">
        <f>VLOOKUP(D141,[2]T3!$B$2:$D$328,3,FALSE)</f>
        <v>025530360</v>
      </c>
      <c r="L141" s="171" t="s">
        <v>130</v>
      </c>
      <c r="M141" s="171" t="s">
        <v>936</v>
      </c>
      <c r="N141" s="263" t="str">
        <f>VLOOKUP(D141,'[6]Bao cao So GDDT'!$D$14:$S$282,11,FALSE)</f>
        <v>Cán sự</v>
      </c>
      <c r="O141" s="391" t="s">
        <v>43</v>
      </c>
      <c r="P141" s="222" t="s">
        <v>698</v>
      </c>
      <c r="Q141" s="172">
        <v>6</v>
      </c>
      <c r="R141" s="174">
        <v>3.34</v>
      </c>
      <c r="S141" s="176">
        <f t="shared" si="114"/>
        <v>0</v>
      </c>
      <c r="T141" s="370"/>
      <c r="U141" s="176">
        <f t="shared" si="97"/>
        <v>0</v>
      </c>
      <c r="V141" s="175">
        <f>R141*T141*$D$8/100</f>
        <v>0</v>
      </c>
      <c r="W141" s="170"/>
      <c r="X141" s="179">
        <f>VLOOKUP(D141,PCTN!D155:W422,20,FALSE)</f>
        <v>0</v>
      </c>
      <c r="Y141" s="216">
        <f t="shared" si="98"/>
        <v>0</v>
      </c>
      <c r="Z141" s="216">
        <f t="shared" si="99"/>
        <v>3.34</v>
      </c>
      <c r="AA141" s="180">
        <f t="shared" si="100"/>
        <v>6012000</v>
      </c>
      <c r="AB141" s="180"/>
      <c r="AC141" s="180">
        <f t="shared" si="101"/>
        <v>0</v>
      </c>
      <c r="AD141" s="180">
        <f t="shared" si="117"/>
        <v>0</v>
      </c>
      <c r="AE141" s="180">
        <f t="shared" si="102"/>
        <v>6012000</v>
      </c>
      <c r="AF141" s="178">
        <f t="shared" si="103"/>
        <v>480960</v>
      </c>
      <c r="AG141" s="178">
        <f t="shared" si="104"/>
        <v>90180</v>
      </c>
      <c r="AH141" s="178">
        <f t="shared" si="105"/>
        <v>60120</v>
      </c>
      <c r="AI141" s="178"/>
      <c r="AJ141" s="178">
        <f t="shared" si="106"/>
        <v>631260</v>
      </c>
      <c r="AK141" s="192"/>
      <c r="AL141" s="182">
        <f t="shared" si="115"/>
        <v>0</v>
      </c>
      <c r="AM141" s="182"/>
      <c r="AN141" s="182"/>
      <c r="AO141" s="193">
        <f t="shared" si="118"/>
        <v>3.34</v>
      </c>
      <c r="AP141" s="179"/>
      <c r="AQ141" s="194">
        <f t="shared" si="107"/>
        <v>0</v>
      </c>
      <c r="AR141" s="178">
        <f t="shared" si="108"/>
        <v>0</v>
      </c>
      <c r="AS141" s="178"/>
      <c r="AT141" s="178">
        <f t="shared" si="109"/>
        <v>5380740</v>
      </c>
      <c r="AU141" s="469">
        <f t="shared" si="112"/>
        <v>123</v>
      </c>
      <c r="AV141" s="195"/>
      <c r="AW141" s="198" t="s">
        <v>701</v>
      </c>
    </row>
    <row r="142" spans="1:59" s="189" customFormat="1" ht="31.5" customHeight="1" x14ac:dyDescent="0.25">
      <c r="A142" s="168">
        <f>_xlfn.AGGREGATE(4,7,A$13:A141)+1</f>
        <v>124</v>
      </c>
      <c r="B142" s="168" t="str">
        <f>VLOOKUP(D142,[1]LuongBC_T01!$B$9:$C$292,2,FALSE)</f>
        <v>0016100007211001</v>
      </c>
      <c r="C142" s="170" t="s">
        <v>1318</v>
      </c>
      <c r="D142" s="169" t="s">
        <v>1281</v>
      </c>
      <c r="E142" s="263" t="s">
        <v>1680</v>
      </c>
      <c r="F142" s="169"/>
      <c r="G142" s="170"/>
      <c r="H142" s="170"/>
      <c r="I142" s="170"/>
      <c r="J142" s="169"/>
      <c r="K142" s="170" t="str">
        <f>VLOOKUP(D142,[2]T3!$B$2:$D$328,3,FALSE)</f>
        <v>240895328</v>
      </c>
      <c r="L142" s="249"/>
      <c r="M142" s="249"/>
      <c r="N142" s="263" t="str">
        <f>VLOOKUP(D142,'[6]Bao cao So GDDT'!$D$14:$S$282,11,FALSE)</f>
        <v>Giảng viên GDNN LT (hạng III)</v>
      </c>
      <c r="O142" s="390" t="s">
        <v>1438</v>
      </c>
      <c r="P142" s="222"/>
      <c r="Q142" s="172"/>
      <c r="R142" s="174">
        <v>3.66</v>
      </c>
      <c r="S142" s="176">
        <f t="shared" si="114"/>
        <v>0.98429999999999995</v>
      </c>
      <c r="T142" s="370"/>
      <c r="U142" s="176">
        <f t="shared" si="97"/>
        <v>0</v>
      </c>
      <c r="V142" s="175"/>
      <c r="W142" s="170">
        <v>0.45</v>
      </c>
      <c r="X142" s="179">
        <v>0.13</v>
      </c>
      <c r="Y142" s="216">
        <f t="shared" si="98"/>
        <v>0.5343</v>
      </c>
      <c r="Z142" s="216">
        <f t="shared" si="99"/>
        <v>4.6443000000000003</v>
      </c>
      <c r="AA142" s="180">
        <f t="shared" si="100"/>
        <v>8359740</v>
      </c>
      <c r="AB142" s="180"/>
      <c r="AC142" s="180">
        <f t="shared" si="101"/>
        <v>0</v>
      </c>
      <c r="AD142" s="180">
        <f t="shared" si="117"/>
        <v>0</v>
      </c>
      <c r="AE142" s="180">
        <f t="shared" si="102"/>
        <v>8359740</v>
      </c>
      <c r="AF142" s="178">
        <f t="shared" si="103"/>
        <v>668779.20000000007</v>
      </c>
      <c r="AG142" s="178">
        <f t="shared" si="104"/>
        <v>125396.09999999999</v>
      </c>
      <c r="AH142" s="178">
        <f t="shared" si="105"/>
        <v>83597.400000000009</v>
      </c>
      <c r="AI142" s="178"/>
      <c r="AJ142" s="178">
        <f t="shared" si="106"/>
        <v>877772.70000000007</v>
      </c>
      <c r="AK142" s="192"/>
      <c r="AL142" s="182">
        <f t="shared" si="115"/>
        <v>0</v>
      </c>
      <c r="AM142" s="182"/>
      <c r="AN142" s="182"/>
      <c r="AO142" s="183">
        <f t="shared" si="118"/>
        <v>4.1100000000000003</v>
      </c>
      <c r="AP142" s="179">
        <v>0.25</v>
      </c>
      <c r="AQ142" s="194">
        <f t="shared" si="107"/>
        <v>1.0275000000000001</v>
      </c>
      <c r="AR142" s="178">
        <f t="shared" si="108"/>
        <v>1849500</v>
      </c>
      <c r="AS142" s="178"/>
      <c r="AT142" s="178">
        <f t="shared" si="109"/>
        <v>9331467</v>
      </c>
      <c r="AU142" s="469">
        <f t="shared" si="112"/>
        <v>124</v>
      </c>
      <c r="AV142" s="244"/>
      <c r="AW142" s="242"/>
      <c r="AY142" s="670"/>
    </row>
    <row r="143" spans="1:59" s="189" customFormat="1" ht="43.5" customHeight="1" x14ac:dyDescent="0.25">
      <c r="A143" s="168">
        <f>_xlfn.AGGREGATE(4,7,A$13:A142)+1</f>
        <v>125</v>
      </c>
      <c r="B143" s="168" t="s">
        <v>1504</v>
      </c>
      <c r="C143" s="865" t="s">
        <v>1569</v>
      </c>
      <c r="D143" s="169" t="s">
        <v>1440</v>
      </c>
      <c r="E143" s="263" t="s">
        <v>1674</v>
      </c>
      <c r="F143" s="220"/>
      <c r="G143" s="220"/>
      <c r="H143" s="220"/>
      <c r="I143" s="220"/>
      <c r="J143" s="220"/>
      <c r="K143" s="168"/>
      <c r="L143" s="490" t="s">
        <v>1444</v>
      </c>
      <c r="M143" s="170"/>
      <c r="N143" s="263" t="str">
        <f>VLOOKUP(D143,'[6]Bao cao So GDDT'!$D$14:$S$282,11,FALSE)</f>
        <v>Giảng viên GDNN LT (hạng III)</v>
      </c>
      <c r="O143" s="662" t="s">
        <v>1438</v>
      </c>
      <c r="P143" s="251"/>
      <c r="Q143" s="251"/>
      <c r="R143" s="170">
        <v>2.67</v>
      </c>
      <c r="S143" s="176"/>
      <c r="T143" s="220"/>
      <c r="U143" s="176">
        <f>ROUND(R143*T143/100,4)</f>
        <v>0</v>
      </c>
      <c r="V143" s="175"/>
      <c r="W143" s="170"/>
      <c r="X143" s="179">
        <f>VLOOKUP(D143,PCTN!D90:W357,20,FALSE)</f>
        <v>0</v>
      </c>
      <c r="Y143" s="216">
        <f>ROUND((R143+U143+W143)*X143,4)</f>
        <v>0</v>
      </c>
      <c r="Z143" s="216">
        <f>R143+U143+W143+Y143</f>
        <v>2.67</v>
      </c>
      <c r="AA143" s="180">
        <f>ROUND(Z143*$D$8,0)</f>
        <v>4806000</v>
      </c>
      <c r="AB143" s="180"/>
      <c r="AC143" s="180">
        <f>AA143/24*AB143</f>
        <v>0</v>
      </c>
      <c r="AD143" s="180">
        <f t="shared" ref="AD143:AD148" si="119">AA143/24*AB143*75%</f>
        <v>0</v>
      </c>
      <c r="AE143" s="180">
        <f>ROUND(AA143-AC143+AD143,0)</f>
        <v>4806000</v>
      </c>
      <c r="AF143" s="178">
        <f>AA143*8%</f>
        <v>384480</v>
      </c>
      <c r="AG143" s="178">
        <f>AA143*1.5%</f>
        <v>72090</v>
      </c>
      <c r="AH143" s="178">
        <f>AA143*1%</f>
        <v>48060</v>
      </c>
      <c r="AI143" s="178"/>
      <c r="AJ143" s="178">
        <f>SUM(AF143:AI143)</f>
        <v>504630</v>
      </c>
      <c r="AK143" s="192"/>
      <c r="AL143" s="182">
        <f t="shared" si="115"/>
        <v>0</v>
      </c>
      <c r="AM143" s="182"/>
      <c r="AN143" s="182"/>
      <c r="AO143" s="183">
        <f>R143+U143+W143</f>
        <v>2.67</v>
      </c>
      <c r="AP143" s="640">
        <v>0.25</v>
      </c>
      <c r="AQ143" s="185">
        <f>ROUND(AO143*AP143,4)</f>
        <v>0.66749999999999998</v>
      </c>
      <c r="AR143" s="178">
        <f>ROUND(AQ143*$D$8,0)</f>
        <v>1201500</v>
      </c>
      <c r="AS143" s="178"/>
      <c r="AT143" s="178">
        <f>ROUND(AE143-AJ143+AL143+AN143+AR143,0)</f>
        <v>5502870</v>
      </c>
      <c r="AU143" s="538">
        <f>A143</f>
        <v>125</v>
      </c>
      <c r="AV143" s="195"/>
      <c r="AW143" s="659"/>
      <c r="AX143" s="29"/>
      <c r="AY143" s="871">
        <v>494563684</v>
      </c>
      <c r="AZ143" s="29">
        <v>459674048</v>
      </c>
      <c r="BA143" s="29"/>
      <c r="BB143" s="29"/>
      <c r="BC143" s="29"/>
      <c r="BD143" s="29"/>
      <c r="BE143" s="29"/>
      <c r="BF143" s="29"/>
      <c r="BG143" s="29"/>
    </row>
    <row r="144" spans="1:59" s="189" customFormat="1" ht="43.5" customHeight="1" x14ac:dyDescent="0.25">
      <c r="A144" s="168">
        <f>_xlfn.AGGREGATE(4,7,A$13:A143)+1</f>
        <v>126</v>
      </c>
      <c r="B144" s="168" t="s">
        <v>1498</v>
      </c>
      <c r="C144" s="660" t="s">
        <v>1568</v>
      </c>
      <c r="D144" s="169" t="s">
        <v>1486</v>
      </c>
      <c r="E144" s="263" t="s">
        <v>1674</v>
      </c>
      <c r="F144" s="220"/>
      <c r="G144" s="220"/>
      <c r="H144" s="220"/>
      <c r="I144" s="220"/>
      <c r="J144" s="220"/>
      <c r="K144" s="168">
        <v>273529511</v>
      </c>
      <c r="L144" s="490" t="s">
        <v>1489</v>
      </c>
      <c r="M144" s="170"/>
      <c r="N144" s="263" t="str">
        <f>VLOOKUP(D144,'[6]Bao cao So GDDT'!$D$14:$S$282,11,FALSE)</f>
        <v>Giảng viên GDNN LT (hạng III)</v>
      </c>
      <c r="O144" s="662" t="s">
        <v>1438</v>
      </c>
      <c r="P144" s="251"/>
      <c r="Q144" s="251"/>
      <c r="R144" s="170">
        <v>2.34</v>
      </c>
      <c r="S144" s="176"/>
      <c r="T144" s="220"/>
      <c r="U144" s="176">
        <f>ROUND(R144*T144/100,4)</f>
        <v>0</v>
      </c>
      <c r="V144" s="175"/>
      <c r="W144" s="170"/>
      <c r="X144" s="179">
        <v>0</v>
      </c>
      <c r="Y144" s="216">
        <f>ROUND((R144+U144+W144)*X144,4)</f>
        <v>0</v>
      </c>
      <c r="Z144" s="216">
        <f>R144+U144+W144+Y144</f>
        <v>2.34</v>
      </c>
      <c r="AA144" s="180">
        <f>ROUND(Z144*$D$8,0)</f>
        <v>4212000</v>
      </c>
      <c r="AB144" s="180"/>
      <c r="AC144" s="180">
        <f>AA144/24*AB144</f>
        <v>0</v>
      </c>
      <c r="AD144" s="180">
        <f t="shared" si="119"/>
        <v>0</v>
      </c>
      <c r="AE144" s="180">
        <f>ROUND(AA144-AC144+AD144,0)</f>
        <v>4212000</v>
      </c>
      <c r="AF144" s="178">
        <f>AA144*8%</f>
        <v>336960</v>
      </c>
      <c r="AG144" s="178">
        <f>AA144*1.5%</f>
        <v>63180</v>
      </c>
      <c r="AH144" s="178">
        <f>AA144*1%</f>
        <v>42120</v>
      </c>
      <c r="AI144" s="178"/>
      <c r="AJ144" s="178">
        <f>SUM(AF144:AI144)</f>
        <v>442260</v>
      </c>
      <c r="AK144" s="192"/>
      <c r="AL144" s="182">
        <f t="shared" si="115"/>
        <v>0</v>
      </c>
      <c r="AM144" s="182"/>
      <c r="AN144" s="182"/>
      <c r="AO144" s="183">
        <f>R144+U144+W144</f>
        <v>2.34</v>
      </c>
      <c r="AP144" s="640">
        <v>0.25</v>
      </c>
      <c r="AQ144" s="185">
        <f>ROUND(AO144*AP144,4)</f>
        <v>0.58499999999999996</v>
      </c>
      <c r="AR144" s="178">
        <f>ROUND(AQ144*$D$8,0)</f>
        <v>1053000</v>
      </c>
      <c r="AS144" s="178"/>
      <c r="AT144" s="178">
        <f>ROUND(AE144-AJ144+AL144+AN144+AR144,0)</f>
        <v>4822740</v>
      </c>
      <c r="AU144" s="538">
        <f>A144</f>
        <v>126</v>
      </c>
      <c r="AV144" s="195"/>
      <c r="AW144" s="195" t="s">
        <v>1484</v>
      </c>
      <c r="AX144" s="29"/>
      <c r="AY144" s="871">
        <f>AY143/12</f>
        <v>41213640.333333336</v>
      </c>
      <c r="AZ144" s="871">
        <f>AZ143/12</f>
        <v>38306170.666666664</v>
      </c>
      <c r="BA144" s="29"/>
      <c r="BB144" s="29"/>
      <c r="BC144" s="29"/>
      <c r="BD144" s="29"/>
      <c r="BE144" s="29"/>
      <c r="BF144" s="29"/>
      <c r="BG144" s="29"/>
    </row>
    <row r="145" spans="1:59" s="189" customFormat="1" ht="31.5" customHeight="1" x14ac:dyDescent="0.25">
      <c r="A145" s="168">
        <f>_xlfn.AGGREGATE(4,7,A$13:A144)+1</f>
        <v>127</v>
      </c>
      <c r="B145" s="168" t="str">
        <f>VLOOKUP(D145,[1]LuongBC_T01!$B$9:$C$292,2,FALSE)</f>
        <v>0016100006603003</v>
      </c>
      <c r="C145" s="199" t="s">
        <v>945</v>
      </c>
      <c r="D145" s="169" t="s">
        <v>817</v>
      </c>
      <c r="E145" s="263" t="s">
        <v>1597</v>
      </c>
      <c r="F145" s="169"/>
      <c r="G145" s="170" t="s">
        <v>25</v>
      </c>
      <c r="H145" s="170"/>
      <c r="I145" s="170"/>
      <c r="J145" s="169"/>
      <c r="K145" s="170" t="str">
        <f>VLOOKUP(D145,[2]T3!$B$2:$D$328,3,FALSE)</f>
        <v>054182000015</v>
      </c>
      <c r="L145" s="249"/>
      <c r="M145" s="249" t="s">
        <v>945</v>
      </c>
      <c r="N145" s="263" t="str">
        <f>VLOOKUP(D145,'[6]Bao cao So GDDT'!$D$14:$S$282,11,FALSE)</f>
        <v>Giảng viên GDNN LT (hạng III)</v>
      </c>
      <c r="O145" s="390" t="s">
        <v>1438</v>
      </c>
      <c r="P145" s="222" t="s">
        <v>692</v>
      </c>
      <c r="Q145" s="172">
        <v>3</v>
      </c>
      <c r="R145" s="174">
        <v>3.66</v>
      </c>
      <c r="S145" s="176">
        <f t="shared" ref="S145:S149" si="120">U145+W145+Y145</f>
        <v>0.87129999999999996</v>
      </c>
      <c r="T145" s="370"/>
      <c r="U145" s="176">
        <f t="shared" si="97"/>
        <v>0</v>
      </c>
      <c r="V145" s="175">
        <f t="shared" ref="V145:V149" si="121">R145*T145*$D$8/100</f>
        <v>0</v>
      </c>
      <c r="W145" s="170">
        <v>0.35</v>
      </c>
      <c r="X145" s="179">
        <v>0.13</v>
      </c>
      <c r="Y145" s="216">
        <f t="shared" si="98"/>
        <v>0.52129999999999999</v>
      </c>
      <c r="Z145" s="216">
        <f t="shared" si="99"/>
        <v>4.5312999999999999</v>
      </c>
      <c r="AA145" s="180">
        <f t="shared" si="100"/>
        <v>8156340</v>
      </c>
      <c r="AB145" s="180"/>
      <c r="AC145" s="180">
        <f t="shared" si="101"/>
        <v>0</v>
      </c>
      <c r="AD145" s="180">
        <f t="shared" si="119"/>
        <v>0</v>
      </c>
      <c r="AE145" s="180">
        <f t="shared" si="102"/>
        <v>8156340</v>
      </c>
      <c r="AF145" s="178">
        <f t="shared" si="103"/>
        <v>652507.20000000007</v>
      </c>
      <c r="AG145" s="178">
        <f t="shared" si="104"/>
        <v>122345.09999999999</v>
      </c>
      <c r="AH145" s="178">
        <f t="shared" si="105"/>
        <v>81563.400000000009</v>
      </c>
      <c r="AI145" s="178"/>
      <c r="AJ145" s="178">
        <f t="shared" si="106"/>
        <v>856415.70000000007</v>
      </c>
      <c r="AK145" s="192"/>
      <c r="AL145" s="182">
        <f t="shared" si="115"/>
        <v>0</v>
      </c>
      <c r="AM145" s="182"/>
      <c r="AN145" s="182"/>
      <c r="AO145" s="193">
        <f t="shared" si="118"/>
        <v>4.01</v>
      </c>
      <c r="AP145" s="246">
        <v>0.25</v>
      </c>
      <c r="AQ145" s="194">
        <f t="shared" si="107"/>
        <v>1.0024999999999999</v>
      </c>
      <c r="AR145" s="178">
        <f t="shared" si="108"/>
        <v>1804500</v>
      </c>
      <c r="AS145" s="178"/>
      <c r="AT145" s="178">
        <f t="shared" si="109"/>
        <v>9104424</v>
      </c>
      <c r="AU145" s="469">
        <f t="shared" si="112"/>
        <v>127</v>
      </c>
      <c r="AV145" s="244"/>
      <c r="AW145" s="242"/>
      <c r="AY145" s="670"/>
    </row>
    <row r="146" spans="1:59" s="189" customFormat="1" ht="40.5" customHeight="1" x14ac:dyDescent="0.25">
      <c r="A146" s="168">
        <f>_xlfn.AGGREGATE(4,7,A$13:A145)+1</f>
        <v>128</v>
      </c>
      <c r="B146" s="168"/>
      <c r="C146" s="919"/>
      <c r="D146" s="169" t="s">
        <v>1588</v>
      </c>
      <c r="E146" s="263" t="s">
        <v>1259</v>
      </c>
      <c r="F146" s="169"/>
      <c r="G146" s="170"/>
      <c r="H146" s="170"/>
      <c r="I146" s="170"/>
      <c r="J146" s="169"/>
      <c r="K146" s="170"/>
      <c r="L146" s="249"/>
      <c r="M146" s="249"/>
      <c r="N146" s="263" t="s">
        <v>1605</v>
      </c>
      <c r="O146" s="390" t="s">
        <v>1438</v>
      </c>
      <c r="P146" s="222"/>
      <c r="Q146" s="172"/>
      <c r="R146" s="174">
        <v>3.66</v>
      </c>
      <c r="S146" s="176"/>
      <c r="T146" s="370"/>
      <c r="U146" s="176">
        <f t="shared" si="97"/>
        <v>0</v>
      </c>
      <c r="V146" s="175"/>
      <c r="W146" s="170"/>
      <c r="X146" s="179">
        <v>0.11</v>
      </c>
      <c r="Y146" s="216">
        <f t="shared" si="98"/>
        <v>0.40260000000000001</v>
      </c>
      <c r="Z146" s="216">
        <f t="shared" si="99"/>
        <v>4.0625999999999998</v>
      </c>
      <c r="AA146" s="180">
        <f t="shared" si="100"/>
        <v>7312680</v>
      </c>
      <c r="AB146" s="180"/>
      <c r="AC146" s="180">
        <f t="shared" si="101"/>
        <v>0</v>
      </c>
      <c r="AD146" s="180">
        <f t="shared" si="119"/>
        <v>0</v>
      </c>
      <c r="AE146" s="180">
        <f t="shared" si="102"/>
        <v>7312680</v>
      </c>
      <c r="AF146" s="178">
        <f t="shared" si="103"/>
        <v>585014.4</v>
      </c>
      <c r="AG146" s="178">
        <f t="shared" si="104"/>
        <v>109690.2</v>
      </c>
      <c r="AH146" s="178">
        <f t="shared" si="105"/>
        <v>73126.8</v>
      </c>
      <c r="AI146" s="178"/>
      <c r="AJ146" s="178">
        <f t="shared" si="106"/>
        <v>767831.4</v>
      </c>
      <c r="AK146" s="192"/>
      <c r="AL146" s="182">
        <f t="shared" ref="AL146:AL149" si="122">AK146*$D$8</f>
        <v>0</v>
      </c>
      <c r="AM146" s="182"/>
      <c r="AN146" s="182"/>
      <c r="AO146" s="193">
        <f t="shared" si="118"/>
        <v>3.66</v>
      </c>
      <c r="AP146" s="246">
        <v>0.25</v>
      </c>
      <c r="AQ146" s="194">
        <f t="shared" si="107"/>
        <v>0.91500000000000004</v>
      </c>
      <c r="AR146" s="178">
        <f t="shared" si="108"/>
        <v>1647000</v>
      </c>
      <c r="AS146" s="178"/>
      <c r="AT146" s="178">
        <f t="shared" si="109"/>
        <v>8191849</v>
      </c>
      <c r="AU146" s="469">
        <f t="shared" si="112"/>
        <v>128</v>
      </c>
      <c r="AV146" s="244"/>
      <c r="AW146" s="223"/>
      <c r="AY146" s="670"/>
    </row>
    <row r="147" spans="1:59" s="189" customFormat="1" ht="40.5" customHeight="1" x14ac:dyDescent="0.25">
      <c r="A147" s="168">
        <f>_xlfn.AGGREGATE(4,7,A$13:A146)+1</f>
        <v>129</v>
      </c>
      <c r="B147" s="168"/>
      <c r="C147" s="919"/>
      <c r="D147" s="875" t="s">
        <v>1634</v>
      </c>
      <c r="E147" s="263" t="s">
        <v>1259</v>
      </c>
      <c r="F147" s="169"/>
      <c r="G147" s="170"/>
      <c r="H147" s="170"/>
      <c r="I147" s="170"/>
      <c r="J147" s="169"/>
      <c r="K147" s="170"/>
      <c r="L147" s="249"/>
      <c r="M147" s="249"/>
      <c r="N147" s="263"/>
      <c r="O147" s="390" t="s">
        <v>807</v>
      </c>
      <c r="P147" s="222"/>
      <c r="Q147" s="172"/>
      <c r="R147" s="174">
        <v>3.66</v>
      </c>
      <c r="S147" s="176"/>
      <c r="T147" s="370"/>
      <c r="U147" s="176">
        <f t="shared" si="97"/>
        <v>0</v>
      </c>
      <c r="V147" s="175"/>
      <c r="W147" s="170"/>
      <c r="X147" s="179">
        <v>0.11</v>
      </c>
      <c r="Y147" s="216">
        <f t="shared" si="98"/>
        <v>0.40260000000000001</v>
      </c>
      <c r="Z147" s="216">
        <f t="shared" si="99"/>
        <v>4.0625999999999998</v>
      </c>
      <c r="AA147" s="180">
        <f t="shared" si="100"/>
        <v>7312680</v>
      </c>
      <c r="AB147" s="180"/>
      <c r="AC147" s="180">
        <f t="shared" si="101"/>
        <v>0</v>
      </c>
      <c r="AD147" s="180">
        <f t="shared" si="119"/>
        <v>0</v>
      </c>
      <c r="AE147" s="180">
        <f t="shared" si="102"/>
        <v>7312680</v>
      </c>
      <c r="AF147" s="178">
        <f t="shared" si="103"/>
        <v>585014.4</v>
      </c>
      <c r="AG147" s="178">
        <f t="shared" si="104"/>
        <v>109690.2</v>
      </c>
      <c r="AH147" s="178">
        <f t="shared" si="105"/>
        <v>73126.8</v>
      </c>
      <c r="AI147" s="178"/>
      <c r="AJ147" s="178">
        <f t="shared" si="106"/>
        <v>767831.4</v>
      </c>
      <c r="AK147" s="192"/>
      <c r="AL147" s="182"/>
      <c r="AM147" s="182"/>
      <c r="AN147" s="182"/>
      <c r="AO147" s="193">
        <f t="shared" si="118"/>
        <v>3.66</v>
      </c>
      <c r="AP147" s="246">
        <v>0.25</v>
      </c>
      <c r="AQ147" s="194">
        <f t="shared" si="107"/>
        <v>0.91500000000000004</v>
      </c>
      <c r="AR147" s="178">
        <f t="shared" si="108"/>
        <v>1647000</v>
      </c>
      <c r="AS147" s="178"/>
      <c r="AT147" s="178">
        <f t="shared" si="109"/>
        <v>8191849</v>
      </c>
      <c r="AU147" s="469">
        <f t="shared" si="112"/>
        <v>129</v>
      </c>
      <c r="AV147" s="244" t="s">
        <v>1635</v>
      </c>
      <c r="AW147" s="223"/>
      <c r="AY147" s="670"/>
    </row>
    <row r="148" spans="1:59" s="189" customFormat="1" ht="31.5" customHeight="1" x14ac:dyDescent="0.25">
      <c r="A148" s="168">
        <f>_xlfn.AGGREGATE(4,7,A$13:A147)+1</f>
        <v>130</v>
      </c>
      <c r="B148" s="168" t="str">
        <f>VLOOKUP(D148,[1]LuongBC_T01!$B$9:$C$292,2,FALSE)</f>
        <v>0016100006606002</v>
      </c>
      <c r="C148" s="387" t="s">
        <v>900</v>
      </c>
      <c r="D148" s="169" t="s">
        <v>808</v>
      </c>
      <c r="E148" s="263" t="s">
        <v>1259</v>
      </c>
      <c r="F148" s="220"/>
      <c r="G148" s="220" t="s">
        <v>25</v>
      </c>
      <c r="H148" s="220"/>
      <c r="I148" s="220"/>
      <c r="J148" s="220"/>
      <c r="K148" s="170" t="str">
        <f>VLOOKUP(D148,[2]T3!$B$2:$D$328,3,FALSE)</f>
        <v>285085296</v>
      </c>
      <c r="L148" s="220"/>
      <c r="M148" s="170" t="s">
        <v>900</v>
      </c>
      <c r="N148" s="263" t="str">
        <f>VLOOKUP(D148,'[6]Bao cao So GDDT'!$D$14:$S$282,11,FALSE)</f>
        <v>Giảng viên GDNN LT (hạng III)</v>
      </c>
      <c r="O148" s="390" t="s">
        <v>1438</v>
      </c>
      <c r="P148" s="170" t="s">
        <v>692</v>
      </c>
      <c r="Q148" s="170">
        <v>2</v>
      </c>
      <c r="R148" s="177">
        <v>3.33</v>
      </c>
      <c r="S148" s="176">
        <f t="shared" si="120"/>
        <v>0.2331</v>
      </c>
      <c r="T148" s="220"/>
      <c r="U148" s="176">
        <f t="shared" si="97"/>
        <v>0</v>
      </c>
      <c r="V148" s="175">
        <f t="shared" si="121"/>
        <v>0</v>
      </c>
      <c r="W148" s="170"/>
      <c r="X148" s="179">
        <v>7.0000000000000007E-2</v>
      </c>
      <c r="Y148" s="216">
        <f t="shared" si="98"/>
        <v>0.2331</v>
      </c>
      <c r="Z148" s="216">
        <f t="shared" si="99"/>
        <v>3.5630999999999999</v>
      </c>
      <c r="AA148" s="180">
        <f t="shared" si="100"/>
        <v>6413580</v>
      </c>
      <c r="AB148" s="180"/>
      <c r="AC148" s="180">
        <f t="shared" si="101"/>
        <v>0</v>
      </c>
      <c r="AD148" s="180">
        <f t="shared" si="119"/>
        <v>0</v>
      </c>
      <c r="AE148" s="180">
        <f t="shared" si="102"/>
        <v>6413580</v>
      </c>
      <c r="AF148" s="178">
        <f t="shared" si="103"/>
        <v>513086.4</v>
      </c>
      <c r="AG148" s="178">
        <f t="shared" si="104"/>
        <v>96203.7</v>
      </c>
      <c r="AH148" s="178">
        <f t="shared" si="105"/>
        <v>64135.8</v>
      </c>
      <c r="AI148" s="178"/>
      <c r="AJ148" s="178">
        <f t="shared" si="106"/>
        <v>673425.9</v>
      </c>
      <c r="AK148" s="192"/>
      <c r="AL148" s="182">
        <f t="shared" si="122"/>
        <v>0</v>
      </c>
      <c r="AM148" s="182"/>
      <c r="AN148" s="182"/>
      <c r="AO148" s="183">
        <f t="shared" si="118"/>
        <v>3.33</v>
      </c>
      <c r="AP148" s="246">
        <v>0.25</v>
      </c>
      <c r="AQ148" s="185">
        <f t="shared" si="107"/>
        <v>0.83250000000000002</v>
      </c>
      <c r="AR148" s="178">
        <f t="shared" si="108"/>
        <v>1498500</v>
      </c>
      <c r="AS148" s="178"/>
      <c r="AT148" s="178">
        <f t="shared" si="109"/>
        <v>7238654</v>
      </c>
      <c r="AU148" s="469">
        <f t="shared" si="112"/>
        <v>130</v>
      </c>
      <c r="AV148" s="195"/>
      <c r="AW148" s="198"/>
      <c r="AY148" s="903"/>
    </row>
    <row r="149" spans="1:59" s="189" customFormat="1" ht="31.5" customHeight="1" x14ac:dyDescent="0.25">
      <c r="A149" s="168">
        <f>_xlfn.AGGREGATE(4,7,A$13:A148)+1</f>
        <v>131</v>
      </c>
      <c r="B149" s="168" t="str">
        <f>VLOOKUP(D149,[1]LuongBC_T01!$B$9:$C$292,2,FALSE)</f>
        <v>0016100006605006</v>
      </c>
      <c r="C149" s="199" t="s">
        <v>947</v>
      </c>
      <c r="D149" s="169" t="s">
        <v>816</v>
      </c>
      <c r="E149" s="263" t="s">
        <v>1259</v>
      </c>
      <c r="F149" s="169"/>
      <c r="G149" s="170" t="s">
        <v>25</v>
      </c>
      <c r="H149" s="170"/>
      <c r="I149" s="170"/>
      <c r="J149" s="169"/>
      <c r="K149" s="170" t="str">
        <f>VLOOKUP(D149,[2]T3!$B$2:$D$328,3,FALSE)</f>
        <v>025180149</v>
      </c>
      <c r="L149" s="249"/>
      <c r="M149" s="249" t="s">
        <v>947</v>
      </c>
      <c r="N149" s="263" t="str">
        <f>VLOOKUP(D149,'[6]Bao cao So GDDT'!$D$14:$S$282,11,FALSE)</f>
        <v>Giảng viên GDNN LT (hạng III)</v>
      </c>
      <c r="O149" s="390" t="s">
        <v>1438</v>
      </c>
      <c r="P149" s="222" t="s">
        <v>692</v>
      </c>
      <c r="Q149" s="172">
        <v>3</v>
      </c>
      <c r="R149" s="174">
        <v>3.66</v>
      </c>
      <c r="S149" s="176">
        <f t="shared" si="120"/>
        <v>0.65880000000000005</v>
      </c>
      <c r="T149" s="370"/>
      <c r="U149" s="176">
        <f t="shared" si="97"/>
        <v>0</v>
      </c>
      <c r="V149" s="175">
        <f t="shared" si="121"/>
        <v>0</v>
      </c>
      <c r="W149" s="170"/>
      <c r="X149" s="179">
        <v>0.18</v>
      </c>
      <c r="Y149" s="216">
        <f t="shared" si="98"/>
        <v>0.65880000000000005</v>
      </c>
      <c r="Z149" s="216">
        <f t="shared" si="99"/>
        <v>4.3188000000000004</v>
      </c>
      <c r="AA149" s="180">
        <f t="shared" si="100"/>
        <v>7773840</v>
      </c>
      <c r="AB149" s="180"/>
      <c r="AC149" s="180">
        <f t="shared" si="101"/>
        <v>0</v>
      </c>
      <c r="AD149" s="180">
        <f t="shared" ref="AD149:AD164" si="123">AA149/24*AB149*75%</f>
        <v>0</v>
      </c>
      <c r="AE149" s="180">
        <f t="shared" si="102"/>
        <v>7773840</v>
      </c>
      <c r="AF149" s="178">
        <f t="shared" si="103"/>
        <v>621907.20000000007</v>
      </c>
      <c r="AG149" s="178">
        <f t="shared" si="104"/>
        <v>116607.59999999999</v>
      </c>
      <c r="AH149" s="178">
        <f t="shared" si="105"/>
        <v>77738.400000000009</v>
      </c>
      <c r="AI149" s="178"/>
      <c r="AJ149" s="178">
        <f t="shared" si="106"/>
        <v>816253.20000000007</v>
      </c>
      <c r="AK149" s="192"/>
      <c r="AL149" s="182">
        <f t="shared" si="122"/>
        <v>0</v>
      </c>
      <c r="AM149" s="182"/>
      <c r="AN149" s="182"/>
      <c r="AO149" s="193">
        <f t="shared" si="118"/>
        <v>3.66</v>
      </c>
      <c r="AP149" s="246">
        <v>0.25</v>
      </c>
      <c r="AQ149" s="194">
        <f t="shared" si="107"/>
        <v>0.91500000000000004</v>
      </c>
      <c r="AR149" s="178">
        <f t="shared" si="108"/>
        <v>1647000</v>
      </c>
      <c r="AS149" s="178"/>
      <c r="AT149" s="178">
        <f t="shared" si="109"/>
        <v>8604587</v>
      </c>
      <c r="AU149" s="469">
        <f t="shared" si="112"/>
        <v>131</v>
      </c>
      <c r="AV149" s="244"/>
      <c r="AW149" s="242"/>
      <c r="AY149" s="903"/>
    </row>
    <row r="150" spans="1:59" s="189" customFormat="1" ht="31.5" customHeight="1" x14ac:dyDescent="0.25">
      <c r="A150" s="168">
        <f>_xlfn.AGGREGATE(4,7,A$13:A149)+1</f>
        <v>132</v>
      </c>
      <c r="B150" s="168" t="str">
        <f>VLOOKUP(D150,[1]LuongBC_T01!$B$9:$C$292,2,FALSE)</f>
        <v>0016100006516003</v>
      </c>
      <c r="C150" s="565" t="s">
        <v>1412</v>
      </c>
      <c r="D150" s="544" t="s">
        <v>1410</v>
      </c>
      <c r="E150" s="263" t="s">
        <v>1259</v>
      </c>
      <c r="F150" s="564"/>
      <c r="G150" s="564"/>
      <c r="H150" s="564"/>
      <c r="I150" s="564"/>
      <c r="J150" s="564"/>
      <c r="K150" s="565"/>
      <c r="L150" s="564"/>
      <c r="M150" s="545"/>
      <c r="N150" s="263" t="str">
        <f>VLOOKUP(D150,'[6]Bao cao So GDDT'!$D$14:$S$282,11,FALSE)</f>
        <v>Giảng viên GDNN LT (hạng III)</v>
      </c>
      <c r="O150" s="263" t="s">
        <v>1438</v>
      </c>
      <c r="P150" s="566"/>
      <c r="Q150" s="566"/>
      <c r="R150" s="551">
        <v>3</v>
      </c>
      <c r="S150" s="546"/>
      <c r="T150" s="564"/>
      <c r="U150" s="546">
        <f t="shared" si="97"/>
        <v>0</v>
      </c>
      <c r="V150" s="547"/>
      <c r="W150" s="545"/>
      <c r="X150" s="179">
        <v>0</v>
      </c>
      <c r="Y150" s="548">
        <f t="shared" si="98"/>
        <v>0</v>
      </c>
      <c r="Z150" s="548">
        <f t="shared" si="99"/>
        <v>3</v>
      </c>
      <c r="AA150" s="549">
        <f t="shared" si="100"/>
        <v>5400000</v>
      </c>
      <c r="AB150" s="549"/>
      <c r="AC150" s="549">
        <f t="shared" si="101"/>
        <v>0</v>
      </c>
      <c r="AD150" s="549">
        <f t="shared" si="123"/>
        <v>0</v>
      </c>
      <c r="AE150" s="549">
        <f t="shared" si="102"/>
        <v>5400000</v>
      </c>
      <c r="AF150" s="550">
        <f t="shared" si="103"/>
        <v>432000</v>
      </c>
      <c r="AG150" s="550">
        <f t="shared" si="104"/>
        <v>81000</v>
      </c>
      <c r="AH150" s="550">
        <f t="shared" si="105"/>
        <v>54000</v>
      </c>
      <c r="AI150" s="550"/>
      <c r="AJ150" s="550">
        <f t="shared" si="106"/>
        <v>567000</v>
      </c>
      <c r="AK150" s="567"/>
      <c r="AL150" s="182">
        <f t="shared" ref="AL150:AL162" si="124">AK150*$D$8</f>
        <v>0</v>
      </c>
      <c r="AM150" s="568"/>
      <c r="AN150" s="568"/>
      <c r="AO150" s="569">
        <f t="shared" si="118"/>
        <v>3</v>
      </c>
      <c r="AP150" s="640">
        <v>0.25</v>
      </c>
      <c r="AQ150" s="185">
        <f t="shared" si="107"/>
        <v>0.75</v>
      </c>
      <c r="AR150" s="178">
        <f t="shared" si="108"/>
        <v>1350000</v>
      </c>
      <c r="AS150" s="550"/>
      <c r="AT150" s="178">
        <f t="shared" si="109"/>
        <v>6183000</v>
      </c>
      <c r="AU150" s="469">
        <f t="shared" si="112"/>
        <v>132</v>
      </c>
      <c r="AV150" s="195"/>
      <c r="AW150" s="485"/>
    </row>
    <row r="151" spans="1:59" s="189" customFormat="1" ht="31.5" customHeight="1" x14ac:dyDescent="0.25">
      <c r="A151" s="168">
        <f>_xlfn.AGGREGATE(4,7,A$13:A150)+1</f>
        <v>133</v>
      </c>
      <c r="B151" s="168" t="str">
        <f>VLOOKUP(D151,[1]LuongBC_T01!$B$9:$C$292,2,FALSE)</f>
        <v>0016100006638001</v>
      </c>
      <c r="C151" s="925" t="s">
        <v>1313</v>
      </c>
      <c r="D151" s="169" t="s">
        <v>1135</v>
      </c>
      <c r="E151" s="263" t="s">
        <v>1259</v>
      </c>
      <c r="F151" s="220"/>
      <c r="G151" s="220"/>
      <c r="H151" s="220"/>
      <c r="I151" s="220"/>
      <c r="J151" s="220"/>
      <c r="K151" s="170" t="str">
        <f>VLOOKUP(D151,[2]T3!$B$2:$D$328,3,FALSE)</f>
        <v>385523828</v>
      </c>
      <c r="L151" s="220"/>
      <c r="M151" s="170"/>
      <c r="N151" s="263" t="str">
        <f>VLOOKUP(D151,'[6]Bao cao So GDDT'!$D$14:$S$282,11,FALSE)</f>
        <v>Giảng viên GDNN LT (hạng III)</v>
      </c>
      <c r="O151" s="390" t="s">
        <v>1438</v>
      </c>
      <c r="P151" s="251"/>
      <c r="Q151" s="251">
        <v>2</v>
      </c>
      <c r="R151" s="177">
        <v>3</v>
      </c>
      <c r="S151" s="176"/>
      <c r="T151" s="220"/>
      <c r="U151" s="176">
        <f t="shared" si="97"/>
        <v>0</v>
      </c>
      <c r="V151" s="175"/>
      <c r="W151" s="170"/>
      <c r="X151" s="179">
        <v>0.05</v>
      </c>
      <c r="Y151" s="216">
        <f t="shared" si="98"/>
        <v>0.15</v>
      </c>
      <c r="Z151" s="216">
        <f t="shared" si="99"/>
        <v>3.15</v>
      </c>
      <c r="AA151" s="180">
        <f t="shared" si="100"/>
        <v>5670000</v>
      </c>
      <c r="AB151" s="180"/>
      <c r="AC151" s="180">
        <f t="shared" si="101"/>
        <v>0</v>
      </c>
      <c r="AD151" s="180">
        <f t="shared" si="123"/>
        <v>0</v>
      </c>
      <c r="AE151" s="180">
        <f t="shared" si="102"/>
        <v>5670000</v>
      </c>
      <c r="AF151" s="178">
        <f t="shared" si="103"/>
        <v>453600</v>
      </c>
      <c r="AG151" s="178">
        <f t="shared" si="104"/>
        <v>85050</v>
      </c>
      <c r="AH151" s="178">
        <f t="shared" si="105"/>
        <v>56700</v>
      </c>
      <c r="AI151" s="178"/>
      <c r="AJ151" s="178">
        <f t="shared" si="106"/>
        <v>595350</v>
      </c>
      <c r="AK151" s="567"/>
      <c r="AL151" s="182">
        <f t="shared" si="124"/>
        <v>0</v>
      </c>
      <c r="AM151" s="182"/>
      <c r="AN151" s="182"/>
      <c r="AO151" s="183">
        <f t="shared" si="118"/>
        <v>3</v>
      </c>
      <c r="AP151" s="246">
        <v>0.25</v>
      </c>
      <c r="AQ151" s="185">
        <f t="shared" si="107"/>
        <v>0.75</v>
      </c>
      <c r="AR151" s="178">
        <f t="shared" si="108"/>
        <v>1350000</v>
      </c>
      <c r="AS151" s="178"/>
      <c r="AT151" s="178">
        <f t="shared" si="109"/>
        <v>6424650</v>
      </c>
      <c r="AU151" s="469">
        <f t="shared" si="112"/>
        <v>133</v>
      </c>
      <c r="AV151" s="195"/>
      <c r="AW151" s="485" t="s">
        <v>1139</v>
      </c>
    </row>
    <row r="152" spans="1:59" s="189" customFormat="1" ht="31.5" customHeight="1" x14ac:dyDescent="0.25">
      <c r="A152" s="168">
        <f>_xlfn.AGGREGATE(4,7,A$13:A151)+1</f>
        <v>134</v>
      </c>
      <c r="B152" s="168" t="str">
        <f>VLOOKUP(D152,[1]LuongBC_T01!$B$9:$C$292,2,FALSE)</f>
        <v>0016100006602007</v>
      </c>
      <c r="C152" s="925" t="s">
        <v>1312</v>
      </c>
      <c r="D152" s="169" t="s">
        <v>1137</v>
      </c>
      <c r="E152" s="263" t="s">
        <v>1259</v>
      </c>
      <c r="F152" s="220"/>
      <c r="G152" s="220"/>
      <c r="H152" s="220"/>
      <c r="I152" s="220"/>
      <c r="J152" s="220"/>
      <c r="K152" s="170" t="str">
        <f>VLOOKUP(D152,[2]T3!$B$2:$D$328,3,FALSE)</f>
        <v>025522918</v>
      </c>
      <c r="L152" s="220"/>
      <c r="M152" s="170"/>
      <c r="N152" s="263" t="str">
        <f>VLOOKUP(D152,'[6]Bao cao So GDDT'!$D$14:$S$282,11,FALSE)</f>
        <v>Giảng viên GDNN LT (hạng III)</v>
      </c>
      <c r="O152" s="390" t="s">
        <v>1438</v>
      </c>
      <c r="P152" s="251"/>
      <c r="Q152" s="251">
        <v>2</v>
      </c>
      <c r="R152" s="177">
        <v>3</v>
      </c>
      <c r="S152" s="176"/>
      <c r="T152" s="220"/>
      <c r="U152" s="176">
        <f t="shared" ref="U152:U193" si="125">ROUND(R152*T152/100,4)</f>
        <v>0</v>
      </c>
      <c r="V152" s="175"/>
      <c r="W152" s="170"/>
      <c r="X152" s="179">
        <v>0.05</v>
      </c>
      <c r="Y152" s="216">
        <f t="shared" ref="Y152:Y193" si="126">ROUND((R152+U152+W152)*X152,4)</f>
        <v>0.15</v>
      </c>
      <c r="Z152" s="216">
        <f t="shared" ref="Z152:Z193" si="127">R152+U152+W152+Y152</f>
        <v>3.15</v>
      </c>
      <c r="AA152" s="180">
        <f t="shared" ref="AA152:AA193" si="128">ROUND(Z152*$D$8,0)</f>
        <v>5670000</v>
      </c>
      <c r="AB152" s="180"/>
      <c r="AC152" s="180">
        <f t="shared" ref="AC152:AC193" si="129">AA152/24*AB152</f>
        <v>0</v>
      </c>
      <c r="AD152" s="180">
        <f t="shared" si="123"/>
        <v>0</v>
      </c>
      <c r="AE152" s="180">
        <f t="shared" ref="AE152:AE193" si="130">ROUND(AA152-AC152+AD152,0)</f>
        <v>5670000</v>
      </c>
      <c r="AF152" s="178">
        <f t="shared" ref="AF152:AF182" si="131">AA152*8%</f>
        <v>453600</v>
      </c>
      <c r="AG152" s="178">
        <f t="shared" ref="AG152:AG182" si="132">AA152*1.5%</f>
        <v>85050</v>
      </c>
      <c r="AH152" s="178">
        <f t="shared" ref="AH152:AH182" si="133">AA152*1%</f>
        <v>56700</v>
      </c>
      <c r="AI152" s="178"/>
      <c r="AJ152" s="178">
        <f t="shared" ref="AJ152:AJ193" si="134">SUM(AF152:AI152)</f>
        <v>595350</v>
      </c>
      <c r="AK152" s="567"/>
      <c r="AL152" s="182">
        <f t="shared" si="124"/>
        <v>0</v>
      </c>
      <c r="AM152" s="182"/>
      <c r="AN152" s="182"/>
      <c r="AO152" s="183">
        <f t="shared" si="118"/>
        <v>3</v>
      </c>
      <c r="AP152" s="246">
        <v>0.25</v>
      </c>
      <c r="AQ152" s="185">
        <f t="shared" ref="AQ152:AQ193" si="135">ROUND(AO152*AP152,4)</f>
        <v>0.75</v>
      </c>
      <c r="AR152" s="178">
        <f t="shared" ref="AR152:AR193" si="136">ROUND(AQ152*$D$8,0)</f>
        <v>1350000</v>
      </c>
      <c r="AS152" s="178"/>
      <c r="AT152" s="178">
        <f t="shared" ref="AT152:AT193" si="137">ROUND(AE152-AJ152+AL152+AN152+AR152,0)</f>
        <v>6424650</v>
      </c>
      <c r="AU152" s="469">
        <f t="shared" ref="AU152:AU193" si="138">A152</f>
        <v>134</v>
      </c>
      <c r="AV152" s="195"/>
      <c r="AW152" s="485" t="s">
        <v>1139</v>
      </c>
    </row>
    <row r="153" spans="1:59" s="189" customFormat="1" ht="30.75" customHeight="1" x14ac:dyDescent="0.25">
      <c r="A153" s="168">
        <f>_xlfn.AGGREGATE(4,7,A$13:A152)+1</f>
        <v>135</v>
      </c>
      <c r="B153" s="168" t="str">
        <f>VLOOKUP(D153,[1]LuongBC_T01!$B$9:$C$292,2,FALSE)</f>
        <v>0016100007755001</v>
      </c>
      <c r="C153" s="170" t="s">
        <v>1323</v>
      </c>
      <c r="D153" s="169" t="s">
        <v>1290</v>
      </c>
      <c r="E153" s="263" t="s">
        <v>1300</v>
      </c>
      <c r="F153" s="220"/>
      <c r="G153" s="220"/>
      <c r="H153" s="220"/>
      <c r="I153" s="220"/>
      <c r="J153" s="220"/>
      <c r="K153" s="170" t="str">
        <f>VLOOKUP(D153,[2]T3!$B$2:$D$328,3,FALSE)</f>
        <v>072089003417</v>
      </c>
      <c r="L153" s="220"/>
      <c r="M153" s="170"/>
      <c r="N153" s="263" t="str">
        <f>VLOOKUP(D153,'[6]Bao cao So GDDT'!$D$14:$S$282,11,FALSE)</f>
        <v>Giảng viên GDNN LT (hạng III)</v>
      </c>
      <c r="O153" s="390" t="s">
        <v>1438</v>
      </c>
      <c r="P153" s="251"/>
      <c r="Q153" s="251"/>
      <c r="R153" s="177">
        <v>3</v>
      </c>
      <c r="S153" s="176"/>
      <c r="T153" s="220"/>
      <c r="U153" s="176">
        <f t="shared" ref="U153:U159" si="139">ROUND(R153*T153/100,4)</f>
        <v>0</v>
      </c>
      <c r="V153" s="175"/>
      <c r="W153" s="170"/>
      <c r="X153" s="179">
        <f>VLOOKUP(D153,PCTN!D266:W533,20,FALSE)</f>
        <v>0</v>
      </c>
      <c r="Y153" s="216">
        <f t="shared" si="126"/>
        <v>0</v>
      </c>
      <c r="Z153" s="216">
        <f t="shared" si="127"/>
        <v>3</v>
      </c>
      <c r="AA153" s="180">
        <f t="shared" si="128"/>
        <v>5400000</v>
      </c>
      <c r="AB153" s="180"/>
      <c r="AC153" s="180">
        <f t="shared" si="129"/>
        <v>0</v>
      </c>
      <c r="AD153" s="180">
        <f t="shared" si="123"/>
        <v>0</v>
      </c>
      <c r="AE153" s="180">
        <f t="shared" si="130"/>
        <v>5400000</v>
      </c>
      <c r="AF153" s="178">
        <f t="shared" si="131"/>
        <v>432000</v>
      </c>
      <c r="AG153" s="178">
        <f t="shared" si="132"/>
        <v>81000</v>
      </c>
      <c r="AH153" s="178">
        <f t="shared" si="133"/>
        <v>54000</v>
      </c>
      <c r="AI153" s="178"/>
      <c r="AJ153" s="178">
        <f t="shared" si="134"/>
        <v>567000</v>
      </c>
      <c r="AK153" s="567"/>
      <c r="AL153" s="182">
        <f t="shared" si="124"/>
        <v>0</v>
      </c>
      <c r="AM153" s="182"/>
      <c r="AN153" s="182"/>
      <c r="AO153" s="183">
        <f t="shared" si="118"/>
        <v>3</v>
      </c>
      <c r="AP153" s="246">
        <v>0.25</v>
      </c>
      <c r="AQ153" s="185">
        <f t="shared" si="135"/>
        <v>0.75</v>
      </c>
      <c r="AR153" s="178">
        <f t="shared" si="136"/>
        <v>1350000</v>
      </c>
      <c r="AS153" s="178"/>
      <c r="AT153" s="178">
        <f t="shared" si="137"/>
        <v>6183000</v>
      </c>
      <c r="AU153" s="469">
        <f t="shared" si="138"/>
        <v>135</v>
      </c>
      <c r="AV153" s="195"/>
      <c r="AW153" s="485"/>
      <c r="AX153" s="29"/>
      <c r="AY153" s="29"/>
      <c r="AZ153" s="29"/>
      <c r="BA153" s="29"/>
      <c r="BB153" s="29"/>
      <c r="BC153" s="29"/>
      <c r="BD153" s="29"/>
      <c r="BE153" s="29"/>
      <c r="BF153" s="29"/>
      <c r="BG153" s="29"/>
    </row>
    <row r="154" spans="1:59" s="189" customFormat="1" ht="42.75" customHeight="1" x14ac:dyDescent="0.25">
      <c r="A154" s="168">
        <f>_xlfn.AGGREGATE(4,7,A$13:A153)+1</f>
        <v>136</v>
      </c>
      <c r="B154" s="168"/>
      <c r="C154" s="168"/>
      <c r="D154" s="169" t="s">
        <v>1592</v>
      </c>
      <c r="E154" s="263" t="s">
        <v>1259</v>
      </c>
      <c r="F154" s="220"/>
      <c r="G154" s="220"/>
      <c r="H154" s="220"/>
      <c r="I154" s="220"/>
      <c r="J154" s="220"/>
      <c r="K154" s="168"/>
      <c r="L154" s="490"/>
      <c r="M154" s="170"/>
      <c r="N154" s="263" t="s">
        <v>1605</v>
      </c>
      <c r="O154" s="263" t="s">
        <v>1438</v>
      </c>
      <c r="P154" s="170"/>
      <c r="Q154" s="170"/>
      <c r="R154" s="177">
        <v>3</v>
      </c>
      <c r="S154" s="176"/>
      <c r="T154" s="220"/>
      <c r="U154" s="176">
        <f t="shared" si="139"/>
        <v>0</v>
      </c>
      <c r="V154" s="175"/>
      <c r="W154" s="170"/>
      <c r="X154" s="179">
        <v>0</v>
      </c>
      <c r="Y154" s="216">
        <f t="shared" ref="Y154:Y161" si="140">ROUND((R154+U154+W154)*X154,4)</f>
        <v>0</v>
      </c>
      <c r="Z154" s="216">
        <f t="shared" ref="Z154:Z161" si="141">R154+U154+W154+Y154</f>
        <v>3</v>
      </c>
      <c r="AA154" s="180">
        <f t="shared" ref="AA154:AA161" si="142">ROUND(Z154*$D$8,0)</f>
        <v>5400000</v>
      </c>
      <c r="AB154" s="180"/>
      <c r="AC154" s="180">
        <f>AA154/24*AB154</f>
        <v>0</v>
      </c>
      <c r="AD154" s="180">
        <v>0</v>
      </c>
      <c r="AE154" s="180">
        <f t="shared" ref="AE154:AE161" si="143">ROUND(AA154-AC154+AD154,0)</f>
        <v>5400000</v>
      </c>
      <c r="AF154" s="178">
        <f t="shared" ref="AF154:AF161" si="144">AA154*8%</f>
        <v>432000</v>
      </c>
      <c r="AG154" s="178">
        <f>AA154*1.5%</f>
        <v>81000</v>
      </c>
      <c r="AH154" s="178">
        <f t="shared" ref="AH154:AH161" si="145">AA154*1%</f>
        <v>54000</v>
      </c>
      <c r="AI154" s="178"/>
      <c r="AJ154" s="178">
        <f t="shared" ref="AJ154:AJ161" si="146">SUM(AF154:AI154)</f>
        <v>567000</v>
      </c>
      <c r="AK154" s="567"/>
      <c r="AL154" s="182">
        <f t="shared" si="124"/>
        <v>0</v>
      </c>
      <c r="AM154" s="182"/>
      <c r="AN154" s="182"/>
      <c r="AO154" s="183">
        <f t="shared" ref="AO154:AO161" si="147">R154+U154+W154</f>
        <v>3</v>
      </c>
      <c r="AP154" s="246">
        <v>0.25</v>
      </c>
      <c r="AQ154" s="185">
        <f t="shared" ref="AQ154:AQ161" si="148">ROUND(AO154*AP154,4)</f>
        <v>0.75</v>
      </c>
      <c r="AR154" s="178">
        <f t="shared" ref="AR154:AR161" si="149">ROUND(AQ154*$D$8,0)</f>
        <v>1350000</v>
      </c>
      <c r="AS154" s="178"/>
      <c r="AT154" s="178">
        <f t="shared" ref="AT154:AT161" si="150">ROUND(AE154-AJ154+AL154+AN154+AR154,0)</f>
        <v>6183000</v>
      </c>
      <c r="AU154" s="469">
        <f t="shared" ref="AU154:AU161" si="151">A154</f>
        <v>136</v>
      </c>
      <c r="AV154" s="195"/>
      <c r="AW154" s="195" t="s">
        <v>1591</v>
      </c>
    </row>
    <row r="155" spans="1:59" s="189" customFormat="1" ht="42.75" customHeight="1" x14ac:dyDescent="0.25">
      <c r="A155" s="168">
        <f>_xlfn.AGGREGATE(4,7,A$13:A154)+1</f>
        <v>137</v>
      </c>
      <c r="B155" s="168"/>
      <c r="C155" s="168"/>
      <c r="D155" s="169" t="s">
        <v>1583</v>
      </c>
      <c r="E155" s="263" t="s">
        <v>1259</v>
      </c>
      <c r="F155" s="220"/>
      <c r="G155" s="220"/>
      <c r="H155" s="220"/>
      <c r="I155" s="220"/>
      <c r="J155" s="220"/>
      <c r="K155" s="168"/>
      <c r="L155" s="490"/>
      <c r="M155" s="170"/>
      <c r="N155" s="263"/>
      <c r="O155" s="263" t="s">
        <v>1438</v>
      </c>
      <c r="P155" s="170"/>
      <c r="Q155" s="170"/>
      <c r="R155" s="170">
        <v>2.34</v>
      </c>
      <c r="S155" s="176"/>
      <c r="T155" s="220"/>
      <c r="U155" s="176">
        <f>ROUND(R155*T155/100,4)</f>
        <v>0</v>
      </c>
      <c r="V155" s="175"/>
      <c r="W155" s="170"/>
      <c r="X155" s="179">
        <v>0</v>
      </c>
      <c r="Y155" s="216">
        <f t="shared" si="140"/>
        <v>0</v>
      </c>
      <c r="Z155" s="216">
        <f t="shared" si="141"/>
        <v>2.34</v>
      </c>
      <c r="AA155" s="180">
        <f t="shared" si="142"/>
        <v>4212000</v>
      </c>
      <c r="AB155" s="180"/>
      <c r="AC155" s="180">
        <f>AA155/24*AB155</f>
        <v>0</v>
      </c>
      <c r="AD155" s="180">
        <v>0</v>
      </c>
      <c r="AE155" s="180">
        <f t="shared" si="143"/>
        <v>4212000</v>
      </c>
      <c r="AF155" s="178">
        <f t="shared" si="144"/>
        <v>336960</v>
      </c>
      <c r="AG155" s="178">
        <f>AA155*1.5%</f>
        <v>63180</v>
      </c>
      <c r="AH155" s="178">
        <f t="shared" si="145"/>
        <v>42120</v>
      </c>
      <c r="AI155" s="178"/>
      <c r="AJ155" s="178">
        <f t="shared" si="146"/>
        <v>442260</v>
      </c>
      <c r="AK155" s="192"/>
      <c r="AL155" s="182"/>
      <c r="AM155" s="182"/>
      <c r="AN155" s="182"/>
      <c r="AO155" s="183">
        <f t="shared" si="147"/>
        <v>2.34</v>
      </c>
      <c r="AP155" s="246">
        <v>0.25</v>
      </c>
      <c r="AQ155" s="185">
        <f t="shared" si="148"/>
        <v>0.58499999999999996</v>
      </c>
      <c r="AR155" s="178">
        <f t="shared" si="149"/>
        <v>1053000</v>
      </c>
      <c r="AS155" s="178"/>
      <c r="AT155" s="178">
        <f t="shared" si="150"/>
        <v>4822740</v>
      </c>
      <c r="AU155" s="469">
        <f t="shared" si="151"/>
        <v>137</v>
      </c>
      <c r="AV155" s="195"/>
      <c r="AW155" s="723" t="s">
        <v>1585</v>
      </c>
    </row>
    <row r="156" spans="1:59" s="189" customFormat="1" ht="37.5" customHeight="1" x14ac:dyDescent="0.25">
      <c r="A156" s="726">
        <f>_xlfn.AGGREGATE(4,7,A$13:A155)+1</f>
        <v>138</v>
      </c>
      <c r="B156" s="726" t="s">
        <v>1512</v>
      </c>
      <c r="C156" s="968" t="s">
        <v>1561</v>
      </c>
      <c r="D156" s="969" t="s">
        <v>1496</v>
      </c>
      <c r="E156" s="958" t="s">
        <v>1644</v>
      </c>
      <c r="F156" s="959"/>
      <c r="G156" s="959"/>
      <c r="H156" s="959"/>
      <c r="I156" s="959"/>
      <c r="J156" s="959"/>
      <c r="K156" s="956"/>
      <c r="L156" s="960" t="s">
        <v>1511</v>
      </c>
      <c r="M156" s="961"/>
      <c r="N156" s="729" t="str">
        <f>VLOOKUP(D156,'[6]Bao cao So GDDT'!$D$14:$S$282,11,FALSE)</f>
        <v>Giảng viên GDNN LT (hạng III)</v>
      </c>
      <c r="O156" s="970" t="s">
        <v>1438</v>
      </c>
      <c r="P156" s="971"/>
      <c r="Q156" s="971"/>
      <c r="R156" s="961">
        <v>2.67</v>
      </c>
      <c r="S156" s="962"/>
      <c r="T156" s="959"/>
      <c r="U156" s="962">
        <f t="shared" si="139"/>
        <v>0</v>
      </c>
      <c r="V156" s="963"/>
      <c r="W156" s="961">
        <v>0.45</v>
      </c>
      <c r="X156" s="739">
        <v>0</v>
      </c>
      <c r="Y156" s="740">
        <f t="shared" si="140"/>
        <v>0</v>
      </c>
      <c r="Z156" s="740">
        <f t="shared" si="141"/>
        <v>3.12</v>
      </c>
      <c r="AA156" s="741">
        <f t="shared" si="142"/>
        <v>5616000</v>
      </c>
      <c r="AB156" s="964"/>
      <c r="AC156" s="741">
        <f>AA156/24*AB156</f>
        <v>0</v>
      </c>
      <c r="AD156" s="741">
        <f>AA156/24*AB156*75%</f>
        <v>0</v>
      </c>
      <c r="AE156" s="741">
        <f t="shared" si="143"/>
        <v>5616000</v>
      </c>
      <c r="AF156" s="742">
        <f t="shared" si="144"/>
        <v>449280</v>
      </c>
      <c r="AG156" s="742">
        <f>AA156*1.5%</f>
        <v>84240</v>
      </c>
      <c r="AH156" s="742">
        <f t="shared" si="145"/>
        <v>56160</v>
      </c>
      <c r="AI156" s="965"/>
      <c r="AJ156" s="742">
        <f t="shared" si="146"/>
        <v>589680</v>
      </c>
      <c r="AK156" s="966"/>
      <c r="AL156" s="744">
        <f t="shared" si="124"/>
        <v>0</v>
      </c>
      <c r="AM156" s="967"/>
      <c r="AN156" s="967"/>
      <c r="AO156" s="973">
        <f t="shared" si="147"/>
        <v>3.12</v>
      </c>
      <c r="AP156" s="974">
        <v>0.25</v>
      </c>
      <c r="AQ156" s="747">
        <f t="shared" si="148"/>
        <v>0.78</v>
      </c>
      <c r="AR156" s="742">
        <f t="shared" si="149"/>
        <v>1404000</v>
      </c>
      <c r="AS156" s="965"/>
      <c r="AT156" s="742">
        <f t="shared" si="150"/>
        <v>6430320</v>
      </c>
      <c r="AU156" s="976">
        <f t="shared" si="151"/>
        <v>138</v>
      </c>
      <c r="AV156" s="975"/>
      <c r="AW156" s="723" t="s">
        <v>1495</v>
      </c>
      <c r="AX156" s="29"/>
      <c r="AY156" s="29"/>
      <c r="AZ156" s="29"/>
      <c r="BA156" s="29"/>
      <c r="BB156" s="29"/>
      <c r="BC156" s="29"/>
      <c r="BD156" s="29"/>
      <c r="BE156" s="29"/>
      <c r="BF156" s="29"/>
      <c r="BG156" s="29"/>
    </row>
    <row r="157" spans="1:59" s="189" customFormat="1" ht="31.5" customHeight="1" x14ac:dyDescent="0.25">
      <c r="A157" s="168">
        <f>_xlfn.AGGREGATE(4,7,A$13:A156)+1</f>
        <v>139</v>
      </c>
      <c r="B157" s="168" t="str">
        <f>VLOOKUP(D157,[1]LuongBC_T01!$B$9:$C$292,2,FALSE)</f>
        <v>0016100006604007</v>
      </c>
      <c r="C157" s="199" t="s">
        <v>946</v>
      </c>
      <c r="D157" s="169" t="s">
        <v>819</v>
      </c>
      <c r="E157" s="263" t="s">
        <v>1645</v>
      </c>
      <c r="F157" s="169"/>
      <c r="G157" s="170" t="s">
        <v>25</v>
      </c>
      <c r="H157" s="170"/>
      <c r="I157" s="170"/>
      <c r="J157" s="169"/>
      <c r="K157" s="170" t="str">
        <f>VLOOKUP(D157,[2]T3!$B$2:$D$328,3,FALSE)</f>
        <v>025791269</v>
      </c>
      <c r="L157" s="249"/>
      <c r="M157" s="249" t="s">
        <v>946</v>
      </c>
      <c r="N157" s="263" t="str">
        <f>VLOOKUP(D157,'[6]Bao cao So GDDT'!$D$14:$S$282,11,FALSE)</f>
        <v>Giảng viên GDNN LT (hạng III)</v>
      </c>
      <c r="O157" s="390" t="s">
        <v>1438</v>
      </c>
      <c r="P157" s="222" t="s">
        <v>692</v>
      </c>
      <c r="Q157" s="172">
        <v>3</v>
      </c>
      <c r="R157" s="174">
        <v>3.66</v>
      </c>
      <c r="S157" s="176">
        <f>U157+W157+Y157</f>
        <v>0.75829999999999997</v>
      </c>
      <c r="T157" s="370"/>
      <c r="U157" s="176">
        <f>ROUND(R157*T157/100,4)</f>
        <v>0</v>
      </c>
      <c r="V157" s="175">
        <f>R157*T157*$D$8/100</f>
        <v>0</v>
      </c>
      <c r="W157" s="170">
        <v>0.25</v>
      </c>
      <c r="X157" s="179">
        <v>0.13</v>
      </c>
      <c r="Y157" s="216">
        <f t="shared" si="140"/>
        <v>0.50829999999999997</v>
      </c>
      <c r="Z157" s="216">
        <f t="shared" si="141"/>
        <v>4.4183000000000003</v>
      </c>
      <c r="AA157" s="180">
        <f t="shared" si="142"/>
        <v>7952940</v>
      </c>
      <c r="AB157" s="180"/>
      <c r="AC157" s="180">
        <f>AA157/24*AB157</f>
        <v>0</v>
      </c>
      <c r="AD157" s="180">
        <f>AA157/24*AB157*75%</f>
        <v>0</v>
      </c>
      <c r="AE157" s="180">
        <f t="shared" si="143"/>
        <v>7952940</v>
      </c>
      <c r="AF157" s="178">
        <f t="shared" si="144"/>
        <v>636235.20000000007</v>
      </c>
      <c r="AG157" s="178">
        <f>AA157*1.5%</f>
        <v>119294.09999999999</v>
      </c>
      <c r="AH157" s="178">
        <f t="shared" si="145"/>
        <v>79529.400000000009</v>
      </c>
      <c r="AI157" s="178"/>
      <c r="AJ157" s="178">
        <f t="shared" si="146"/>
        <v>835058.70000000007</v>
      </c>
      <c r="AK157" s="192"/>
      <c r="AL157" s="182">
        <f>AK157*$D$8</f>
        <v>0</v>
      </c>
      <c r="AM157" s="182"/>
      <c r="AN157" s="182"/>
      <c r="AO157" s="193">
        <f t="shared" si="147"/>
        <v>3.91</v>
      </c>
      <c r="AP157" s="246">
        <v>0.25</v>
      </c>
      <c r="AQ157" s="194">
        <f t="shared" si="148"/>
        <v>0.97750000000000004</v>
      </c>
      <c r="AR157" s="178">
        <f t="shared" si="149"/>
        <v>1759500</v>
      </c>
      <c r="AS157" s="178"/>
      <c r="AT157" s="178">
        <f t="shared" si="150"/>
        <v>8877381</v>
      </c>
      <c r="AU157" s="469">
        <f t="shared" si="151"/>
        <v>139</v>
      </c>
      <c r="AV157" s="244"/>
      <c r="AW157" s="242"/>
      <c r="AY157" s="670"/>
    </row>
    <row r="158" spans="1:59" s="189" customFormat="1" ht="78.75" customHeight="1" x14ac:dyDescent="0.25">
      <c r="A158" s="168">
        <f>_xlfn.AGGREGATE(4,7,A$13:A157)+1</f>
        <v>140</v>
      </c>
      <c r="B158" s="882" t="s">
        <v>1513</v>
      </c>
      <c r="C158" s="883" t="s">
        <v>1564</v>
      </c>
      <c r="D158" s="884" t="s">
        <v>1497</v>
      </c>
      <c r="E158" s="885" t="s">
        <v>1643</v>
      </c>
      <c r="F158" s="886"/>
      <c r="G158" s="886"/>
      <c r="H158" s="886"/>
      <c r="I158" s="886"/>
      <c r="J158" s="886"/>
      <c r="K158" s="882"/>
      <c r="L158" s="887" t="s">
        <v>1514</v>
      </c>
      <c r="M158" s="888"/>
      <c r="N158" s="885" t="str">
        <f>VLOOKUP(D158,'[6]Bao cao So GDDT'!$D$14:$S$282,11,FALSE)</f>
        <v>Giảng viên GDNN LT (hạng III)</v>
      </c>
      <c r="O158" s="889" t="s">
        <v>1438</v>
      </c>
      <c r="P158" s="890"/>
      <c r="Q158" s="890"/>
      <c r="R158" s="888">
        <v>2.34</v>
      </c>
      <c r="S158" s="891"/>
      <c r="T158" s="886"/>
      <c r="U158" s="891">
        <f t="shared" si="139"/>
        <v>0</v>
      </c>
      <c r="V158" s="892"/>
      <c r="W158" s="888"/>
      <c r="X158" s="893">
        <v>0</v>
      </c>
      <c r="Y158" s="894">
        <f t="shared" si="140"/>
        <v>0</v>
      </c>
      <c r="Z158" s="894">
        <f t="shared" si="141"/>
        <v>2.34</v>
      </c>
      <c r="AA158" s="895">
        <f t="shared" si="142"/>
        <v>4212000</v>
      </c>
      <c r="AB158" s="895">
        <v>0.4</v>
      </c>
      <c r="AC158" s="895">
        <f>AA158*60%</f>
        <v>2527200</v>
      </c>
      <c r="AD158" s="895">
        <v>0</v>
      </c>
      <c r="AE158" s="895">
        <f t="shared" si="143"/>
        <v>1684800</v>
      </c>
      <c r="AF158" s="896">
        <f t="shared" si="144"/>
        <v>336960</v>
      </c>
      <c r="AG158" s="910"/>
      <c r="AH158" s="896">
        <f t="shared" si="145"/>
        <v>42120</v>
      </c>
      <c r="AI158" s="896"/>
      <c r="AJ158" s="896">
        <f t="shared" si="146"/>
        <v>379080</v>
      </c>
      <c r="AK158" s="916"/>
      <c r="AL158" s="897">
        <f t="shared" si="124"/>
        <v>0</v>
      </c>
      <c r="AM158" s="897"/>
      <c r="AN158" s="897"/>
      <c r="AO158" s="898">
        <f t="shared" si="147"/>
        <v>2.34</v>
      </c>
      <c r="AP158" s="899">
        <v>0</v>
      </c>
      <c r="AQ158" s="900">
        <f t="shared" si="148"/>
        <v>0</v>
      </c>
      <c r="AR158" s="896">
        <f t="shared" si="149"/>
        <v>0</v>
      </c>
      <c r="AS158" s="896"/>
      <c r="AT158" s="896">
        <f t="shared" si="150"/>
        <v>1305720</v>
      </c>
      <c r="AU158" s="901">
        <f t="shared" si="151"/>
        <v>140</v>
      </c>
      <c r="AV158" s="902" t="s">
        <v>1606</v>
      </c>
      <c r="AW158" s="723" t="s">
        <v>1609</v>
      </c>
    </row>
    <row r="159" spans="1:59" s="189" customFormat="1" ht="38.25" customHeight="1" x14ac:dyDescent="0.25">
      <c r="A159" s="168">
        <f>_xlfn.AGGREGATE(4,7,A$13:A158)+1</f>
        <v>141</v>
      </c>
      <c r="B159" s="168" t="s">
        <v>1507</v>
      </c>
      <c r="C159" s="660" t="s">
        <v>1563</v>
      </c>
      <c r="D159" s="169" t="s">
        <v>1455</v>
      </c>
      <c r="E159" s="263" t="s">
        <v>1643</v>
      </c>
      <c r="F159" s="220"/>
      <c r="G159" s="220"/>
      <c r="H159" s="220"/>
      <c r="I159" s="220"/>
      <c r="J159" s="220"/>
      <c r="K159" s="168"/>
      <c r="L159" s="490"/>
      <c r="M159" s="170"/>
      <c r="N159" s="263" t="str">
        <f>VLOOKUP(D159,'[6]Bao cao So GDDT'!$D$14:$S$282,11,FALSE)</f>
        <v>Giảng viên GDNN LT (hạng III)</v>
      </c>
      <c r="O159" s="662" t="s">
        <v>1438</v>
      </c>
      <c r="P159" s="251"/>
      <c r="Q159" s="251"/>
      <c r="R159" s="170">
        <v>2.34</v>
      </c>
      <c r="S159" s="176"/>
      <c r="T159" s="220"/>
      <c r="U159" s="176">
        <f t="shared" si="139"/>
        <v>0</v>
      </c>
      <c r="V159" s="175"/>
      <c r="W159" s="170"/>
      <c r="X159" s="179">
        <f>VLOOKUP(D159,PCTN!D94:W361,20,FALSE)</f>
        <v>0</v>
      </c>
      <c r="Y159" s="216">
        <f t="shared" si="140"/>
        <v>0</v>
      </c>
      <c r="Z159" s="216">
        <f t="shared" si="141"/>
        <v>2.34</v>
      </c>
      <c r="AA159" s="180">
        <f t="shared" si="142"/>
        <v>4212000</v>
      </c>
      <c r="AB159" s="180"/>
      <c r="AC159" s="180">
        <f>AA159/24*AB159</f>
        <v>0</v>
      </c>
      <c r="AD159" s="180">
        <v>0</v>
      </c>
      <c r="AE159" s="180">
        <f t="shared" si="143"/>
        <v>4212000</v>
      </c>
      <c r="AF159" s="178">
        <f t="shared" si="144"/>
        <v>336960</v>
      </c>
      <c r="AG159" s="178">
        <f>AA159*1.5%</f>
        <v>63180</v>
      </c>
      <c r="AH159" s="178">
        <f t="shared" si="145"/>
        <v>42120</v>
      </c>
      <c r="AI159" s="178"/>
      <c r="AJ159" s="178">
        <f t="shared" si="146"/>
        <v>442260</v>
      </c>
      <c r="AK159" s="192"/>
      <c r="AL159" s="182">
        <f t="shared" si="124"/>
        <v>0</v>
      </c>
      <c r="AM159" s="182"/>
      <c r="AN159" s="182"/>
      <c r="AO159" s="183">
        <f t="shared" si="147"/>
        <v>2.34</v>
      </c>
      <c r="AP159" s="246">
        <v>0.25</v>
      </c>
      <c r="AQ159" s="185">
        <f t="shared" si="148"/>
        <v>0.58499999999999996</v>
      </c>
      <c r="AR159" s="178">
        <f t="shared" si="149"/>
        <v>1053000</v>
      </c>
      <c r="AS159" s="178"/>
      <c r="AT159" s="178">
        <f t="shared" si="150"/>
        <v>4822740</v>
      </c>
      <c r="AU159" s="469">
        <f t="shared" si="151"/>
        <v>141</v>
      </c>
      <c r="AV159" s="195"/>
      <c r="AW159" s="659"/>
      <c r="AX159" s="29"/>
      <c r="AY159" s="29"/>
      <c r="AZ159" s="29"/>
      <c r="BA159" s="29"/>
      <c r="BB159" s="29"/>
      <c r="BC159" s="29"/>
      <c r="BD159" s="29"/>
      <c r="BE159" s="29"/>
      <c r="BF159" s="29"/>
      <c r="BG159" s="29"/>
    </row>
    <row r="160" spans="1:59" s="189" customFormat="1" ht="42" customHeight="1" x14ac:dyDescent="0.25">
      <c r="A160" s="168">
        <f>_xlfn.AGGREGATE(4,7,A$13:A159)+1</f>
        <v>142</v>
      </c>
      <c r="B160" s="168"/>
      <c r="C160" s="660"/>
      <c r="D160" s="169" t="s">
        <v>1584</v>
      </c>
      <c r="E160" s="263" t="s">
        <v>1643</v>
      </c>
      <c r="F160" s="220"/>
      <c r="G160" s="220"/>
      <c r="H160" s="220"/>
      <c r="I160" s="220"/>
      <c r="J160" s="220"/>
      <c r="K160" s="168"/>
      <c r="L160" s="490"/>
      <c r="M160" s="170"/>
      <c r="N160" s="263" t="s">
        <v>1605</v>
      </c>
      <c r="O160" s="662" t="s">
        <v>1438</v>
      </c>
      <c r="P160" s="251"/>
      <c r="Q160" s="251"/>
      <c r="R160" s="170">
        <v>3.33</v>
      </c>
      <c r="S160" s="176"/>
      <c r="T160" s="220"/>
      <c r="U160" s="176">
        <f>ROUND(R160*T160/100,4)</f>
        <v>0</v>
      </c>
      <c r="V160" s="175"/>
      <c r="W160" s="170"/>
      <c r="X160" s="179">
        <v>0.11</v>
      </c>
      <c r="Y160" s="216">
        <f t="shared" si="140"/>
        <v>0.36630000000000001</v>
      </c>
      <c r="Z160" s="216">
        <f t="shared" si="141"/>
        <v>3.6962999999999999</v>
      </c>
      <c r="AA160" s="180">
        <f t="shared" si="142"/>
        <v>6653340</v>
      </c>
      <c r="AB160" s="180"/>
      <c r="AC160" s="180">
        <f>AA160/24*AB160</f>
        <v>0</v>
      </c>
      <c r="AD160" s="180">
        <v>0</v>
      </c>
      <c r="AE160" s="180">
        <f t="shared" si="143"/>
        <v>6653340</v>
      </c>
      <c r="AF160" s="178">
        <f t="shared" si="144"/>
        <v>532267.19999999995</v>
      </c>
      <c r="AG160" s="178">
        <f>AA160*1.5%</f>
        <v>99800.099999999991</v>
      </c>
      <c r="AH160" s="178">
        <f t="shared" si="145"/>
        <v>66533.399999999994</v>
      </c>
      <c r="AI160" s="178"/>
      <c r="AJ160" s="178">
        <f t="shared" si="146"/>
        <v>698600.7</v>
      </c>
      <c r="AK160" s="192"/>
      <c r="AL160" s="182">
        <f>AK160*$D$8</f>
        <v>0</v>
      </c>
      <c r="AM160" s="182"/>
      <c r="AN160" s="182"/>
      <c r="AO160" s="183">
        <f t="shared" si="147"/>
        <v>3.33</v>
      </c>
      <c r="AP160" s="246">
        <v>0.25</v>
      </c>
      <c r="AQ160" s="185">
        <f t="shared" si="148"/>
        <v>0.83250000000000002</v>
      </c>
      <c r="AR160" s="178">
        <f t="shared" si="149"/>
        <v>1498500</v>
      </c>
      <c r="AS160" s="178"/>
      <c r="AT160" s="178">
        <f t="shared" si="150"/>
        <v>7453239</v>
      </c>
      <c r="AU160" s="469">
        <f t="shared" si="151"/>
        <v>142</v>
      </c>
      <c r="AV160" s="195"/>
      <c r="AW160" s="723" t="s">
        <v>1585</v>
      </c>
      <c r="AY160" s="670"/>
    </row>
    <row r="161" spans="1:59" s="189" customFormat="1" ht="31.5" customHeight="1" x14ac:dyDescent="0.25">
      <c r="A161" s="168">
        <f>_xlfn.AGGREGATE(4,7,A$13:A160)+1</f>
        <v>143</v>
      </c>
      <c r="B161" s="168" t="str">
        <f>VLOOKUP(D161,[1]LuongBC_T01!$B$9:$C$292,2,FALSE)</f>
        <v>0016100006637005</v>
      </c>
      <c r="C161" s="199">
        <v>51200000905</v>
      </c>
      <c r="D161" s="169" t="s">
        <v>811</v>
      </c>
      <c r="E161" s="263" t="s">
        <v>1643</v>
      </c>
      <c r="F161" s="220"/>
      <c r="G161" s="220" t="s">
        <v>25</v>
      </c>
      <c r="H161" s="220"/>
      <c r="I161" s="220"/>
      <c r="J161" s="220"/>
      <c r="K161" s="170" t="str">
        <f>VLOOKUP(D161,[2]T3!$B$2:$D$328,3,FALSE)</f>
        <v>024383666</v>
      </c>
      <c r="L161" s="220"/>
      <c r="M161" s="170">
        <v>51200000905</v>
      </c>
      <c r="N161" s="263" t="str">
        <f>VLOOKUP(D161,'[6]Bao cao So GDDT'!$D$14:$S$282,11,FALSE)</f>
        <v>Giảng viên GDNN LT (hạng III)</v>
      </c>
      <c r="O161" s="390" t="s">
        <v>1438</v>
      </c>
      <c r="P161" s="170" t="s">
        <v>692</v>
      </c>
      <c r="Q161" s="170">
        <v>1</v>
      </c>
      <c r="R161" s="177">
        <v>3</v>
      </c>
      <c r="S161" s="176">
        <f t="shared" ref="S161:S166" si="152">U161+W161+Y161</f>
        <v>0.21</v>
      </c>
      <c r="T161" s="220"/>
      <c r="U161" s="176">
        <f>ROUND(R161*T161/100,4)</f>
        <v>0</v>
      </c>
      <c r="V161" s="175">
        <f>R161*T161*$D$8/100</f>
        <v>0</v>
      </c>
      <c r="W161" s="170"/>
      <c r="X161" s="179">
        <v>7.0000000000000007E-2</v>
      </c>
      <c r="Y161" s="216">
        <f t="shared" si="140"/>
        <v>0.21</v>
      </c>
      <c r="Z161" s="216">
        <f t="shared" si="141"/>
        <v>3.21</v>
      </c>
      <c r="AA161" s="180">
        <f t="shared" si="142"/>
        <v>5778000</v>
      </c>
      <c r="AB161" s="180"/>
      <c r="AC161" s="180">
        <f>AA161/24*AB161</f>
        <v>0</v>
      </c>
      <c r="AD161" s="180">
        <v>0</v>
      </c>
      <c r="AE161" s="180">
        <f t="shared" si="143"/>
        <v>5778000</v>
      </c>
      <c r="AF161" s="178">
        <f t="shared" si="144"/>
        <v>462240</v>
      </c>
      <c r="AG161" s="178">
        <f>AA161*1.5%</f>
        <v>86670</v>
      </c>
      <c r="AH161" s="178">
        <f t="shared" si="145"/>
        <v>57780</v>
      </c>
      <c r="AI161" s="178"/>
      <c r="AJ161" s="178">
        <f t="shared" si="146"/>
        <v>606690</v>
      </c>
      <c r="AK161" s="192"/>
      <c r="AL161" s="182">
        <f>AK161*$D$8</f>
        <v>0</v>
      </c>
      <c r="AM161" s="182"/>
      <c r="AN161" s="182"/>
      <c r="AO161" s="183">
        <f t="shared" si="147"/>
        <v>3</v>
      </c>
      <c r="AP161" s="246">
        <v>0.25</v>
      </c>
      <c r="AQ161" s="185">
        <f t="shared" si="148"/>
        <v>0.75</v>
      </c>
      <c r="AR161" s="178">
        <f t="shared" si="149"/>
        <v>1350000</v>
      </c>
      <c r="AS161" s="178"/>
      <c r="AT161" s="178">
        <f t="shared" si="150"/>
        <v>6521310</v>
      </c>
      <c r="AU161" s="469">
        <f t="shared" si="151"/>
        <v>143</v>
      </c>
      <c r="AV161" s="195"/>
      <c r="AW161" s="198"/>
      <c r="AY161" s="903"/>
    </row>
    <row r="162" spans="1:59" s="189" customFormat="1" ht="30.75" customHeight="1" x14ac:dyDescent="0.25">
      <c r="A162" s="168">
        <f>_xlfn.AGGREGATE(4,7,A$13:A161)+1</f>
        <v>144</v>
      </c>
      <c r="B162" s="484" t="str">
        <f>VLOOKUP(D162,[1]LuongBC_T01!$B$9:$C$292,2,FALSE)</f>
        <v>0016100006630008</v>
      </c>
      <c r="C162" s="512" t="s">
        <v>1011</v>
      </c>
      <c r="D162" s="520" t="s">
        <v>560</v>
      </c>
      <c r="E162" s="521" t="s">
        <v>1463</v>
      </c>
      <c r="F162" s="522"/>
      <c r="G162" s="522"/>
      <c r="H162" s="522"/>
      <c r="I162" s="522"/>
      <c r="J162" s="522"/>
      <c r="K162" s="525" t="str">
        <f>VLOOKUP(D162,[2]T3!$B$2:$D$328,3,FALSE)</f>
        <v>025076575</v>
      </c>
      <c r="L162" s="920" t="s">
        <v>744</v>
      </c>
      <c r="M162" s="920" t="s">
        <v>1011</v>
      </c>
      <c r="N162" s="521" t="str">
        <f>VLOOKUP(D162,'[6]Bao cao So GDDT'!$D$14:$S$282,11,FALSE)</f>
        <v>Giảng viên GDNN LT (hạng III)</v>
      </c>
      <c r="O162" s="846" t="s">
        <v>1438</v>
      </c>
      <c r="P162" s="525" t="s">
        <v>692</v>
      </c>
      <c r="Q162" s="525">
        <v>2</v>
      </c>
      <c r="R162" s="528">
        <v>3.33</v>
      </c>
      <c r="S162" s="463">
        <f t="shared" si="152"/>
        <v>0.82800000000000007</v>
      </c>
      <c r="T162" s="524"/>
      <c r="U162" s="463">
        <f t="shared" si="125"/>
        <v>0</v>
      </c>
      <c r="V162" s="529">
        <f>R162*T162*$D$8/100</f>
        <v>0</v>
      </c>
      <c r="W162" s="528">
        <v>0.45</v>
      </c>
      <c r="X162" s="530">
        <v>0.1</v>
      </c>
      <c r="Y162" s="531">
        <f t="shared" si="126"/>
        <v>0.378</v>
      </c>
      <c r="Z162" s="531">
        <f t="shared" si="127"/>
        <v>4.1580000000000004</v>
      </c>
      <c r="AA162" s="532">
        <f t="shared" si="128"/>
        <v>7484400</v>
      </c>
      <c r="AB162" s="532"/>
      <c r="AC162" s="532">
        <f t="shared" si="129"/>
        <v>0</v>
      </c>
      <c r="AD162" s="532">
        <f t="shared" si="123"/>
        <v>0</v>
      </c>
      <c r="AE162" s="532">
        <f t="shared" si="130"/>
        <v>7484400</v>
      </c>
      <c r="AF162" s="533">
        <f t="shared" si="131"/>
        <v>598752</v>
      </c>
      <c r="AG162" s="533">
        <f t="shared" si="132"/>
        <v>112266</v>
      </c>
      <c r="AH162" s="533">
        <f t="shared" si="133"/>
        <v>74844</v>
      </c>
      <c r="AI162" s="533"/>
      <c r="AJ162" s="533">
        <f t="shared" si="134"/>
        <v>785862</v>
      </c>
      <c r="AK162" s="534"/>
      <c r="AL162" s="182">
        <f t="shared" si="124"/>
        <v>0</v>
      </c>
      <c r="AM162" s="535"/>
      <c r="AN162" s="535"/>
      <c r="AO162" s="536">
        <f t="shared" si="118"/>
        <v>3.7800000000000002</v>
      </c>
      <c r="AP162" s="870">
        <v>0.25</v>
      </c>
      <c r="AQ162" s="537">
        <f t="shared" si="135"/>
        <v>0.94499999999999995</v>
      </c>
      <c r="AR162" s="533">
        <f t="shared" si="136"/>
        <v>1701000</v>
      </c>
      <c r="AS162" s="533"/>
      <c r="AT162" s="533">
        <f t="shared" si="137"/>
        <v>8399538</v>
      </c>
      <c r="AU162" s="538">
        <f t="shared" si="138"/>
        <v>144</v>
      </c>
      <c r="AV162" s="539"/>
      <c r="AW162" s="198" t="s">
        <v>708</v>
      </c>
    </row>
    <row r="163" spans="1:59" s="228" customFormat="1" ht="37.5" customHeight="1" x14ac:dyDescent="0.25">
      <c r="A163" s="168">
        <f>_xlfn.AGGREGATE(4,7,A$13:A162)+1</f>
        <v>145</v>
      </c>
      <c r="B163" s="168" t="str">
        <f>VLOOKUP(D163,[1]LuongBC_T01!$B$9:$C$292,2,FALSE)</f>
        <v>0016100006571004</v>
      </c>
      <c r="C163" s="199" t="s">
        <v>988</v>
      </c>
      <c r="D163" s="169" t="s">
        <v>571</v>
      </c>
      <c r="E163" s="263" t="s">
        <v>1373</v>
      </c>
      <c r="F163" s="169" t="s">
        <v>549</v>
      </c>
      <c r="G163" s="200" t="s">
        <v>25</v>
      </c>
      <c r="H163" s="200"/>
      <c r="I163" s="200" t="s">
        <v>283</v>
      </c>
      <c r="J163" s="200" t="s">
        <v>588</v>
      </c>
      <c r="K163" s="170" t="str">
        <f>VLOOKUP(D163,[2]T3!$B$2:$D$328,3,FALSE)</f>
        <v>023922977</v>
      </c>
      <c r="L163" s="226" t="s">
        <v>610</v>
      </c>
      <c r="M163" s="226" t="s">
        <v>988</v>
      </c>
      <c r="N163" s="263" t="str">
        <f>VLOOKUP(D163,'[6]Bao cao So GDDT'!$D$14:$S$282,11,FALSE)</f>
        <v>Giảng viên GDNN LT (hạng III)</v>
      </c>
      <c r="O163" s="390" t="s">
        <v>1438</v>
      </c>
      <c r="P163" s="170" t="s">
        <v>692</v>
      </c>
      <c r="Q163" s="170">
        <v>3</v>
      </c>
      <c r="R163" s="177">
        <v>3.66</v>
      </c>
      <c r="S163" s="176">
        <f t="shared" si="152"/>
        <v>0.4758</v>
      </c>
      <c r="T163" s="220"/>
      <c r="U163" s="176">
        <f t="shared" si="125"/>
        <v>0</v>
      </c>
      <c r="V163" s="175">
        <f>R163*T163*$D$8/100</f>
        <v>0</v>
      </c>
      <c r="W163" s="170"/>
      <c r="X163" s="179">
        <v>0.13</v>
      </c>
      <c r="Y163" s="216">
        <f t="shared" si="126"/>
        <v>0.4758</v>
      </c>
      <c r="Z163" s="216">
        <f t="shared" si="127"/>
        <v>4.1357999999999997</v>
      </c>
      <c r="AA163" s="180">
        <f t="shared" si="128"/>
        <v>7444440</v>
      </c>
      <c r="AB163" s="180"/>
      <c r="AC163" s="180">
        <f t="shared" si="129"/>
        <v>0</v>
      </c>
      <c r="AD163" s="180">
        <f t="shared" si="123"/>
        <v>0</v>
      </c>
      <c r="AE163" s="180">
        <f t="shared" si="130"/>
        <v>7444440</v>
      </c>
      <c r="AF163" s="178">
        <f t="shared" si="131"/>
        <v>595555.20000000007</v>
      </c>
      <c r="AG163" s="178">
        <f t="shared" si="132"/>
        <v>111666.59999999999</v>
      </c>
      <c r="AH163" s="178">
        <f t="shared" si="133"/>
        <v>74444.400000000009</v>
      </c>
      <c r="AI163" s="178"/>
      <c r="AJ163" s="178">
        <f t="shared" si="134"/>
        <v>781666.20000000007</v>
      </c>
      <c r="AK163" s="192"/>
      <c r="AL163" s="182">
        <f t="shared" ref="AL163:AL168" si="153">AK163*$D$8</f>
        <v>0</v>
      </c>
      <c r="AM163" s="182"/>
      <c r="AN163" s="182"/>
      <c r="AO163" s="193">
        <f t="shared" si="118"/>
        <v>3.66</v>
      </c>
      <c r="AP163" s="246">
        <v>0.25</v>
      </c>
      <c r="AQ163" s="194">
        <f t="shared" si="135"/>
        <v>0.91500000000000004</v>
      </c>
      <c r="AR163" s="178">
        <f t="shared" si="136"/>
        <v>1647000</v>
      </c>
      <c r="AS163" s="178"/>
      <c r="AT163" s="178">
        <f t="shared" si="137"/>
        <v>8309774</v>
      </c>
      <c r="AU163" s="469">
        <f t="shared" si="138"/>
        <v>145</v>
      </c>
      <c r="AV163" s="195"/>
      <c r="AW163" s="227" t="s">
        <v>708</v>
      </c>
    </row>
    <row r="164" spans="1:59" s="189" customFormat="1" ht="30.75" customHeight="1" x14ac:dyDescent="0.25">
      <c r="A164" s="682">
        <f>_xlfn.AGGREGATE(4,7,A$13:A163)+1</f>
        <v>146</v>
      </c>
      <c r="B164" s="682" t="str">
        <f>VLOOKUP(D164,[1]LuongBC_T01!$B$9:$C$292,2,FALSE)</f>
        <v>0016100006547006</v>
      </c>
      <c r="C164" s="703" t="s">
        <v>998</v>
      </c>
      <c r="D164" s="683" t="s">
        <v>574</v>
      </c>
      <c r="E164" s="684" t="s">
        <v>1382</v>
      </c>
      <c r="F164" s="683" t="s">
        <v>549</v>
      </c>
      <c r="G164" s="685" t="s">
        <v>25</v>
      </c>
      <c r="H164" s="705" t="s">
        <v>283</v>
      </c>
      <c r="I164" s="705" t="s">
        <v>283</v>
      </c>
      <c r="J164" s="705" t="s">
        <v>595</v>
      </c>
      <c r="K164" s="685" t="str">
        <f>VLOOKUP(D164,[2]T3!$B$2:$D$328,3,FALSE)</f>
        <v>311759209</v>
      </c>
      <c r="L164" s="991" t="s">
        <v>616</v>
      </c>
      <c r="M164" s="991" t="s">
        <v>998</v>
      </c>
      <c r="N164" s="684" t="str">
        <f>VLOOKUP(D164,'[6]Bao cao So GDDT'!$D$14:$S$282,11,FALSE)</f>
        <v>Giảng viên GDNN LT (hạng III)</v>
      </c>
      <c r="O164" s="686" t="s">
        <v>1438</v>
      </c>
      <c r="P164" s="685" t="s">
        <v>692</v>
      </c>
      <c r="Q164" s="688">
        <v>3</v>
      </c>
      <c r="R164" s="992">
        <v>3.66</v>
      </c>
      <c r="S164" s="690">
        <f t="shared" si="152"/>
        <v>0.4758</v>
      </c>
      <c r="T164" s="691"/>
      <c r="U164" s="690">
        <f t="shared" si="125"/>
        <v>0</v>
      </c>
      <c r="V164" s="692">
        <f>R164*T164*$D$8/100</f>
        <v>0</v>
      </c>
      <c r="W164" s="685"/>
      <c r="X164" s="693">
        <v>0.13</v>
      </c>
      <c r="Y164" s="694">
        <f t="shared" si="126"/>
        <v>0.4758</v>
      </c>
      <c r="Z164" s="694">
        <f t="shared" si="127"/>
        <v>4.1357999999999997</v>
      </c>
      <c r="AA164" s="695">
        <f t="shared" si="128"/>
        <v>7444440</v>
      </c>
      <c r="AB164" s="695"/>
      <c r="AC164" s="695">
        <f t="shared" si="129"/>
        <v>0</v>
      </c>
      <c r="AD164" s="695">
        <f t="shared" si="123"/>
        <v>0</v>
      </c>
      <c r="AE164" s="695">
        <f t="shared" si="130"/>
        <v>7444440</v>
      </c>
      <c r="AF164" s="696">
        <f t="shared" si="131"/>
        <v>595555.20000000007</v>
      </c>
      <c r="AG164" s="696">
        <f t="shared" si="132"/>
        <v>111666.59999999999</v>
      </c>
      <c r="AH164" s="696">
        <f t="shared" si="133"/>
        <v>74444.400000000009</v>
      </c>
      <c r="AI164" s="696"/>
      <c r="AJ164" s="696">
        <f t="shared" si="134"/>
        <v>781666.20000000007</v>
      </c>
      <c r="AK164" s="701"/>
      <c r="AL164" s="697">
        <f t="shared" si="153"/>
        <v>0</v>
      </c>
      <c r="AM164" s="697"/>
      <c r="AN164" s="697"/>
      <c r="AO164" s="706">
        <f t="shared" si="118"/>
        <v>3.66</v>
      </c>
      <c r="AP164" s="702">
        <v>0.25</v>
      </c>
      <c r="AQ164" s="704">
        <f t="shared" si="135"/>
        <v>0.91500000000000004</v>
      </c>
      <c r="AR164" s="696">
        <f t="shared" si="136"/>
        <v>1647000</v>
      </c>
      <c r="AS164" s="696"/>
      <c r="AT164" s="696">
        <f t="shared" si="137"/>
        <v>8309774</v>
      </c>
      <c r="AU164" s="698">
        <f t="shared" si="138"/>
        <v>146</v>
      </c>
      <c r="AV164" s="699"/>
      <c r="AW164" s="198" t="s">
        <v>708</v>
      </c>
    </row>
    <row r="165" spans="1:59" s="189" customFormat="1" ht="30.75" customHeight="1" x14ac:dyDescent="0.25">
      <c r="A165" s="168">
        <f>_xlfn.AGGREGATE(4,7,A$13:A164)+1</f>
        <v>147</v>
      </c>
      <c r="B165" s="168" t="str">
        <f>VLOOKUP(D165,[1]LuongBC_T01!$B$9:$C$292,2,FALSE)</f>
        <v>0016100006631007</v>
      </c>
      <c r="C165" s="199" t="s">
        <v>1007</v>
      </c>
      <c r="D165" s="230" t="s">
        <v>559</v>
      </c>
      <c r="E165" s="263" t="s">
        <v>1373</v>
      </c>
      <c r="F165" s="231"/>
      <c r="G165" s="251" t="s">
        <v>25</v>
      </c>
      <c r="H165" s="231"/>
      <c r="I165" s="231"/>
      <c r="J165" s="231"/>
      <c r="K165" s="170" t="str">
        <f>VLOOKUP(D165,[2]T3!$B$2:$D$328,3,FALSE)</f>
        <v>025695766</v>
      </c>
      <c r="L165" s="378">
        <v>1603205353742</v>
      </c>
      <c r="M165" s="378" t="s">
        <v>1007</v>
      </c>
      <c r="N165" s="263" t="str">
        <f>VLOOKUP(D165,'[6]Bao cao So GDDT'!$D$14:$S$282,11,FALSE)</f>
        <v>Giảng viên GDNN LT (hạng III)</v>
      </c>
      <c r="O165" s="390" t="s">
        <v>1438</v>
      </c>
      <c r="P165" s="170" t="s">
        <v>692</v>
      </c>
      <c r="Q165" s="170">
        <v>2</v>
      </c>
      <c r="R165" s="177">
        <v>3.33</v>
      </c>
      <c r="S165" s="176">
        <f t="shared" si="152"/>
        <v>0.33300000000000002</v>
      </c>
      <c r="T165" s="169"/>
      <c r="U165" s="176">
        <f t="shared" si="125"/>
        <v>0</v>
      </c>
      <c r="V165" s="175">
        <f>R165*T165*$D$8/100</f>
        <v>0</v>
      </c>
      <c r="W165" s="170"/>
      <c r="X165" s="179">
        <v>0.1</v>
      </c>
      <c r="Y165" s="216">
        <f t="shared" si="126"/>
        <v>0.33300000000000002</v>
      </c>
      <c r="Z165" s="216">
        <f t="shared" si="127"/>
        <v>3.6630000000000003</v>
      </c>
      <c r="AA165" s="180">
        <f t="shared" si="128"/>
        <v>6593400</v>
      </c>
      <c r="AB165" s="180"/>
      <c r="AC165" s="180">
        <f t="shared" si="129"/>
        <v>0</v>
      </c>
      <c r="AD165" s="180">
        <v>0</v>
      </c>
      <c r="AE165" s="180">
        <f t="shared" si="130"/>
        <v>6593400</v>
      </c>
      <c r="AF165" s="178">
        <f t="shared" si="131"/>
        <v>527472</v>
      </c>
      <c r="AG165" s="178">
        <f t="shared" si="132"/>
        <v>98901</v>
      </c>
      <c r="AH165" s="178">
        <f t="shared" si="133"/>
        <v>65934</v>
      </c>
      <c r="AI165" s="178"/>
      <c r="AJ165" s="178">
        <f t="shared" si="134"/>
        <v>692307</v>
      </c>
      <c r="AK165" s="192"/>
      <c r="AL165" s="182">
        <f t="shared" si="153"/>
        <v>0</v>
      </c>
      <c r="AM165" s="182"/>
      <c r="AN165" s="182"/>
      <c r="AO165" s="183">
        <f t="shared" si="118"/>
        <v>3.33</v>
      </c>
      <c r="AP165" s="246">
        <v>0.25</v>
      </c>
      <c r="AQ165" s="194">
        <f t="shared" si="135"/>
        <v>0.83250000000000002</v>
      </c>
      <c r="AR165" s="178">
        <f t="shared" si="136"/>
        <v>1498500</v>
      </c>
      <c r="AS165" s="178"/>
      <c r="AT165" s="178">
        <f t="shared" si="137"/>
        <v>7399593</v>
      </c>
      <c r="AU165" s="469">
        <f t="shared" si="138"/>
        <v>147</v>
      </c>
      <c r="AV165" s="195"/>
      <c r="AW165" s="198" t="s">
        <v>708</v>
      </c>
    </row>
    <row r="166" spans="1:59" s="189" customFormat="1" ht="30.75" customHeight="1" x14ac:dyDescent="0.25">
      <c r="A166" s="168">
        <f>_xlfn.AGGREGATE(4,7,A$13:A165)+1</f>
        <v>148</v>
      </c>
      <c r="B166" s="168" t="str">
        <f>VLOOKUP(D166,[1]LuongBC_T01!$B$9:$C$292,2,FALSE)</f>
        <v>0016100006573007</v>
      </c>
      <c r="C166" s="199" t="s">
        <v>1016</v>
      </c>
      <c r="D166" s="230" t="s">
        <v>750</v>
      </c>
      <c r="E166" s="263" t="s">
        <v>1373</v>
      </c>
      <c r="F166" s="231"/>
      <c r="G166" s="251" t="s">
        <v>25</v>
      </c>
      <c r="H166" s="231"/>
      <c r="I166" s="231"/>
      <c r="J166" s="231"/>
      <c r="K166" s="170" t="str">
        <f>VLOOKUP(D166,[2]T3!$B$2:$D$328,3,FALSE)</f>
        <v>025537038</v>
      </c>
      <c r="L166" s="725" t="s">
        <v>757</v>
      </c>
      <c r="M166" s="725" t="s">
        <v>1016</v>
      </c>
      <c r="N166" s="263" t="str">
        <f>VLOOKUP(D166,'[6]Bao cao So GDDT'!$D$14:$S$282,11,FALSE)</f>
        <v>Giảng viên GDNN LT (hạng III)</v>
      </c>
      <c r="O166" s="390" t="s">
        <v>1438</v>
      </c>
      <c r="P166" s="170" t="s">
        <v>692</v>
      </c>
      <c r="Q166" s="170">
        <v>2</v>
      </c>
      <c r="R166" s="177">
        <v>3.33</v>
      </c>
      <c r="S166" s="176">
        <f t="shared" si="152"/>
        <v>0.26640000000000003</v>
      </c>
      <c r="T166" s="169"/>
      <c r="U166" s="176">
        <f t="shared" si="125"/>
        <v>0</v>
      </c>
      <c r="V166" s="175"/>
      <c r="W166" s="170"/>
      <c r="X166" s="179">
        <v>0.08</v>
      </c>
      <c r="Y166" s="216">
        <f t="shared" si="126"/>
        <v>0.26640000000000003</v>
      </c>
      <c r="Z166" s="216">
        <f t="shared" si="127"/>
        <v>3.5964</v>
      </c>
      <c r="AA166" s="180">
        <f t="shared" si="128"/>
        <v>6473520</v>
      </c>
      <c r="AB166" s="180"/>
      <c r="AC166" s="180">
        <f t="shared" si="129"/>
        <v>0</v>
      </c>
      <c r="AD166" s="180">
        <f>AA166/24*AB166*75%</f>
        <v>0</v>
      </c>
      <c r="AE166" s="180">
        <f t="shared" si="130"/>
        <v>6473520</v>
      </c>
      <c r="AF166" s="178">
        <f t="shared" si="131"/>
        <v>517881.60000000003</v>
      </c>
      <c r="AG166" s="178">
        <f t="shared" si="132"/>
        <v>97102.8</v>
      </c>
      <c r="AH166" s="178">
        <f t="shared" si="133"/>
        <v>64735.200000000004</v>
      </c>
      <c r="AI166" s="178"/>
      <c r="AJ166" s="178">
        <f t="shared" si="134"/>
        <v>679719.6</v>
      </c>
      <c r="AK166" s="192"/>
      <c r="AL166" s="182">
        <f t="shared" si="153"/>
        <v>0</v>
      </c>
      <c r="AM166" s="182"/>
      <c r="AN166" s="182"/>
      <c r="AO166" s="183">
        <f t="shared" si="118"/>
        <v>3.33</v>
      </c>
      <c r="AP166" s="246">
        <v>0.25</v>
      </c>
      <c r="AQ166" s="194">
        <f t="shared" si="135"/>
        <v>0.83250000000000002</v>
      </c>
      <c r="AR166" s="178">
        <f t="shared" si="136"/>
        <v>1498500</v>
      </c>
      <c r="AS166" s="178"/>
      <c r="AT166" s="178">
        <f t="shared" si="137"/>
        <v>7292300</v>
      </c>
      <c r="AU166" s="469">
        <f t="shared" si="138"/>
        <v>148</v>
      </c>
      <c r="AV166" s="195"/>
      <c r="AW166" s="196">
        <f>AT260/20</f>
        <v>367297.35</v>
      </c>
    </row>
    <row r="167" spans="1:59" s="189" customFormat="1" ht="30.75" customHeight="1" x14ac:dyDescent="0.25">
      <c r="A167" s="726">
        <f>_xlfn.AGGREGATE(4,7,A$13:A166)+1</f>
        <v>149</v>
      </c>
      <c r="B167" s="726" t="str">
        <f>VLOOKUP(D167,[1]LuongBC_T01!$B$9:$C$292,2,FALSE)</f>
        <v>0016100006570008</v>
      </c>
      <c r="C167" s="983" t="s">
        <v>1314</v>
      </c>
      <c r="D167" s="728" t="s">
        <v>1134</v>
      </c>
      <c r="E167" s="729" t="s">
        <v>1373</v>
      </c>
      <c r="F167" s="755"/>
      <c r="G167" s="755"/>
      <c r="H167" s="755"/>
      <c r="I167" s="755"/>
      <c r="J167" s="755"/>
      <c r="K167" s="730">
        <f>VLOOKUP(D167,[2]T3!$B$2:$D$328,3,FALSE)</f>
        <v>381574642</v>
      </c>
      <c r="L167" s="755"/>
      <c r="M167" s="730"/>
      <c r="N167" s="729" t="str">
        <f>VLOOKUP(D167,'[6]Bao cao So GDDT'!$D$14:$S$282,11,FALSE)</f>
        <v>Giảng viên GDNN LT (hạng III)</v>
      </c>
      <c r="O167" s="732" t="s">
        <v>1438</v>
      </c>
      <c r="P167" s="982"/>
      <c r="Q167" s="982">
        <v>2</v>
      </c>
      <c r="R167" s="933">
        <v>3.33</v>
      </c>
      <c r="S167" s="736"/>
      <c r="T167" s="755"/>
      <c r="U167" s="736">
        <f t="shared" si="125"/>
        <v>0</v>
      </c>
      <c r="V167" s="738"/>
      <c r="W167" s="730"/>
      <c r="X167" s="739">
        <v>0.05</v>
      </c>
      <c r="Y167" s="740">
        <f t="shared" si="126"/>
        <v>0.16650000000000001</v>
      </c>
      <c r="Z167" s="740">
        <f t="shared" si="127"/>
        <v>3.4965000000000002</v>
      </c>
      <c r="AA167" s="741">
        <f t="shared" si="128"/>
        <v>6293700</v>
      </c>
      <c r="AB167" s="741"/>
      <c r="AC167" s="741">
        <f t="shared" si="129"/>
        <v>0</v>
      </c>
      <c r="AD167" s="741">
        <f>AA167/24*AB167*75%</f>
        <v>0</v>
      </c>
      <c r="AE167" s="741">
        <f t="shared" si="130"/>
        <v>6293700</v>
      </c>
      <c r="AF167" s="742">
        <f t="shared" si="131"/>
        <v>503496</v>
      </c>
      <c r="AG167" s="742">
        <f t="shared" si="132"/>
        <v>94405.5</v>
      </c>
      <c r="AH167" s="742">
        <f t="shared" si="133"/>
        <v>62937</v>
      </c>
      <c r="AI167" s="742"/>
      <c r="AJ167" s="742">
        <f t="shared" si="134"/>
        <v>660838.5</v>
      </c>
      <c r="AK167" s="743"/>
      <c r="AL167" s="744">
        <f t="shared" si="153"/>
        <v>0</v>
      </c>
      <c r="AM167" s="744"/>
      <c r="AN167" s="744"/>
      <c r="AO167" s="745">
        <f t="shared" si="118"/>
        <v>3.33</v>
      </c>
      <c r="AP167" s="757">
        <v>0.25</v>
      </c>
      <c r="AQ167" s="747">
        <f t="shared" si="135"/>
        <v>0.83250000000000002</v>
      </c>
      <c r="AR167" s="742">
        <f t="shared" si="136"/>
        <v>1498500</v>
      </c>
      <c r="AS167" s="742"/>
      <c r="AT167" s="742">
        <f t="shared" si="137"/>
        <v>7131362</v>
      </c>
      <c r="AU167" s="748">
        <f t="shared" si="138"/>
        <v>149</v>
      </c>
      <c r="AV167" s="749"/>
      <c r="AW167" s="485" t="s">
        <v>1139</v>
      </c>
    </row>
    <row r="168" spans="1:59" s="189" customFormat="1" ht="30.75" customHeight="1" x14ac:dyDescent="0.25">
      <c r="A168" s="168">
        <f>_xlfn.AGGREGATE(4,7,A$13:A167)+1</f>
        <v>150</v>
      </c>
      <c r="B168" s="168" t="str">
        <f>VLOOKUP(D168,[1]LuongBC_T01!$B$9:$C$292,2,FALSE)</f>
        <v>0016100007787008</v>
      </c>
      <c r="C168" s="170" t="s">
        <v>1324</v>
      </c>
      <c r="D168" s="169" t="s">
        <v>1291</v>
      </c>
      <c r="E168" s="263" t="s">
        <v>1408</v>
      </c>
      <c r="F168" s="220"/>
      <c r="G168" s="220"/>
      <c r="H168" s="220"/>
      <c r="I168" s="220"/>
      <c r="J168" s="220"/>
      <c r="K168" s="170" t="str">
        <f>VLOOKUP(D168,[2]T3!$B$2:$D$328,3,FALSE)</f>
        <v>024058374</v>
      </c>
      <c r="L168" s="220"/>
      <c r="M168" s="170"/>
      <c r="N168" s="263" t="str">
        <f>VLOOKUP(D168,'[6]Bao cao So GDDT'!$D$14:$S$282,11,FALSE)</f>
        <v>Giảng viên GDNN LT (hạng III)</v>
      </c>
      <c r="O168" s="390" t="s">
        <v>1438</v>
      </c>
      <c r="P168" s="251"/>
      <c r="Q168" s="251"/>
      <c r="R168" s="177">
        <v>3</v>
      </c>
      <c r="S168" s="176"/>
      <c r="T168" s="220"/>
      <c r="U168" s="176">
        <f t="shared" si="125"/>
        <v>0</v>
      </c>
      <c r="V168" s="175"/>
      <c r="W168" s="170"/>
      <c r="X168" s="179">
        <f>VLOOKUP(D168,PCTN!D267:W534,20,FALSE)</f>
        <v>0</v>
      </c>
      <c r="Y168" s="216">
        <f t="shared" si="126"/>
        <v>0</v>
      </c>
      <c r="Z168" s="216">
        <f t="shared" si="127"/>
        <v>3</v>
      </c>
      <c r="AA168" s="180">
        <f t="shared" si="128"/>
        <v>5400000</v>
      </c>
      <c r="AB168" s="180"/>
      <c r="AC168" s="180">
        <f t="shared" si="129"/>
        <v>0</v>
      </c>
      <c r="AD168" s="180">
        <f>AA168/24*AB168*75%</f>
        <v>0</v>
      </c>
      <c r="AE168" s="180">
        <f t="shared" si="130"/>
        <v>5400000</v>
      </c>
      <c r="AF168" s="178">
        <f t="shared" si="131"/>
        <v>432000</v>
      </c>
      <c r="AG168" s="178">
        <f t="shared" si="132"/>
        <v>81000</v>
      </c>
      <c r="AH168" s="178">
        <f t="shared" si="133"/>
        <v>54000</v>
      </c>
      <c r="AI168" s="178"/>
      <c r="AJ168" s="178">
        <f t="shared" si="134"/>
        <v>567000</v>
      </c>
      <c r="AK168" s="192"/>
      <c r="AL168" s="182">
        <f t="shared" si="153"/>
        <v>0</v>
      </c>
      <c r="AM168" s="182"/>
      <c r="AN168" s="182"/>
      <c r="AO168" s="183">
        <f t="shared" si="118"/>
        <v>3</v>
      </c>
      <c r="AP168" s="246">
        <v>0.25</v>
      </c>
      <c r="AQ168" s="185">
        <f t="shared" si="135"/>
        <v>0.75</v>
      </c>
      <c r="AR168" s="178">
        <f t="shared" si="136"/>
        <v>1350000</v>
      </c>
      <c r="AS168" s="178"/>
      <c r="AT168" s="178">
        <f t="shared" si="137"/>
        <v>6183000</v>
      </c>
      <c r="AU168" s="469">
        <f t="shared" si="138"/>
        <v>150</v>
      </c>
      <c r="AV168" s="195"/>
      <c r="AW168" s="485"/>
      <c r="AX168" s="29"/>
      <c r="AY168" s="29"/>
      <c r="AZ168" s="29"/>
      <c r="BA168" s="29"/>
      <c r="BB168" s="29"/>
      <c r="BC168" s="29"/>
      <c r="BD168" s="29"/>
      <c r="BE168" s="29"/>
      <c r="BF168" s="29"/>
      <c r="BG168" s="29"/>
    </row>
    <row r="169" spans="1:59" s="189" customFormat="1" ht="30.75" customHeight="1" x14ac:dyDescent="0.25">
      <c r="A169" s="168">
        <f>_xlfn.AGGREGATE(4,7,A$13:A168)+1</f>
        <v>151</v>
      </c>
      <c r="B169" s="168" t="str">
        <f>VLOOKUP(D169,[1]LuongBC_T01!$B$9:$C$292,2,FALSE)</f>
        <v>0016100006572008</v>
      </c>
      <c r="C169" s="371" t="s">
        <v>1053</v>
      </c>
      <c r="D169" s="230" t="s">
        <v>1233</v>
      </c>
      <c r="E169" s="263" t="s">
        <v>1373</v>
      </c>
      <c r="F169" s="231"/>
      <c r="G169" s="251" t="s">
        <v>25</v>
      </c>
      <c r="H169" s="231"/>
      <c r="I169" s="231"/>
      <c r="J169" s="231"/>
      <c r="K169" s="170" t="str">
        <f>VLOOKUP(D169,[2]T3!$B$2:$D$328,3,FALSE)</f>
        <v>025121375</v>
      </c>
      <c r="L169" s="378">
        <v>1603205357136</v>
      </c>
      <c r="M169" s="378" t="s">
        <v>1053</v>
      </c>
      <c r="N169" s="263" t="str">
        <f>VLOOKUP(D169,'[6]Bao cao So GDDT'!$D$14:$S$282,11,FALSE)</f>
        <v>Giảng viên GDNN LT (hạng III)</v>
      </c>
      <c r="O169" s="390" t="s">
        <v>1438</v>
      </c>
      <c r="P169" s="170" t="s">
        <v>692</v>
      </c>
      <c r="Q169" s="170">
        <v>2</v>
      </c>
      <c r="R169" s="177">
        <v>3.33</v>
      </c>
      <c r="S169" s="176">
        <f t="shared" ref="S169:S216" si="154">U169+W169+Y169</f>
        <v>0.33300000000000002</v>
      </c>
      <c r="T169" s="169"/>
      <c r="U169" s="176">
        <f t="shared" si="125"/>
        <v>0</v>
      </c>
      <c r="V169" s="175">
        <f t="shared" ref="V169:V184" si="155">R169*T169*$D$8/100</f>
        <v>0</v>
      </c>
      <c r="W169" s="170"/>
      <c r="X169" s="179">
        <v>0.1</v>
      </c>
      <c r="Y169" s="216">
        <f t="shared" si="126"/>
        <v>0.33300000000000002</v>
      </c>
      <c r="Z169" s="216">
        <f t="shared" si="127"/>
        <v>3.6630000000000003</v>
      </c>
      <c r="AA169" s="180">
        <f t="shared" si="128"/>
        <v>6593400</v>
      </c>
      <c r="AB169" s="180"/>
      <c r="AC169" s="180">
        <f t="shared" si="129"/>
        <v>0</v>
      </c>
      <c r="AD169" s="180">
        <f>AA169/24*AB169*75%</f>
        <v>0</v>
      </c>
      <c r="AE169" s="180">
        <f t="shared" si="130"/>
        <v>6593400</v>
      </c>
      <c r="AF169" s="178">
        <f t="shared" si="131"/>
        <v>527472</v>
      </c>
      <c r="AG169" s="178">
        <f t="shared" si="132"/>
        <v>98901</v>
      </c>
      <c r="AH169" s="178">
        <f t="shared" si="133"/>
        <v>65934</v>
      </c>
      <c r="AI169" s="178"/>
      <c r="AJ169" s="178">
        <f t="shared" si="134"/>
        <v>692307</v>
      </c>
      <c r="AK169" s="192"/>
      <c r="AL169" s="182">
        <f t="shared" ref="AL169:AL205" si="156">AK169*$D$8</f>
        <v>0</v>
      </c>
      <c r="AM169" s="182"/>
      <c r="AN169" s="182"/>
      <c r="AO169" s="183">
        <f t="shared" si="118"/>
        <v>3.33</v>
      </c>
      <c r="AP169" s="246">
        <v>0.25</v>
      </c>
      <c r="AQ169" s="194">
        <f t="shared" si="135"/>
        <v>0.83250000000000002</v>
      </c>
      <c r="AR169" s="178">
        <f t="shared" si="136"/>
        <v>1498500</v>
      </c>
      <c r="AS169" s="178"/>
      <c r="AT169" s="178">
        <f t="shared" si="137"/>
        <v>7399593</v>
      </c>
      <c r="AU169" s="469">
        <f t="shared" si="138"/>
        <v>151</v>
      </c>
      <c r="AV169" s="186"/>
      <c r="AW169" s="198" t="s">
        <v>708</v>
      </c>
    </row>
    <row r="170" spans="1:59" s="191" customFormat="1" ht="30.75" customHeight="1" x14ac:dyDescent="0.25">
      <c r="A170" s="168">
        <f>_xlfn.AGGREGATE(4,7,A$13:A169)+1</f>
        <v>152</v>
      </c>
      <c r="B170" s="168" t="str">
        <f>VLOOKUP(D170,[1]LuongBC_T01!$B$9:$C$292,2,FALSE)</f>
        <v>0016100006619007</v>
      </c>
      <c r="C170" s="199" t="s">
        <v>959</v>
      </c>
      <c r="D170" s="169" t="s">
        <v>1208</v>
      </c>
      <c r="E170" s="263" t="s">
        <v>1556</v>
      </c>
      <c r="F170" s="169" t="s">
        <v>549</v>
      </c>
      <c r="G170" s="170"/>
      <c r="H170" s="170" t="s">
        <v>283</v>
      </c>
      <c r="I170" s="200" t="s">
        <v>283</v>
      </c>
      <c r="J170" s="220" t="s">
        <v>257</v>
      </c>
      <c r="K170" s="168" t="s">
        <v>1366</v>
      </c>
      <c r="L170" s="171" t="s">
        <v>121</v>
      </c>
      <c r="M170" s="171" t="s">
        <v>959</v>
      </c>
      <c r="N170" s="263" t="str">
        <f>VLOOKUP(D170,'[6]Bao cao So GDDT'!$D$14:$S$282,11,FALSE)</f>
        <v>Giảng viên
(hạng III)</v>
      </c>
      <c r="O170" s="390" t="s">
        <v>807</v>
      </c>
      <c r="P170" s="172" t="s">
        <v>692</v>
      </c>
      <c r="Q170" s="173">
        <v>4</v>
      </c>
      <c r="R170" s="174">
        <v>3.99</v>
      </c>
      <c r="S170" s="176">
        <f t="shared" si="154"/>
        <v>1.3524</v>
      </c>
      <c r="T170" s="370"/>
      <c r="U170" s="176">
        <f t="shared" si="125"/>
        <v>0</v>
      </c>
      <c r="V170" s="175">
        <f t="shared" si="155"/>
        <v>0</v>
      </c>
      <c r="W170" s="170">
        <f>0.25</f>
        <v>0.25</v>
      </c>
      <c r="X170" s="179">
        <v>0.26</v>
      </c>
      <c r="Y170" s="216">
        <f t="shared" si="126"/>
        <v>1.1024</v>
      </c>
      <c r="Z170" s="216">
        <f t="shared" si="127"/>
        <v>5.3424000000000005</v>
      </c>
      <c r="AA170" s="180">
        <f t="shared" si="128"/>
        <v>9616320</v>
      </c>
      <c r="AB170" s="180"/>
      <c r="AC170" s="180">
        <f t="shared" si="129"/>
        <v>0</v>
      </c>
      <c r="AD170" s="180">
        <f>AA170/24*AB170*75%</f>
        <v>0</v>
      </c>
      <c r="AE170" s="180">
        <f t="shared" si="130"/>
        <v>9616320</v>
      </c>
      <c r="AF170" s="178">
        <f t="shared" si="131"/>
        <v>769305.59999999998</v>
      </c>
      <c r="AG170" s="178">
        <f t="shared" si="132"/>
        <v>144244.79999999999</v>
      </c>
      <c r="AH170" s="178">
        <f t="shared" si="133"/>
        <v>96163.199999999997</v>
      </c>
      <c r="AI170" s="178"/>
      <c r="AJ170" s="178">
        <f t="shared" si="134"/>
        <v>1009713.5999999999</v>
      </c>
      <c r="AK170" s="192"/>
      <c r="AL170" s="182">
        <f t="shared" si="156"/>
        <v>0</v>
      </c>
      <c r="AM170" s="182"/>
      <c r="AN170" s="182"/>
      <c r="AO170" s="193">
        <f t="shared" si="118"/>
        <v>4.24</v>
      </c>
      <c r="AP170" s="246">
        <v>0.25</v>
      </c>
      <c r="AQ170" s="194">
        <f t="shared" si="135"/>
        <v>1.06</v>
      </c>
      <c r="AR170" s="178">
        <f t="shared" si="136"/>
        <v>1908000</v>
      </c>
      <c r="AS170" s="178"/>
      <c r="AT170" s="178">
        <f t="shared" si="137"/>
        <v>10514606</v>
      </c>
      <c r="AU170" s="469">
        <f t="shared" si="138"/>
        <v>152</v>
      </c>
      <c r="AV170" s="195"/>
      <c r="AW170" s="198" t="s">
        <v>710</v>
      </c>
    </row>
    <row r="171" spans="1:59" s="189" customFormat="1" ht="30.75" customHeight="1" x14ac:dyDescent="0.25">
      <c r="A171" s="168">
        <f>_xlfn.AGGREGATE(4,7,A$13:A170)+1</f>
        <v>153</v>
      </c>
      <c r="B171" s="168" t="str">
        <f>VLOOKUP(D171,[1]LuongBC_T01!$B$9:$C$292,2,FALSE)</f>
        <v>0016100006684003</v>
      </c>
      <c r="C171" s="199" t="s">
        <v>1080</v>
      </c>
      <c r="D171" s="169" t="s">
        <v>1235</v>
      </c>
      <c r="E171" s="263" t="s">
        <v>1094</v>
      </c>
      <c r="F171" s="169" t="s">
        <v>549</v>
      </c>
      <c r="G171" s="170"/>
      <c r="H171" s="170"/>
      <c r="I171" s="200" t="s">
        <v>283</v>
      </c>
      <c r="J171" s="220" t="s">
        <v>264</v>
      </c>
      <c r="K171" s="170" t="str">
        <f>VLOOKUP(D171,[2]T3!$B$2:$D$328,3,FALSE)</f>
        <v>024345241</v>
      </c>
      <c r="L171" s="171" t="s">
        <v>132</v>
      </c>
      <c r="M171" s="171" t="s">
        <v>1080</v>
      </c>
      <c r="N171" s="263" t="str">
        <f>VLOOKUP(D171,'[6]Bao cao So GDDT'!$D$14:$S$282,11,FALSE)</f>
        <v>Giảng viên
(hạng III)</v>
      </c>
      <c r="O171" s="263" t="s">
        <v>807</v>
      </c>
      <c r="P171" s="172" t="s">
        <v>692</v>
      </c>
      <c r="Q171" s="173">
        <v>5</v>
      </c>
      <c r="R171" s="174">
        <v>4.32</v>
      </c>
      <c r="S171" s="176">
        <f t="shared" si="154"/>
        <v>0.86399999999999999</v>
      </c>
      <c r="T171" s="370"/>
      <c r="U171" s="176">
        <f t="shared" si="125"/>
        <v>0</v>
      </c>
      <c r="V171" s="175">
        <f t="shared" si="155"/>
        <v>0</v>
      </c>
      <c r="W171" s="170"/>
      <c r="X171" s="179">
        <v>0.2</v>
      </c>
      <c r="Y171" s="216">
        <f t="shared" si="126"/>
        <v>0.86399999999999999</v>
      </c>
      <c r="Z171" s="216">
        <f t="shared" si="127"/>
        <v>5.1840000000000002</v>
      </c>
      <c r="AA171" s="180">
        <f t="shared" si="128"/>
        <v>9331200</v>
      </c>
      <c r="AB171" s="180"/>
      <c r="AC171" s="180">
        <f t="shared" si="129"/>
        <v>0</v>
      </c>
      <c r="AD171" s="180">
        <v>0</v>
      </c>
      <c r="AE171" s="180">
        <f t="shared" si="130"/>
        <v>9331200</v>
      </c>
      <c r="AF171" s="178">
        <f t="shared" si="131"/>
        <v>746496</v>
      </c>
      <c r="AG171" s="178">
        <f t="shared" si="132"/>
        <v>139968</v>
      </c>
      <c r="AH171" s="178">
        <f t="shared" si="133"/>
        <v>93312</v>
      </c>
      <c r="AI171" s="178"/>
      <c r="AJ171" s="178">
        <f t="shared" si="134"/>
        <v>979776</v>
      </c>
      <c r="AK171" s="192"/>
      <c r="AL171" s="182">
        <f t="shared" si="156"/>
        <v>0</v>
      </c>
      <c r="AM171" s="182"/>
      <c r="AN171" s="182"/>
      <c r="AO171" s="193">
        <f t="shared" si="118"/>
        <v>4.32</v>
      </c>
      <c r="AP171" s="246">
        <v>0.25</v>
      </c>
      <c r="AQ171" s="194">
        <f t="shared" si="135"/>
        <v>1.08</v>
      </c>
      <c r="AR171" s="178">
        <f t="shared" si="136"/>
        <v>1944000</v>
      </c>
      <c r="AS171" s="178"/>
      <c r="AT171" s="178">
        <f t="shared" si="137"/>
        <v>10295424</v>
      </c>
      <c r="AU171" s="469">
        <f t="shared" si="138"/>
        <v>153</v>
      </c>
      <c r="AV171" s="195"/>
      <c r="AW171" s="198"/>
    </row>
    <row r="172" spans="1:59" s="189" customFormat="1" ht="30.75" customHeight="1" x14ac:dyDescent="0.25">
      <c r="A172" s="726">
        <f>_xlfn.AGGREGATE(4,7,A$13:A171)+1</f>
        <v>154</v>
      </c>
      <c r="B172" s="726" t="str">
        <f>VLOOKUP(D172,[1]LuongBC_T01!$B$9:$C$292,2,FALSE)</f>
        <v>0016100006701005</v>
      </c>
      <c r="C172" s="750" t="s">
        <v>955</v>
      </c>
      <c r="D172" s="728" t="s">
        <v>313</v>
      </c>
      <c r="E172" s="729" t="s">
        <v>1094</v>
      </c>
      <c r="F172" s="728" t="s">
        <v>549</v>
      </c>
      <c r="G172" s="751"/>
      <c r="H172" s="730" t="s">
        <v>283</v>
      </c>
      <c r="I172" s="751" t="s">
        <v>283</v>
      </c>
      <c r="J172" s="728" t="s">
        <v>541</v>
      </c>
      <c r="K172" s="730" t="str">
        <f>VLOOKUP(D172,[2]T3!$B$2:$D$328,3,FALSE)</f>
        <v>024960154</v>
      </c>
      <c r="L172" s="731" t="s">
        <v>326</v>
      </c>
      <c r="M172" s="731" t="s">
        <v>955</v>
      </c>
      <c r="N172" s="729" t="str">
        <f>VLOOKUP(D172,'[6]Bao cao So GDDT'!$D$14:$S$282,11,FALSE)</f>
        <v>Giảng viên
(hạng III)</v>
      </c>
      <c r="O172" s="732" t="s">
        <v>807</v>
      </c>
      <c r="P172" s="733" t="s">
        <v>692</v>
      </c>
      <c r="Q172" s="734">
        <v>5</v>
      </c>
      <c r="R172" s="735">
        <v>4.32</v>
      </c>
      <c r="S172" s="736">
        <f t="shared" si="154"/>
        <v>0.90720000000000001</v>
      </c>
      <c r="T172" s="737"/>
      <c r="U172" s="736">
        <f t="shared" si="125"/>
        <v>0</v>
      </c>
      <c r="V172" s="738">
        <f t="shared" si="155"/>
        <v>0</v>
      </c>
      <c r="W172" s="730"/>
      <c r="X172" s="739">
        <v>0.21</v>
      </c>
      <c r="Y172" s="740">
        <f t="shared" si="126"/>
        <v>0.90720000000000001</v>
      </c>
      <c r="Z172" s="740">
        <f t="shared" si="127"/>
        <v>5.2271999999999998</v>
      </c>
      <c r="AA172" s="741">
        <f t="shared" si="128"/>
        <v>9408960</v>
      </c>
      <c r="AB172" s="741"/>
      <c r="AC172" s="741">
        <f t="shared" si="129"/>
        <v>0</v>
      </c>
      <c r="AD172" s="741">
        <f t="shared" ref="AD172:AD180" si="157">AA172/24*AB172*75%</f>
        <v>0</v>
      </c>
      <c r="AE172" s="741">
        <f t="shared" si="130"/>
        <v>9408960</v>
      </c>
      <c r="AF172" s="742">
        <f t="shared" si="131"/>
        <v>752716.80000000005</v>
      </c>
      <c r="AG172" s="742">
        <f t="shared" si="132"/>
        <v>141134.39999999999</v>
      </c>
      <c r="AH172" s="742">
        <f t="shared" si="133"/>
        <v>94089.600000000006</v>
      </c>
      <c r="AI172" s="742"/>
      <c r="AJ172" s="742">
        <f t="shared" si="134"/>
        <v>987940.8</v>
      </c>
      <c r="AK172" s="743"/>
      <c r="AL172" s="744">
        <f t="shared" si="156"/>
        <v>0</v>
      </c>
      <c r="AM172" s="744"/>
      <c r="AN172" s="744"/>
      <c r="AO172" s="756">
        <f t="shared" si="118"/>
        <v>4.32</v>
      </c>
      <c r="AP172" s="757">
        <v>0.25</v>
      </c>
      <c r="AQ172" s="758">
        <f t="shared" si="135"/>
        <v>1.08</v>
      </c>
      <c r="AR172" s="742">
        <f t="shared" si="136"/>
        <v>1944000</v>
      </c>
      <c r="AS172" s="742"/>
      <c r="AT172" s="742">
        <f t="shared" si="137"/>
        <v>10365019</v>
      </c>
      <c r="AU172" s="748">
        <f t="shared" si="138"/>
        <v>154</v>
      </c>
      <c r="AV172" s="749"/>
      <c r="AW172" s="187" t="s">
        <v>710</v>
      </c>
    </row>
    <row r="173" spans="1:59" s="191" customFormat="1" ht="30.75" customHeight="1" x14ac:dyDescent="0.25">
      <c r="A173" s="168">
        <f>_xlfn.AGGREGATE(4,7,A$13:A172)+1</f>
        <v>155</v>
      </c>
      <c r="B173" s="168" t="str">
        <f>VLOOKUP(D173,[1]LuongBC_T01!$B$9:$C$292,2,FALSE)</f>
        <v>0016100006775009</v>
      </c>
      <c r="C173" s="199" t="s">
        <v>958</v>
      </c>
      <c r="D173" s="169" t="s">
        <v>1220</v>
      </c>
      <c r="E173" s="263" t="s">
        <v>1094</v>
      </c>
      <c r="F173" s="169" t="s">
        <v>550</v>
      </c>
      <c r="G173" s="170" t="s">
        <v>25</v>
      </c>
      <c r="H173" s="170" t="s">
        <v>283</v>
      </c>
      <c r="I173" s="170" t="s">
        <v>283</v>
      </c>
      <c r="J173" s="169" t="s">
        <v>256</v>
      </c>
      <c r="K173" s="170" t="str">
        <f>VLOOKUP(D173,[2]T3!$B$2:$D$328,3,FALSE)</f>
        <v>023621571</v>
      </c>
      <c r="L173" s="171" t="s">
        <v>165</v>
      </c>
      <c r="M173" s="171" t="s">
        <v>958</v>
      </c>
      <c r="N173" s="263" t="str">
        <f>VLOOKUP(D173,'[6]Bao cao So GDDT'!$D$14:$S$282,11,FALSE)</f>
        <v>Giảng viên
(hạng III)</v>
      </c>
      <c r="O173" s="390" t="s">
        <v>807</v>
      </c>
      <c r="P173" s="172" t="s">
        <v>692</v>
      </c>
      <c r="Q173" s="173">
        <v>5</v>
      </c>
      <c r="R173" s="174">
        <v>4.32</v>
      </c>
      <c r="S173" s="176">
        <f t="shared" si="154"/>
        <v>0.73440000000000005</v>
      </c>
      <c r="T173" s="370"/>
      <c r="U173" s="176">
        <f t="shared" si="125"/>
        <v>0</v>
      </c>
      <c r="V173" s="175">
        <f t="shared" si="155"/>
        <v>0</v>
      </c>
      <c r="W173" s="200"/>
      <c r="X173" s="179">
        <v>0.17</v>
      </c>
      <c r="Y173" s="216">
        <f t="shared" si="126"/>
        <v>0.73440000000000005</v>
      </c>
      <c r="Z173" s="216">
        <f t="shared" si="127"/>
        <v>5.0544000000000002</v>
      </c>
      <c r="AA173" s="180">
        <f t="shared" si="128"/>
        <v>9097920</v>
      </c>
      <c r="AB173" s="180"/>
      <c r="AC173" s="180">
        <f t="shared" si="129"/>
        <v>0</v>
      </c>
      <c r="AD173" s="180">
        <f t="shared" si="157"/>
        <v>0</v>
      </c>
      <c r="AE173" s="180">
        <f t="shared" si="130"/>
        <v>9097920</v>
      </c>
      <c r="AF173" s="178">
        <f t="shared" si="131"/>
        <v>727833.59999999998</v>
      </c>
      <c r="AG173" s="178">
        <f t="shared" si="132"/>
        <v>136468.79999999999</v>
      </c>
      <c r="AH173" s="178">
        <f t="shared" si="133"/>
        <v>90979.199999999997</v>
      </c>
      <c r="AI173" s="178"/>
      <c r="AJ173" s="178">
        <f t="shared" si="134"/>
        <v>955281.59999999986</v>
      </c>
      <c r="AK173" s="181"/>
      <c r="AL173" s="182">
        <f t="shared" si="156"/>
        <v>0</v>
      </c>
      <c r="AM173" s="182"/>
      <c r="AN173" s="182"/>
      <c r="AO173" s="193">
        <f t="shared" si="118"/>
        <v>4.32</v>
      </c>
      <c r="AP173" s="246">
        <v>0.25</v>
      </c>
      <c r="AQ173" s="194">
        <f t="shared" si="135"/>
        <v>1.08</v>
      </c>
      <c r="AR173" s="178">
        <f t="shared" si="136"/>
        <v>1944000</v>
      </c>
      <c r="AS173" s="178"/>
      <c r="AT173" s="178">
        <f t="shared" si="137"/>
        <v>10086638</v>
      </c>
      <c r="AU173" s="469">
        <f t="shared" si="138"/>
        <v>155</v>
      </c>
      <c r="AV173" s="186"/>
      <c r="AW173" s="198" t="s">
        <v>710</v>
      </c>
    </row>
    <row r="174" spans="1:59" s="189" customFormat="1" ht="30.75" customHeight="1" x14ac:dyDescent="0.25">
      <c r="A174" s="168">
        <f>_xlfn.AGGREGATE(4,7,A$13:A173)+1</f>
        <v>156</v>
      </c>
      <c r="B174" s="168" t="str">
        <f>VLOOKUP(D174,[1]LuongBC_T01!$B$9:$C$292,2,FALSE)</f>
        <v>0016100006625007</v>
      </c>
      <c r="C174" s="199" t="s">
        <v>963</v>
      </c>
      <c r="D174" s="169" t="s">
        <v>566</v>
      </c>
      <c r="E174" s="263" t="s">
        <v>1094</v>
      </c>
      <c r="F174" s="169" t="s">
        <v>550</v>
      </c>
      <c r="G174" s="200"/>
      <c r="H174" s="200" t="s">
        <v>283</v>
      </c>
      <c r="I174" s="200" t="s">
        <v>283</v>
      </c>
      <c r="J174" s="200" t="s">
        <v>575</v>
      </c>
      <c r="K174" s="170" t="str">
        <f>VLOOKUP(D174,[2]T3!$B$2:$D$328,3,FALSE)</f>
        <v>025244382</v>
      </c>
      <c r="L174" s="201" t="s">
        <v>597</v>
      </c>
      <c r="M174" s="201" t="s">
        <v>963</v>
      </c>
      <c r="N174" s="263" t="str">
        <f>VLOOKUP(D174,'[6]Bao cao So GDDT'!$D$14:$S$282,11,FALSE)</f>
        <v>Giảng viên
(hạng III)</v>
      </c>
      <c r="O174" s="392" t="s">
        <v>807</v>
      </c>
      <c r="P174" s="170" t="s">
        <v>692</v>
      </c>
      <c r="Q174" s="170">
        <v>4</v>
      </c>
      <c r="R174" s="177">
        <v>3.99</v>
      </c>
      <c r="S174" s="176">
        <f t="shared" si="154"/>
        <v>0.51870000000000005</v>
      </c>
      <c r="T174" s="220"/>
      <c r="U174" s="176">
        <f t="shared" si="125"/>
        <v>0</v>
      </c>
      <c r="V174" s="175">
        <f t="shared" si="155"/>
        <v>0</v>
      </c>
      <c r="W174" s="170"/>
      <c r="X174" s="179">
        <v>0.13</v>
      </c>
      <c r="Y174" s="216">
        <f t="shared" si="126"/>
        <v>0.51870000000000005</v>
      </c>
      <c r="Z174" s="216">
        <f t="shared" si="127"/>
        <v>4.5087000000000002</v>
      </c>
      <c r="AA174" s="180">
        <f t="shared" si="128"/>
        <v>8115660</v>
      </c>
      <c r="AB174" s="180"/>
      <c r="AC174" s="180">
        <f t="shared" si="129"/>
        <v>0</v>
      </c>
      <c r="AD174" s="180">
        <f t="shared" si="157"/>
        <v>0</v>
      </c>
      <c r="AE174" s="180">
        <f t="shared" si="130"/>
        <v>8115660</v>
      </c>
      <c r="AF174" s="178">
        <f t="shared" si="131"/>
        <v>649252.80000000005</v>
      </c>
      <c r="AG174" s="178">
        <f t="shared" si="132"/>
        <v>121734.9</v>
      </c>
      <c r="AH174" s="178">
        <f t="shared" si="133"/>
        <v>81156.600000000006</v>
      </c>
      <c r="AI174" s="178"/>
      <c r="AJ174" s="178">
        <f t="shared" si="134"/>
        <v>852144.3</v>
      </c>
      <c r="AK174" s="192"/>
      <c r="AL174" s="182">
        <f t="shared" si="156"/>
        <v>0</v>
      </c>
      <c r="AM174" s="182"/>
      <c r="AN174" s="182"/>
      <c r="AO174" s="193">
        <f t="shared" si="118"/>
        <v>3.99</v>
      </c>
      <c r="AP174" s="246">
        <v>0.25</v>
      </c>
      <c r="AQ174" s="194">
        <f t="shared" si="135"/>
        <v>0.99750000000000005</v>
      </c>
      <c r="AR174" s="178">
        <f t="shared" si="136"/>
        <v>1795500</v>
      </c>
      <c r="AS174" s="178"/>
      <c r="AT174" s="178">
        <f t="shared" si="137"/>
        <v>9059016</v>
      </c>
      <c r="AU174" s="469">
        <f t="shared" si="138"/>
        <v>156</v>
      </c>
      <c r="AV174" s="186"/>
      <c r="AW174" s="198" t="s">
        <v>710</v>
      </c>
    </row>
    <row r="175" spans="1:59" s="189" customFormat="1" ht="30.75" customHeight="1" x14ac:dyDescent="0.25">
      <c r="A175" s="168">
        <f>_xlfn.AGGREGATE(4,7,A$13:A174)+1</f>
        <v>157</v>
      </c>
      <c r="B175" s="168" t="s">
        <v>1264</v>
      </c>
      <c r="C175" s="199" t="s">
        <v>996</v>
      </c>
      <c r="D175" s="169" t="s">
        <v>48</v>
      </c>
      <c r="E175" s="263" t="s">
        <v>1094</v>
      </c>
      <c r="F175" s="169" t="s">
        <v>549</v>
      </c>
      <c r="G175" s="200" t="s">
        <v>25</v>
      </c>
      <c r="H175" s="200" t="s">
        <v>283</v>
      </c>
      <c r="I175" s="200" t="s">
        <v>283</v>
      </c>
      <c r="J175" s="200" t="s">
        <v>592</v>
      </c>
      <c r="K175" s="170" t="str">
        <f>VLOOKUP(D175,[2]T3!$B$2:$D$328,3,FALSE)</f>
        <v>024246529</v>
      </c>
      <c r="L175" s="201" t="s">
        <v>614</v>
      </c>
      <c r="M175" s="201" t="s">
        <v>996</v>
      </c>
      <c r="N175" s="263" t="str">
        <f>VLOOKUP(D175,'[6]Bao cao So GDDT'!$D$14:$S$282,11,FALSE)</f>
        <v>Giảng viên
(hạng III)</v>
      </c>
      <c r="O175" s="390" t="s">
        <v>807</v>
      </c>
      <c r="P175" s="170" t="s">
        <v>692</v>
      </c>
      <c r="Q175" s="170">
        <v>3</v>
      </c>
      <c r="R175" s="177">
        <v>3.66</v>
      </c>
      <c r="S175" s="176">
        <f t="shared" si="154"/>
        <v>0.4758</v>
      </c>
      <c r="T175" s="220"/>
      <c r="U175" s="176">
        <f t="shared" si="125"/>
        <v>0</v>
      </c>
      <c r="V175" s="175">
        <f t="shared" si="155"/>
        <v>0</v>
      </c>
      <c r="W175" s="170"/>
      <c r="X175" s="179">
        <v>0.13</v>
      </c>
      <c r="Y175" s="216">
        <f t="shared" si="126"/>
        <v>0.4758</v>
      </c>
      <c r="Z175" s="216">
        <f t="shared" si="127"/>
        <v>4.1357999999999997</v>
      </c>
      <c r="AA175" s="180">
        <f t="shared" si="128"/>
        <v>7444440</v>
      </c>
      <c r="AB175" s="180"/>
      <c r="AC175" s="180">
        <f t="shared" si="129"/>
        <v>0</v>
      </c>
      <c r="AD175" s="180">
        <f t="shared" si="157"/>
        <v>0</v>
      </c>
      <c r="AE175" s="180">
        <f t="shared" si="130"/>
        <v>7444440</v>
      </c>
      <c r="AF175" s="178">
        <f t="shared" si="131"/>
        <v>595555.20000000007</v>
      </c>
      <c r="AG175" s="178">
        <f t="shared" si="132"/>
        <v>111666.59999999999</v>
      </c>
      <c r="AH175" s="178">
        <f t="shared" si="133"/>
        <v>74444.400000000009</v>
      </c>
      <c r="AI175" s="178"/>
      <c r="AJ175" s="178">
        <f t="shared" si="134"/>
        <v>781666.20000000007</v>
      </c>
      <c r="AK175" s="192"/>
      <c r="AL175" s="182">
        <f t="shared" si="156"/>
        <v>0</v>
      </c>
      <c r="AM175" s="182"/>
      <c r="AN175" s="182"/>
      <c r="AO175" s="193">
        <f t="shared" si="118"/>
        <v>3.66</v>
      </c>
      <c r="AP175" s="246">
        <v>0.25</v>
      </c>
      <c r="AQ175" s="194">
        <f t="shared" si="135"/>
        <v>0.91500000000000004</v>
      </c>
      <c r="AR175" s="178">
        <f t="shared" si="136"/>
        <v>1647000</v>
      </c>
      <c r="AS175" s="178"/>
      <c r="AT175" s="178">
        <f t="shared" si="137"/>
        <v>8309774</v>
      </c>
      <c r="AU175" s="469">
        <f t="shared" si="138"/>
        <v>157</v>
      </c>
      <c r="AV175" s="195"/>
      <c r="AW175" s="198" t="s">
        <v>710</v>
      </c>
    </row>
    <row r="176" spans="1:59" s="189" customFormat="1" ht="30.75" customHeight="1" x14ac:dyDescent="0.25">
      <c r="A176" s="168">
        <f>_xlfn.AGGREGATE(4,7,A$13:A175)+1</f>
        <v>158</v>
      </c>
      <c r="B176" s="168" t="str">
        <f>VLOOKUP(D176,[1]LuongBC_T01!$B$9:$C$292,2,FALSE)</f>
        <v>0016100006683007</v>
      </c>
      <c r="C176" s="199" t="s">
        <v>949</v>
      </c>
      <c r="D176" s="169" t="s">
        <v>821</v>
      </c>
      <c r="E176" s="263" t="s">
        <v>1637</v>
      </c>
      <c r="F176" s="169"/>
      <c r="G176" s="170" t="s">
        <v>25</v>
      </c>
      <c r="H176" s="170"/>
      <c r="I176" s="170"/>
      <c r="J176" s="169"/>
      <c r="K176" s="168" t="s">
        <v>1341</v>
      </c>
      <c r="L176" s="249"/>
      <c r="M176" s="249" t="s">
        <v>949</v>
      </c>
      <c r="N176" s="263" t="str">
        <f>VLOOKUP(D176,'[6]Bao cao So GDDT'!$D$14:$S$282,11,FALSE)</f>
        <v>Giảng viên
(hạng III)</v>
      </c>
      <c r="O176" s="390" t="s">
        <v>1438</v>
      </c>
      <c r="P176" s="222" t="s">
        <v>692</v>
      </c>
      <c r="Q176" s="172">
        <v>3</v>
      </c>
      <c r="R176" s="174">
        <v>3.33</v>
      </c>
      <c r="S176" s="176">
        <f t="shared" si="154"/>
        <v>0.75239999999999996</v>
      </c>
      <c r="T176" s="370"/>
      <c r="U176" s="176">
        <f t="shared" si="125"/>
        <v>0</v>
      </c>
      <c r="V176" s="175">
        <f t="shared" si="155"/>
        <v>0</v>
      </c>
      <c r="W176" s="170">
        <v>0.45</v>
      </c>
      <c r="X176" s="179">
        <v>0.08</v>
      </c>
      <c r="Y176" s="216">
        <f t="shared" si="126"/>
        <v>0.3024</v>
      </c>
      <c r="Z176" s="216">
        <f t="shared" si="127"/>
        <v>4.0823999999999998</v>
      </c>
      <c r="AA176" s="180">
        <f t="shared" si="128"/>
        <v>7348320</v>
      </c>
      <c r="AB176" s="180"/>
      <c r="AC176" s="180">
        <f t="shared" si="129"/>
        <v>0</v>
      </c>
      <c r="AD176" s="180">
        <f t="shared" si="157"/>
        <v>0</v>
      </c>
      <c r="AE176" s="180">
        <f t="shared" si="130"/>
        <v>7348320</v>
      </c>
      <c r="AF176" s="178">
        <f t="shared" si="131"/>
        <v>587865.59999999998</v>
      </c>
      <c r="AG176" s="178">
        <f t="shared" si="132"/>
        <v>110224.8</v>
      </c>
      <c r="AH176" s="178">
        <f t="shared" si="133"/>
        <v>73483.199999999997</v>
      </c>
      <c r="AI176" s="178"/>
      <c r="AJ176" s="178">
        <f t="shared" si="134"/>
        <v>771573.6</v>
      </c>
      <c r="AK176" s="192"/>
      <c r="AL176" s="182">
        <f t="shared" si="156"/>
        <v>0</v>
      </c>
      <c r="AM176" s="182"/>
      <c r="AN176" s="182"/>
      <c r="AO176" s="193">
        <f t="shared" si="118"/>
        <v>3.7800000000000002</v>
      </c>
      <c r="AP176" s="246">
        <v>0.25</v>
      </c>
      <c r="AQ176" s="194">
        <f t="shared" si="135"/>
        <v>0.94499999999999995</v>
      </c>
      <c r="AR176" s="178">
        <f t="shared" si="136"/>
        <v>1701000</v>
      </c>
      <c r="AS176" s="178"/>
      <c r="AT176" s="178">
        <f t="shared" si="137"/>
        <v>8277746</v>
      </c>
      <c r="AU176" s="469">
        <f t="shared" si="138"/>
        <v>158</v>
      </c>
      <c r="AV176" s="244"/>
      <c r="AW176" s="242"/>
    </row>
    <row r="177" spans="1:59" s="189" customFormat="1" ht="30.75" customHeight="1" x14ac:dyDescent="0.25">
      <c r="A177" s="168">
        <f>_xlfn.AGGREGATE(4,7,A$13:A176)+1</f>
        <v>159</v>
      </c>
      <c r="B177" s="168" t="str">
        <f>VLOOKUP(D177,[1]LuongBC_T01!$B$9:$C$292,2,FALSE)</f>
        <v>0016100006772007</v>
      </c>
      <c r="C177" s="199" t="s">
        <v>943</v>
      </c>
      <c r="D177" s="169" t="s">
        <v>815</v>
      </c>
      <c r="E177" s="263" t="s">
        <v>1094</v>
      </c>
      <c r="F177" s="169"/>
      <c r="G177" s="170"/>
      <c r="H177" s="170"/>
      <c r="I177" s="170"/>
      <c r="J177" s="169"/>
      <c r="K177" s="170" t="str">
        <f>VLOOKUP(D177,[2]T3!$B$2:$D$328,3,FALSE)</f>
        <v>025013400</v>
      </c>
      <c r="L177" s="249"/>
      <c r="M177" s="249" t="s">
        <v>943</v>
      </c>
      <c r="N177" s="263" t="str">
        <f>VLOOKUP(D177,'[6]Bao cao So GDDT'!$D$14:$S$282,11,FALSE)</f>
        <v>Giảng viên
(hạng III)</v>
      </c>
      <c r="O177" s="390" t="s">
        <v>807</v>
      </c>
      <c r="P177" s="222" t="s">
        <v>692</v>
      </c>
      <c r="Q177" s="172">
        <v>3</v>
      </c>
      <c r="R177" s="174">
        <v>3.66</v>
      </c>
      <c r="S177" s="176">
        <f t="shared" si="154"/>
        <v>0.36599999999999999</v>
      </c>
      <c r="T177" s="370"/>
      <c r="U177" s="176">
        <f t="shared" si="125"/>
        <v>0</v>
      </c>
      <c r="V177" s="175">
        <f t="shared" si="155"/>
        <v>0</v>
      </c>
      <c r="W177" s="170"/>
      <c r="X177" s="179">
        <v>0.1</v>
      </c>
      <c r="Y177" s="216">
        <f t="shared" si="126"/>
        <v>0.36599999999999999</v>
      </c>
      <c r="Z177" s="216">
        <f t="shared" si="127"/>
        <v>4.0259999999999998</v>
      </c>
      <c r="AA177" s="180">
        <f t="shared" si="128"/>
        <v>7246800</v>
      </c>
      <c r="AB177" s="180"/>
      <c r="AC177" s="180">
        <f t="shared" si="129"/>
        <v>0</v>
      </c>
      <c r="AD177" s="180">
        <f t="shared" si="157"/>
        <v>0</v>
      </c>
      <c r="AE177" s="180">
        <f t="shared" si="130"/>
        <v>7246800</v>
      </c>
      <c r="AF177" s="178">
        <f t="shared" si="131"/>
        <v>579744</v>
      </c>
      <c r="AG177" s="178">
        <f t="shared" si="132"/>
        <v>108702</v>
      </c>
      <c r="AH177" s="178">
        <f t="shared" si="133"/>
        <v>72468</v>
      </c>
      <c r="AI177" s="178"/>
      <c r="AJ177" s="178">
        <f t="shared" si="134"/>
        <v>760914</v>
      </c>
      <c r="AK177" s="192"/>
      <c r="AL177" s="182">
        <f t="shared" si="156"/>
        <v>0</v>
      </c>
      <c r="AM177" s="182"/>
      <c r="AN177" s="182"/>
      <c r="AO177" s="193">
        <f t="shared" si="118"/>
        <v>3.66</v>
      </c>
      <c r="AP177" s="246">
        <v>0.25</v>
      </c>
      <c r="AQ177" s="194">
        <f t="shared" si="135"/>
        <v>0.91500000000000004</v>
      </c>
      <c r="AR177" s="178">
        <f t="shared" si="136"/>
        <v>1647000</v>
      </c>
      <c r="AS177" s="178"/>
      <c r="AT177" s="178">
        <f t="shared" si="137"/>
        <v>8132886</v>
      </c>
      <c r="AU177" s="469">
        <f t="shared" si="138"/>
        <v>159</v>
      </c>
      <c r="AV177" s="244"/>
      <c r="AW177" s="242"/>
    </row>
    <row r="178" spans="1:59" s="189" customFormat="1" ht="30.75" customHeight="1" x14ac:dyDescent="0.25">
      <c r="A178" s="168">
        <f>_xlfn.AGGREGATE(4,7,A$13:A177)+1</f>
        <v>160</v>
      </c>
      <c r="B178" s="168" t="str">
        <f>VLOOKUP(D178,[1]LuongBC_T01!$B$9:$C$292,2,FALSE)</f>
        <v>0016100006789007</v>
      </c>
      <c r="C178" s="199" t="s">
        <v>965</v>
      </c>
      <c r="D178" s="169" t="s">
        <v>1222</v>
      </c>
      <c r="E178" s="263" t="s">
        <v>1625</v>
      </c>
      <c r="F178" s="169" t="s">
        <v>550</v>
      </c>
      <c r="G178" s="200" t="s">
        <v>25</v>
      </c>
      <c r="H178" s="200" t="s">
        <v>283</v>
      </c>
      <c r="I178" s="200" t="s">
        <v>283</v>
      </c>
      <c r="J178" s="200"/>
      <c r="K178" s="168" t="s">
        <v>1339</v>
      </c>
      <c r="L178" s="201" t="s">
        <v>672</v>
      </c>
      <c r="M178" s="201" t="s">
        <v>965</v>
      </c>
      <c r="N178" s="263" t="str">
        <f>VLOOKUP(D178,'[6]Bao cao So GDDT'!$D$14:$S$282,11,FALSE)</f>
        <v>Giảng viên GDNN LT (hạng III)</v>
      </c>
      <c r="O178" s="390" t="s">
        <v>1438</v>
      </c>
      <c r="P178" s="222" t="s">
        <v>692</v>
      </c>
      <c r="Q178" s="172">
        <v>4</v>
      </c>
      <c r="R178" s="430">
        <v>3.99</v>
      </c>
      <c r="S178" s="176">
        <f t="shared" si="154"/>
        <v>0.55859999999999999</v>
      </c>
      <c r="T178" s="220"/>
      <c r="U178" s="176">
        <f t="shared" si="125"/>
        <v>0</v>
      </c>
      <c r="V178" s="175">
        <f t="shared" si="155"/>
        <v>0</v>
      </c>
      <c r="W178" s="170"/>
      <c r="X178" s="179">
        <v>0.14000000000000001</v>
      </c>
      <c r="Y178" s="216">
        <f t="shared" si="126"/>
        <v>0.55859999999999999</v>
      </c>
      <c r="Z178" s="216">
        <f t="shared" si="127"/>
        <v>4.5486000000000004</v>
      </c>
      <c r="AA178" s="180">
        <f t="shared" si="128"/>
        <v>8187480</v>
      </c>
      <c r="AB178" s="180"/>
      <c r="AC178" s="180">
        <f t="shared" si="129"/>
        <v>0</v>
      </c>
      <c r="AD178" s="180">
        <f t="shared" si="157"/>
        <v>0</v>
      </c>
      <c r="AE178" s="180">
        <f t="shared" si="130"/>
        <v>8187480</v>
      </c>
      <c r="AF178" s="178">
        <f t="shared" si="131"/>
        <v>654998.4</v>
      </c>
      <c r="AG178" s="178">
        <f t="shared" si="132"/>
        <v>122812.2</v>
      </c>
      <c r="AH178" s="178">
        <f t="shared" si="133"/>
        <v>81874.8</v>
      </c>
      <c r="AI178" s="178"/>
      <c r="AJ178" s="178">
        <f t="shared" si="134"/>
        <v>859685.4</v>
      </c>
      <c r="AK178" s="192"/>
      <c r="AL178" s="182">
        <f t="shared" si="156"/>
        <v>0</v>
      </c>
      <c r="AM178" s="182"/>
      <c r="AN178" s="182"/>
      <c r="AO178" s="193">
        <f t="shared" ref="AO178:AO210" si="158">R178+U178+W178</f>
        <v>3.99</v>
      </c>
      <c r="AP178" s="246">
        <v>0.25</v>
      </c>
      <c r="AQ178" s="194">
        <f t="shared" si="135"/>
        <v>0.99750000000000005</v>
      </c>
      <c r="AR178" s="178">
        <f t="shared" si="136"/>
        <v>1795500</v>
      </c>
      <c r="AS178" s="178"/>
      <c r="AT178" s="178">
        <f t="shared" si="137"/>
        <v>9123295</v>
      </c>
      <c r="AU178" s="469">
        <f t="shared" si="138"/>
        <v>160</v>
      </c>
      <c r="AV178" s="195"/>
      <c r="AW178" s="187" t="s">
        <v>710</v>
      </c>
    </row>
    <row r="179" spans="1:59" s="189" customFormat="1" ht="30.75" customHeight="1" x14ac:dyDescent="0.25">
      <c r="A179" s="168">
        <f>_xlfn.AGGREGATE(4,7,A$13:A178)+1</f>
        <v>161</v>
      </c>
      <c r="B179" s="168" t="str">
        <f>VLOOKUP(D179,[1]LuongBC_T01!$B$9:$C$292,2,FALSE)</f>
        <v>0016100006621001</v>
      </c>
      <c r="C179" s="199" t="s">
        <v>973</v>
      </c>
      <c r="D179" s="169" t="s">
        <v>67</v>
      </c>
      <c r="E179" s="263" t="s">
        <v>1625</v>
      </c>
      <c r="F179" s="169" t="s">
        <v>549</v>
      </c>
      <c r="G179" s="200" t="s">
        <v>25</v>
      </c>
      <c r="H179" s="200" t="s">
        <v>283</v>
      </c>
      <c r="I179" s="170" t="s">
        <v>283</v>
      </c>
      <c r="J179" s="169" t="s">
        <v>249</v>
      </c>
      <c r="K179" s="170" t="str">
        <f>VLOOKUP(D179,[2]T3!$B$2:$D$328,3,FALSE)</f>
        <v>024906495</v>
      </c>
      <c r="L179" s="171" t="s">
        <v>116</v>
      </c>
      <c r="M179" s="171" t="s">
        <v>973</v>
      </c>
      <c r="N179" s="263" t="str">
        <f>VLOOKUP(D179,'[6]Bao cao So GDDT'!$D$14:$S$282,11,FALSE)</f>
        <v>Giảng viên GDNN LT (hạng III)</v>
      </c>
      <c r="O179" s="390" t="s">
        <v>1438</v>
      </c>
      <c r="P179" s="172" t="s">
        <v>692</v>
      </c>
      <c r="Q179" s="173">
        <v>4</v>
      </c>
      <c r="R179" s="174">
        <v>3.99</v>
      </c>
      <c r="S179" s="176">
        <f t="shared" si="154"/>
        <v>0.59850000000000003</v>
      </c>
      <c r="T179" s="370"/>
      <c r="U179" s="176">
        <f t="shared" si="125"/>
        <v>0</v>
      </c>
      <c r="V179" s="175">
        <f t="shared" si="155"/>
        <v>0</v>
      </c>
      <c r="W179" s="170"/>
      <c r="X179" s="179">
        <v>0.15</v>
      </c>
      <c r="Y179" s="216">
        <f t="shared" si="126"/>
        <v>0.59850000000000003</v>
      </c>
      <c r="Z179" s="216">
        <f t="shared" si="127"/>
        <v>4.5884999999999998</v>
      </c>
      <c r="AA179" s="180">
        <f t="shared" si="128"/>
        <v>8259300</v>
      </c>
      <c r="AB179" s="180"/>
      <c r="AC179" s="180">
        <f t="shared" si="129"/>
        <v>0</v>
      </c>
      <c r="AD179" s="180">
        <f t="shared" si="157"/>
        <v>0</v>
      </c>
      <c r="AE179" s="180">
        <f t="shared" si="130"/>
        <v>8259300</v>
      </c>
      <c r="AF179" s="178">
        <f t="shared" si="131"/>
        <v>660744</v>
      </c>
      <c r="AG179" s="178">
        <f t="shared" si="132"/>
        <v>123889.5</v>
      </c>
      <c r="AH179" s="178">
        <f t="shared" si="133"/>
        <v>82593</v>
      </c>
      <c r="AI179" s="178"/>
      <c r="AJ179" s="178">
        <f t="shared" si="134"/>
        <v>867226.5</v>
      </c>
      <c r="AK179" s="192"/>
      <c r="AL179" s="182">
        <f t="shared" si="156"/>
        <v>0</v>
      </c>
      <c r="AM179" s="182"/>
      <c r="AN179" s="182"/>
      <c r="AO179" s="193">
        <f t="shared" si="158"/>
        <v>3.99</v>
      </c>
      <c r="AP179" s="246">
        <v>0.25</v>
      </c>
      <c r="AQ179" s="194">
        <f t="shared" si="135"/>
        <v>0.99750000000000005</v>
      </c>
      <c r="AR179" s="178">
        <f t="shared" si="136"/>
        <v>1795500</v>
      </c>
      <c r="AS179" s="178"/>
      <c r="AT179" s="178">
        <f t="shared" si="137"/>
        <v>9187574</v>
      </c>
      <c r="AU179" s="469">
        <f t="shared" si="138"/>
        <v>161</v>
      </c>
      <c r="AV179" s="186"/>
      <c r="AW179" s="187" t="s">
        <v>710</v>
      </c>
    </row>
    <row r="180" spans="1:59" s="189" customFormat="1" ht="30.75" customHeight="1" x14ac:dyDescent="0.25">
      <c r="A180" s="168">
        <f>_xlfn.AGGREGATE(4,7,A$13:A179)+1</f>
        <v>162</v>
      </c>
      <c r="B180" s="168" t="str">
        <f>VLOOKUP(D180,[1]LuongBC_T01!$B$9:$C$292,2,FALSE)</f>
        <v>0016100006624008</v>
      </c>
      <c r="C180" s="199" t="s">
        <v>974</v>
      </c>
      <c r="D180" s="169" t="s">
        <v>312</v>
      </c>
      <c r="E180" s="263" t="s">
        <v>1094</v>
      </c>
      <c r="F180" s="169" t="s">
        <v>549</v>
      </c>
      <c r="G180" s="200"/>
      <c r="H180" s="200" t="s">
        <v>283</v>
      </c>
      <c r="I180" s="170" t="s">
        <v>283</v>
      </c>
      <c r="J180" s="169" t="s">
        <v>542</v>
      </c>
      <c r="K180" s="168" t="s">
        <v>1340</v>
      </c>
      <c r="L180" s="171" t="s">
        <v>325</v>
      </c>
      <c r="M180" s="171" t="s">
        <v>974</v>
      </c>
      <c r="N180" s="263" t="str">
        <f>VLOOKUP(D180,'[6]Bao cao So GDDT'!$D$14:$S$282,11,FALSE)</f>
        <v>Giảng viên
(hạng III)</v>
      </c>
      <c r="O180" s="390" t="s">
        <v>807</v>
      </c>
      <c r="P180" s="172" t="s">
        <v>692</v>
      </c>
      <c r="Q180" s="173">
        <v>3</v>
      </c>
      <c r="R180" s="174">
        <v>3.99</v>
      </c>
      <c r="S180" s="176">
        <f t="shared" si="154"/>
        <v>0.63839999999999997</v>
      </c>
      <c r="T180" s="370"/>
      <c r="U180" s="176">
        <f t="shared" si="125"/>
        <v>0</v>
      </c>
      <c r="V180" s="175">
        <f t="shared" si="155"/>
        <v>0</v>
      </c>
      <c r="W180" s="170"/>
      <c r="X180" s="179">
        <v>0.16</v>
      </c>
      <c r="Y180" s="216">
        <f t="shared" si="126"/>
        <v>0.63839999999999997</v>
      </c>
      <c r="Z180" s="216">
        <f t="shared" si="127"/>
        <v>4.6284000000000001</v>
      </c>
      <c r="AA180" s="180">
        <f t="shared" si="128"/>
        <v>8331120</v>
      </c>
      <c r="AB180" s="180"/>
      <c r="AC180" s="180">
        <f t="shared" si="129"/>
        <v>0</v>
      </c>
      <c r="AD180" s="180">
        <f t="shared" si="157"/>
        <v>0</v>
      </c>
      <c r="AE180" s="180">
        <f t="shared" si="130"/>
        <v>8331120</v>
      </c>
      <c r="AF180" s="178">
        <f t="shared" si="131"/>
        <v>666489.59999999998</v>
      </c>
      <c r="AG180" s="178">
        <f t="shared" si="132"/>
        <v>124966.79999999999</v>
      </c>
      <c r="AH180" s="178">
        <f t="shared" si="133"/>
        <v>83311.199999999997</v>
      </c>
      <c r="AI180" s="178"/>
      <c r="AJ180" s="178">
        <f t="shared" si="134"/>
        <v>874767.59999999986</v>
      </c>
      <c r="AK180" s="192"/>
      <c r="AL180" s="182">
        <f t="shared" si="156"/>
        <v>0</v>
      </c>
      <c r="AM180" s="182"/>
      <c r="AN180" s="182"/>
      <c r="AO180" s="193">
        <f t="shared" si="158"/>
        <v>3.99</v>
      </c>
      <c r="AP180" s="246">
        <v>0.25</v>
      </c>
      <c r="AQ180" s="194">
        <f t="shared" si="135"/>
        <v>0.99750000000000005</v>
      </c>
      <c r="AR180" s="178">
        <f t="shared" si="136"/>
        <v>1795500</v>
      </c>
      <c r="AS180" s="178"/>
      <c r="AT180" s="178">
        <f t="shared" si="137"/>
        <v>9251852</v>
      </c>
      <c r="AU180" s="469">
        <f t="shared" si="138"/>
        <v>162</v>
      </c>
      <c r="AV180" s="195"/>
      <c r="AW180" s="187" t="s">
        <v>710</v>
      </c>
    </row>
    <row r="181" spans="1:59" s="189" customFormat="1" ht="30.75" customHeight="1" x14ac:dyDescent="0.25">
      <c r="A181" s="168">
        <f>_xlfn.AGGREGATE(4,7,A$13:A180)+1</f>
        <v>163</v>
      </c>
      <c r="B181" s="168" t="str">
        <f>VLOOKUP(D181,[1]LuongBC_T01!$B$9:$C$292,2,FALSE)</f>
        <v>0016100006623004</v>
      </c>
      <c r="C181" s="199" t="s">
        <v>982</v>
      </c>
      <c r="D181" s="169" t="s">
        <v>308</v>
      </c>
      <c r="E181" s="263" t="s">
        <v>1094</v>
      </c>
      <c r="F181" s="169" t="s">
        <v>550</v>
      </c>
      <c r="G181" s="200" t="s">
        <v>25</v>
      </c>
      <c r="H181" s="200" t="s">
        <v>283</v>
      </c>
      <c r="I181" s="170" t="s">
        <v>283</v>
      </c>
      <c r="J181" s="169" t="s">
        <v>537</v>
      </c>
      <c r="K181" s="170" t="str">
        <f>VLOOKUP(D181,[2]T3!$B$2:$D$328,3,FALSE)</f>
        <v>024943379</v>
      </c>
      <c r="L181" s="171" t="s">
        <v>341</v>
      </c>
      <c r="M181" s="171" t="s">
        <v>982</v>
      </c>
      <c r="N181" s="263" t="str">
        <f>VLOOKUP(D181,'[6]Bao cao So GDDT'!$D$14:$S$282,11,FALSE)</f>
        <v>Giảng viên
(hạng III)</v>
      </c>
      <c r="O181" s="390" t="s">
        <v>1438</v>
      </c>
      <c r="P181" s="172" t="s">
        <v>692</v>
      </c>
      <c r="Q181" s="173">
        <v>4</v>
      </c>
      <c r="R181" s="174">
        <v>3.99</v>
      </c>
      <c r="S181" s="176">
        <f t="shared" si="154"/>
        <v>0.55859999999999999</v>
      </c>
      <c r="T181" s="370"/>
      <c r="U181" s="176">
        <f t="shared" si="125"/>
        <v>0</v>
      </c>
      <c r="V181" s="175">
        <f t="shared" si="155"/>
        <v>0</v>
      </c>
      <c r="W181" s="170"/>
      <c r="X181" s="179">
        <v>0.14000000000000001</v>
      </c>
      <c r="Y181" s="216">
        <f t="shared" si="126"/>
        <v>0.55859999999999999</v>
      </c>
      <c r="Z181" s="216">
        <f t="shared" si="127"/>
        <v>4.5486000000000004</v>
      </c>
      <c r="AA181" s="180">
        <f t="shared" si="128"/>
        <v>8187480</v>
      </c>
      <c r="AB181" s="180"/>
      <c r="AC181" s="180">
        <f t="shared" si="129"/>
        <v>0</v>
      </c>
      <c r="AD181" s="180">
        <v>0</v>
      </c>
      <c r="AE181" s="180">
        <f t="shared" si="130"/>
        <v>8187480</v>
      </c>
      <c r="AF181" s="178">
        <f t="shared" si="131"/>
        <v>654998.4</v>
      </c>
      <c r="AG181" s="178">
        <f t="shared" si="132"/>
        <v>122812.2</v>
      </c>
      <c r="AH181" s="178">
        <f t="shared" si="133"/>
        <v>81874.8</v>
      </c>
      <c r="AI181" s="178"/>
      <c r="AJ181" s="178">
        <f t="shared" si="134"/>
        <v>859685.4</v>
      </c>
      <c r="AK181" s="192"/>
      <c r="AL181" s="182">
        <f t="shared" si="156"/>
        <v>0</v>
      </c>
      <c r="AM181" s="182"/>
      <c r="AN181" s="182"/>
      <c r="AO181" s="193">
        <f t="shared" si="158"/>
        <v>3.99</v>
      </c>
      <c r="AP181" s="246">
        <v>0.25</v>
      </c>
      <c r="AQ181" s="194">
        <f t="shared" si="135"/>
        <v>0.99750000000000005</v>
      </c>
      <c r="AR181" s="178">
        <f t="shared" si="136"/>
        <v>1795500</v>
      </c>
      <c r="AS181" s="178"/>
      <c r="AT181" s="178">
        <f t="shared" si="137"/>
        <v>9123295</v>
      </c>
      <c r="AU181" s="469">
        <f t="shared" si="138"/>
        <v>163</v>
      </c>
      <c r="AV181" s="195"/>
      <c r="AW181" s="198" t="s">
        <v>710</v>
      </c>
    </row>
    <row r="182" spans="1:59" s="189" customFormat="1" ht="36.75" customHeight="1" x14ac:dyDescent="0.25">
      <c r="A182" s="168">
        <f>_xlfn.AGGREGATE(4,7,A$13:A181)+1</f>
        <v>164</v>
      </c>
      <c r="B182" s="168" t="str">
        <f>VLOOKUP(D182,[1]LuongBC_T01!$B$9:$C$292,2,FALSE)</f>
        <v>0016100006732008</v>
      </c>
      <c r="C182" s="199" t="s">
        <v>984</v>
      </c>
      <c r="D182" s="169" t="s">
        <v>311</v>
      </c>
      <c r="E182" s="263" t="s">
        <v>1094</v>
      </c>
      <c r="F182" s="169" t="s">
        <v>549</v>
      </c>
      <c r="G182" s="200" t="s">
        <v>25</v>
      </c>
      <c r="H182" s="200" t="s">
        <v>283</v>
      </c>
      <c r="I182" s="170" t="s">
        <v>283</v>
      </c>
      <c r="J182" s="169" t="s">
        <v>539</v>
      </c>
      <c r="K182" s="170" t="str">
        <f>VLOOKUP(D182,[2]T3!$B$2:$D$328,3,FALSE)</f>
        <v>024497762</v>
      </c>
      <c r="L182" s="171" t="s">
        <v>337</v>
      </c>
      <c r="M182" s="171" t="s">
        <v>984</v>
      </c>
      <c r="N182" s="263" t="str">
        <f>VLOOKUP(D182,'[6]Bao cao So GDDT'!$D$14:$S$282,11,FALSE)</f>
        <v>Giảng viên (hạng III)</v>
      </c>
      <c r="O182" s="390" t="s">
        <v>807</v>
      </c>
      <c r="P182" s="172" t="s">
        <v>692</v>
      </c>
      <c r="Q182" s="173">
        <v>3</v>
      </c>
      <c r="R182" s="174">
        <v>3.99</v>
      </c>
      <c r="S182" s="176">
        <f t="shared" si="154"/>
        <v>0.55859999999999999</v>
      </c>
      <c r="T182" s="370"/>
      <c r="U182" s="176">
        <f t="shared" si="125"/>
        <v>0</v>
      </c>
      <c r="V182" s="175">
        <f t="shared" si="155"/>
        <v>0</v>
      </c>
      <c r="W182" s="170"/>
      <c r="X182" s="179">
        <v>0.14000000000000001</v>
      </c>
      <c r="Y182" s="216">
        <f t="shared" si="126"/>
        <v>0.55859999999999999</v>
      </c>
      <c r="Z182" s="216">
        <f t="shared" si="127"/>
        <v>4.5486000000000004</v>
      </c>
      <c r="AA182" s="180">
        <f t="shared" si="128"/>
        <v>8187480</v>
      </c>
      <c r="AB182" s="180"/>
      <c r="AC182" s="180">
        <f t="shared" si="129"/>
        <v>0</v>
      </c>
      <c r="AD182" s="180">
        <v>0</v>
      </c>
      <c r="AE182" s="180">
        <f t="shared" si="130"/>
        <v>8187480</v>
      </c>
      <c r="AF182" s="178">
        <f t="shared" si="131"/>
        <v>654998.4</v>
      </c>
      <c r="AG182" s="178">
        <f t="shared" si="132"/>
        <v>122812.2</v>
      </c>
      <c r="AH182" s="178">
        <f t="shared" si="133"/>
        <v>81874.8</v>
      </c>
      <c r="AI182" s="178"/>
      <c r="AJ182" s="178">
        <f t="shared" si="134"/>
        <v>859685.4</v>
      </c>
      <c r="AK182" s="192"/>
      <c r="AL182" s="182">
        <f t="shared" si="156"/>
        <v>0</v>
      </c>
      <c r="AM182" s="182"/>
      <c r="AN182" s="182"/>
      <c r="AO182" s="193">
        <f t="shared" si="158"/>
        <v>3.99</v>
      </c>
      <c r="AP182" s="246">
        <v>0.25</v>
      </c>
      <c r="AQ182" s="194">
        <f t="shared" si="135"/>
        <v>0.99750000000000005</v>
      </c>
      <c r="AR182" s="178">
        <f t="shared" si="136"/>
        <v>1795500</v>
      </c>
      <c r="AS182" s="178"/>
      <c r="AT182" s="178">
        <f t="shared" si="137"/>
        <v>9123295</v>
      </c>
      <c r="AU182" s="469">
        <f t="shared" si="138"/>
        <v>164</v>
      </c>
      <c r="AV182" s="195" t="s">
        <v>1636</v>
      </c>
      <c r="AW182" s="198" t="s">
        <v>710</v>
      </c>
    </row>
    <row r="183" spans="1:59" s="189" customFormat="1" ht="31.5" customHeight="1" x14ac:dyDescent="0.25">
      <c r="A183" s="168">
        <f>_xlfn.AGGREGATE(4,7,A$13:A182)+1</f>
        <v>165</v>
      </c>
      <c r="B183" s="168" t="str">
        <f>VLOOKUP(D183,[1]LuongBC_T01!$B$9:$C$292,2,FALSE)</f>
        <v>0016100006686006</v>
      </c>
      <c r="C183" s="199" t="s">
        <v>985</v>
      </c>
      <c r="D183" s="230" t="s">
        <v>573</v>
      </c>
      <c r="E183" s="263" t="s">
        <v>1094</v>
      </c>
      <c r="F183" s="169" t="s">
        <v>549</v>
      </c>
      <c r="G183" s="170"/>
      <c r="H183" s="200" t="s">
        <v>283</v>
      </c>
      <c r="I183" s="200" t="s">
        <v>283</v>
      </c>
      <c r="J183" s="220" t="s">
        <v>594</v>
      </c>
      <c r="K183" s="170" t="str">
        <f>VLOOKUP(D183,[2]T3!$B$2:$D$328,3,FALSE)</f>
        <v>080083000079</v>
      </c>
      <c r="L183" s="201" t="s">
        <v>1122</v>
      </c>
      <c r="M183" s="201" t="s">
        <v>985</v>
      </c>
      <c r="N183" s="263" t="str">
        <f>VLOOKUP(D183,'[6]Bao cao So GDDT'!$D$14:$S$282,11,FALSE)</f>
        <v>Giảng viên
(hạng III)</v>
      </c>
      <c r="O183" s="392" t="s">
        <v>807</v>
      </c>
      <c r="P183" s="172" t="s">
        <v>692</v>
      </c>
      <c r="Q183" s="173">
        <v>3</v>
      </c>
      <c r="R183" s="174">
        <v>3.99</v>
      </c>
      <c r="S183" s="176">
        <f t="shared" si="154"/>
        <v>0.59850000000000003</v>
      </c>
      <c r="T183" s="370"/>
      <c r="U183" s="176">
        <f t="shared" si="125"/>
        <v>0</v>
      </c>
      <c r="V183" s="175">
        <f t="shared" si="155"/>
        <v>0</v>
      </c>
      <c r="W183" s="170"/>
      <c r="X183" s="179">
        <v>0.15</v>
      </c>
      <c r="Y183" s="216">
        <f t="shared" si="126"/>
        <v>0.59850000000000003</v>
      </c>
      <c r="Z183" s="216">
        <f t="shared" si="127"/>
        <v>4.5884999999999998</v>
      </c>
      <c r="AA183" s="180">
        <f t="shared" si="128"/>
        <v>8259300</v>
      </c>
      <c r="AB183" s="180"/>
      <c r="AC183" s="180">
        <f t="shared" si="129"/>
        <v>0</v>
      </c>
      <c r="AD183" s="180">
        <f>AA183/24*AB183*75%</f>
        <v>0</v>
      </c>
      <c r="AE183" s="180">
        <f t="shared" si="130"/>
        <v>8259300</v>
      </c>
      <c r="AF183" s="178">
        <f t="shared" ref="AF183:AF206" si="159">AA183*8%</f>
        <v>660744</v>
      </c>
      <c r="AG183" s="178">
        <f t="shared" ref="AG183:AG206" si="160">AA183*1.5%</f>
        <v>123889.5</v>
      </c>
      <c r="AH183" s="178">
        <f t="shared" ref="AH183:AH206" si="161">AA183*1%</f>
        <v>82593</v>
      </c>
      <c r="AI183" s="178"/>
      <c r="AJ183" s="178">
        <f t="shared" si="134"/>
        <v>867226.5</v>
      </c>
      <c r="AK183" s="192"/>
      <c r="AL183" s="182">
        <f t="shared" si="156"/>
        <v>0</v>
      </c>
      <c r="AM183" s="182"/>
      <c r="AN183" s="182"/>
      <c r="AO183" s="193">
        <f t="shared" si="158"/>
        <v>3.99</v>
      </c>
      <c r="AP183" s="246">
        <v>0.25</v>
      </c>
      <c r="AQ183" s="194">
        <f t="shared" si="135"/>
        <v>0.99750000000000005</v>
      </c>
      <c r="AR183" s="178">
        <f t="shared" si="136"/>
        <v>1795500</v>
      </c>
      <c r="AS183" s="178"/>
      <c r="AT183" s="178">
        <f t="shared" si="137"/>
        <v>9187574</v>
      </c>
      <c r="AU183" s="469">
        <f t="shared" si="138"/>
        <v>165</v>
      </c>
      <c r="AV183" s="186"/>
      <c r="AW183" s="198" t="s">
        <v>710</v>
      </c>
    </row>
    <row r="184" spans="1:59" s="189" customFormat="1" ht="31.5" customHeight="1" x14ac:dyDescent="0.25">
      <c r="A184" s="168">
        <f>_xlfn.AGGREGATE(4,7,A$13:A183)+1</f>
        <v>166</v>
      </c>
      <c r="B184" s="168" t="str">
        <f>VLOOKUP(D184,[1]LuongBC_T01!$B$9:$C$292,2,FALSE)</f>
        <v>0016100006655003</v>
      </c>
      <c r="C184" s="199" t="s">
        <v>1081</v>
      </c>
      <c r="D184" s="169" t="s">
        <v>1234</v>
      </c>
      <c r="E184" s="263" t="s">
        <v>1094</v>
      </c>
      <c r="F184" s="169" t="s">
        <v>549</v>
      </c>
      <c r="G184" s="200"/>
      <c r="H184" s="200"/>
      <c r="I184" s="200" t="s">
        <v>283</v>
      </c>
      <c r="J184" s="200" t="s">
        <v>593</v>
      </c>
      <c r="K184" s="170" t="str">
        <f>VLOOKUP(D184,[2]T3!$B$2:$D$328,3,FALSE)</f>
        <v>024941650</v>
      </c>
      <c r="L184" s="655" t="s">
        <v>615</v>
      </c>
      <c r="M184" s="655" t="s">
        <v>1081</v>
      </c>
      <c r="N184" s="263" t="str">
        <f>VLOOKUP(D184,'[6]Bao cao So GDDT'!$D$14:$S$282,11,FALSE)</f>
        <v>Giảng viên
(hạng III)</v>
      </c>
      <c r="O184" s="263" t="s">
        <v>807</v>
      </c>
      <c r="P184" s="170" t="s">
        <v>692</v>
      </c>
      <c r="Q184" s="170">
        <v>3</v>
      </c>
      <c r="R184" s="177">
        <v>3.66</v>
      </c>
      <c r="S184" s="176">
        <f t="shared" si="154"/>
        <v>0.36599999999999999</v>
      </c>
      <c r="T184" s="220"/>
      <c r="U184" s="176">
        <f t="shared" si="125"/>
        <v>0</v>
      </c>
      <c r="V184" s="175">
        <f t="shared" si="155"/>
        <v>0</v>
      </c>
      <c r="W184" s="170"/>
      <c r="X184" s="179">
        <v>0.1</v>
      </c>
      <c r="Y184" s="216">
        <f t="shared" si="126"/>
        <v>0.36599999999999999</v>
      </c>
      <c r="Z184" s="216">
        <f t="shared" si="127"/>
        <v>4.0259999999999998</v>
      </c>
      <c r="AA184" s="180">
        <f t="shared" si="128"/>
        <v>7246800</v>
      </c>
      <c r="AB184" s="180"/>
      <c r="AC184" s="180">
        <f t="shared" si="129"/>
        <v>0</v>
      </c>
      <c r="AD184" s="180">
        <f>AA184/24*AB184*75%</f>
        <v>0</v>
      </c>
      <c r="AE184" s="180">
        <f t="shared" si="130"/>
        <v>7246800</v>
      </c>
      <c r="AF184" s="178">
        <f t="shared" si="159"/>
        <v>579744</v>
      </c>
      <c r="AG184" s="178">
        <f t="shared" si="160"/>
        <v>108702</v>
      </c>
      <c r="AH184" s="178">
        <f t="shared" si="161"/>
        <v>72468</v>
      </c>
      <c r="AI184" s="178"/>
      <c r="AJ184" s="178">
        <f t="shared" si="134"/>
        <v>760914</v>
      </c>
      <c r="AK184" s="192"/>
      <c r="AL184" s="182">
        <f t="shared" si="156"/>
        <v>0</v>
      </c>
      <c r="AM184" s="182"/>
      <c r="AN184" s="182"/>
      <c r="AO184" s="193">
        <f t="shared" si="158"/>
        <v>3.66</v>
      </c>
      <c r="AP184" s="179">
        <v>0.25</v>
      </c>
      <c r="AQ184" s="194">
        <f t="shared" si="135"/>
        <v>0.91500000000000004</v>
      </c>
      <c r="AR184" s="178">
        <f t="shared" si="136"/>
        <v>1647000</v>
      </c>
      <c r="AS184" s="178"/>
      <c r="AT184" s="178">
        <f t="shared" si="137"/>
        <v>8132886</v>
      </c>
      <c r="AU184" s="469">
        <f t="shared" si="138"/>
        <v>166</v>
      </c>
      <c r="AV184" s="195"/>
      <c r="AW184" s="198"/>
    </row>
    <row r="185" spans="1:59" s="189" customFormat="1" ht="31.5" customHeight="1" x14ac:dyDescent="0.25">
      <c r="A185" s="168">
        <f>_xlfn.AGGREGATE(4,7,A$13:A184)+1</f>
        <v>167</v>
      </c>
      <c r="B185" s="168" t="str">
        <f>VLOOKUP(D185,[1]LuongBC_T01!$B$9:$C$292,2,FALSE)</f>
        <v>0016100006700009</v>
      </c>
      <c r="C185" s="199" t="s">
        <v>1017</v>
      </c>
      <c r="D185" s="230" t="s">
        <v>751</v>
      </c>
      <c r="E185" s="263" t="s">
        <v>1094</v>
      </c>
      <c r="F185" s="231"/>
      <c r="G185" s="251"/>
      <c r="H185" s="231"/>
      <c r="I185" s="231"/>
      <c r="J185" s="231"/>
      <c r="K185" s="170" t="str">
        <f>VLOOKUP(D185,[2]T3!$B$2:$D$328,3,FALSE)</f>
        <v>025583771</v>
      </c>
      <c r="L185" s="725" t="s">
        <v>758</v>
      </c>
      <c r="M185" s="725" t="s">
        <v>1017</v>
      </c>
      <c r="N185" s="263" t="str">
        <f>VLOOKUP(D185,'[6]Bao cao So GDDT'!$D$14:$S$282,11,FALSE)</f>
        <v>Giảng viên
(hạng III)</v>
      </c>
      <c r="O185" s="393" t="s">
        <v>807</v>
      </c>
      <c r="P185" s="170" t="s">
        <v>692</v>
      </c>
      <c r="Q185" s="170">
        <v>2</v>
      </c>
      <c r="R185" s="177">
        <v>3.33</v>
      </c>
      <c r="S185" s="176">
        <f t="shared" si="154"/>
        <v>0.29970000000000002</v>
      </c>
      <c r="T185" s="169"/>
      <c r="U185" s="176">
        <f t="shared" si="125"/>
        <v>0</v>
      </c>
      <c r="V185" s="175"/>
      <c r="W185" s="170"/>
      <c r="X185" s="179">
        <v>0.09</v>
      </c>
      <c r="Y185" s="216">
        <f t="shared" si="126"/>
        <v>0.29970000000000002</v>
      </c>
      <c r="Z185" s="216">
        <f t="shared" si="127"/>
        <v>3.6297000000000001</v>
      </c>
      <c r="AA185" s="180">
        <f t="shared" si="128"/>
        <v>6533460</v>
      </c>
      <c r="AB185" s="180"/>
      <c r="AC185" s="180">
        <f t="shared" si="129"/>
        <v>0</v>
      </c>
      <c r="AD185" s="180">
        <f>AA185/24*AB185*75%</f>
        <v>0</v>
      </c>
      <c r="AE185" s="180">
        <f t="shared" si="130"/>
        <v>6533460</v>
      </c>
      <c r="AF185" s="178">
        <f t="shared" si="159"/>
        <v>522676.8</v>
      </c>
      <c r="AG185" s="178">
        <f t="shared" si="160"/>
        <v>98001.9</v>
      </c>
      <c r="AH185" s="178">
        <f t="shared" si="161"/>
        <v>65334.6</v>
      </c>
      <c r="AI185" s="178"/>
      <c r="AJ185" s="178">
        <f t="shared" si="134"/>
        <v>686013.29999999993</v>
      </c>
      <c r="AK185" s="192"/>
      <c r="AL185" s="182">
        <f t="shared" si="156"/>
        <v>0</v>
      </c>
      <c r="AM185" s="182"/>
      <c r="AN185" s="182"/>
      <c r="AO185" s="183">
        <f t="shared" si="158"/>
        <v>3.33</v>
      </c>
      <c r="AP185" s="246">
        <v>0.25</v>
      </c>
      <c r="AQ185" s="194">
        <f t="shared" si="135"/>
        <v>0.83250000000000002</v>
      </c>
      <c r="AR185" s="178">
        <f t="shared" si="136"/>
        <v>1498500</v>
      </c>
      <c r="AS185" s="178"/>
      <c r="AT185" s="178">
        <f t="shared" si="137"/>
        <v>7345947</v>
      </c>
      <c r="AU185" s="469">
        <f t="shared" si="138"/>
        <v>167</v>
      </c>
      <c r="AV185" s="195"/>
      <c r="AW185" s="196" t="e">
        <f>#REF!*9</f>
        <v>#REF!</v>
      </c>
    </row>
    <row r="186" spans="1:59" s="189" customFormat="1" ht="31.5" customHeight="1" x14ac:dyDescent="0.25">
      <c r="A186" s="168">
        <f>_xlfn.AGGREGATE(4,7,A$13:A185)+1</f>
        <v>168</v>
      </c>
      <c r="B186" s="168" t="str">
        <f>VLOOKUP(D186,[1]LuongBC_T01!$B$9:$C$292,2,FALSE)</f>
        <v>0016100006722002</v>
      </c>
      <c r="C186" s="199" t="s">
        <v>1018</v>
      </c>
      <c r="D186" s="230" t="s">
        <v>752</v>
      </c>
      <c r="E186" s="263" t="s">
        <v>1094</v>
      </c>
      <c r="F186" s="231"/>
      <c r="G186" s="231"/>
      <c r="H186" s="231"/>
      <c r="I186" s="231"/>
      <c r="J186" s="231"/>
      <c r="K186" s="170" t="str">
        <f>VLOOKUP(D186,[2]T3!$B$2:$D$328,3,FALSE)</f>
        <v>046069000174</v>
      </c>
      <c r="L186" s="253" t="s">
        <v>759</v>
      </c>
      <c r="M186" s="253" t="s">
        <v>1018</v>
      </c>
      <c r="N186" s="263" t="str">
        <f>VLOOKUP(D186,'[6]Bao cao So GDDT'!$D$14:$S$282,11,FALSE)</f>
        <v>Giảng viên
(hạng III)</v>
      </c>
      <c r="O186" s="393" t="s">
        <v>807</v>
      </c>
      <c r="P186" s="170" t="s">
        <v>692</v>
      </c>
      <c r="Q186" s="170">
        <v>2</v>
      </c>
      <c r="R186" s="177">
        <v>3.33</v>
      </c>
      <c r="S186" s="176">
        <f t="shared" si="154"/>
        <v>0.43290000000000001</v>
      </c>
      <c r="T186" s="169"/>
      <c r="U186" s="176">
        <f t="shared" si="125"/>
        <v>0</v>
      </c>
      <c r="V186" s="175"/>
      <c r="W186" s="170"/>
      <c r="X186" s="179">
        <v>0.13</v>
      </c>
      <c r="Y186" s="216">
        <f t="shared" si="126"/>
        <v>0.43290000000000001</v>
      </c>
      <c r="Z186" s="216">
        <f t="shared" si="127"/>
        <v>3.7629000000000001</v>
      </c>
      <c r="AA186" s="180">
        <f t="shared" si="128"/>
        <v>6773220</v>
      </c>
      <c r="AB186" s="180"/>
      <c r="AC186" s="180">
        <f t="shared" si="129"/>
        <v>0</v>
      </c>
      <c r="AD186" s="180">
        <f>AA186/24*AB186*75%</f>
        <v>0</v>
      </c>
      <c r="AE186" s="180">
        <f t="shared" si="130"/>
        <v>6773220</v>
      </c>
      <c r="AF186" s="178">
        <f t="shared" si="159"/>
        <v>541857.6</v>
      </c>
      <c r="AG186" s="178">
        <f t="shared" si="160"/>
        <v>101598.3</v>
      </c>
      <c r="AH186" s="178">
        <f t="shared" si="161"/>
        <v>67732.2</v>
      </c>
      <c r="AI186" s="178"/>
      <c r="AJ186" s="178">
        <f t="shared" si="134"/>
        <v>711188.1</v>
      </c>
      <c r="AK186" s="192"/>
      <c r="AL186" s="182">
        <f t="shared" si="156"/>
        <v>0</v>
      </c>
      <c r="AM186" s="182"/>
      <c r="AN186" s="182"/>
      <c r="AO186" s="183">
        <f t="shared" si="158"/>
        <v>3.33</v>
      </c>
      <c r="AP186" s="246">
        <v>0.25</v>
      </c>
      <c r="AQ186" s="194">
        <f t="shared" si="135"/>
        <v>0.83250000000000002</v>
      </c>
      <c r="AR186" s="178">
        <f t="shared" si="136"/>
        <v>1498500</v>
      </c>
      <c r="AS186" s="178"/>
      <c r="AT186" s="178">
        <f t="shared" si="137"/>
        <v>7560532</v>
      </c>
      <c r="AU186" s="469">
        <f t="shared" si="138"/>
        <v>168</v>
      </c>
      <c r="AV186" s="195"/>
      <c r="AW186" s="196" t="e">
        <f>#REF!/28</f>
        <v>#REF!</v>
      </c>
    </row>
    <row r="187" spans="1:59" s="189" customFormat="1" ht="31.5" customHeight="1" x14ac:dyDescent="0.25">
      <c r="A187" s="168">
        <f>_xlfn.AGGREGATE(4,7,A$13:A186)+1</f>
        <v>169</v>
      </c>
      <c r="B187" s="168" t="str">
        <f>VLOOKUP(D187,[1]LuongBC_T01!$B$9:$C$292,2,FALSE)</f>
        <v>0016100006589008</v>
      </c>
      <c r="C187" s="199" t="s">
        <v>906</v>
      </c>
      <c r="D187" s="169" t="s">
        <v>812</v>
      </c>
      <c r="E187" s="263" t="s">
        <v>1625</v>
      </c>
      <c r="F187" s="220"/>
      <c r="G187" s="220" t="s">
        <v>25</v>
      </c>
      <c r="H187" s="220"/>
      <c r="I187" s="220"/>
      <c r="J187" s="220"/>
      <c r="K187" s="170" t="str">
        <f>VLOOKUP(D187,[2]T3!$B$2:$D$328,3,FALSE)</f>
        <v>024327951</v>
      </c>
      <c r="L187" s="220"/>
      <c r="M187" s="170" t="s">
        <v>906</v>
      </c>
      <c r="N187" s="263" t="str">
        <f>VLOOKUP(D187,'[6]Bao cao So GDDT'!$D$14:$S$282,11,FALSE)</f>
        <v>Giảng viên GDNN LT (hạng III)</v>
      </c>
      <c r="O187" s="390" t="s">
        <v>1438</v>
      </c>
      <c r="P187" s="170" t="s">
        <v>692</v>
      </c>
      <c r="Q187" s="170">
        <v>1</v>
      </c>
      <c r="R187" s="177">
        <v>3</v>
      </c>
      <c r="S187" s="176">
        <f t="shared" si="154"/>
        <v>0.21</v>
      </c>
      <c r="T187" s="220"/>
      <c r="U187" s="176">
        <f t="shared" si="125"/>
        <v>0</v>
      </c>
      <c r="V187" s="175">
        <f t="shared" ref="V187:V203" si="162">R187*T187*$D$8/100</f>
        <v>0</v>
      </c>
      <c r="W187" s="170"/>
      <c r="X187" s="179">
        <v>7.0000000000000007E-2</v>
      </c>
      <c r="Y187" s="216">
        <f t="shared" si="126"/>
        <v>0.21</v>
      </c>
      <c r="Z187" s="216">
        <f t="shared" si="127"/>
        <v>3.21</v>
      </c>
      <c r="AA187" s="180">
        <f t="shared" si="128"/>
        <v>5778000</v>
      </c>
      <c r="AB187" s="180"/>
      <c r="AC187" s="180">
        <f t="shared" si="129"/>
        <v>0</v>
      </c>
      <c r="AD187" s="180">
        <v>0</v>
      </c>
      <c r="AE187" s="180">
        <f t="shared" si="130"/>
        <v>5778000</v>
      </c>
      <c r="AF187" s="178">
        <f t="shared" si="159"/>
        <v>462240</v>
      </c>
      <c r="AG187" s="178">
        <f t="shared" si="160"/>
        <v>86670</v>
      </c>
      <c r="AH187" s="178">
        <f t="shared" si="161"/>
        <v>57780</v>
      </c>
      <c r="AI187" s="178"/>
      <c r="AJ187" s="178">
        <f t="shared" si="134"/>
        <v>606690</v>
      </c>
      <c r="AK187" s="192"/>
      <c r="AL187" s="182">
        <f t="shared" si="156"/>
        <v>0</v>
      </c>
      <c r="AM187" s="182"/>
      <c r="AN187" s="182"/>
      <c r="AO187" s="183">
        <f t="shared" si="158"/>
        <v>3</v>
      </c>
      <c r="AP187" s="246">
        <v>0.25</v>
      </c>
      <c r="AQ187" s="185">
        <f t="shared" si="135"/>
        <v>0.75</v>
      </c>
      <c r="AR187" s="178">
        <f t="shared" si="136"/>
        <v>1350000</v>
      </c>
      <c r="AS187" s="178"/>
      <c r="AT187" s="178">
        <f t="shared" si="137"/>
        <v>6521310</v>
      </c>
      <c r="AU187" s="469">
        <f t="shared" si="138"/>
        <v>169</v>
      </c>
      <c r="AV187" s="195"/>
      <c r="AW187" s="198"/>
    </row>
    <row r="188" spans="1:59" s="189" customFormat="1" ht="31.5" customHeight="1" x14ac:dyDescent="0.25">
      <c r="A188" s="168">
        <f>_xlfn.AGGREGATE(4,7,A$13:A187)+1</f>
        <v>170</v>
      </c>
      <c r="B188" s="168" t="str">
        <f>VLOOKUP(D188,[1]LuongBC_T01!$B$9:$C$292,2,FALSE)</f>
        <v>0016100006702001</v>
      </c>
      <c r="C188" s="199" t="s">
        <v>905</v>
      </c>
      <c r="D188" s="169" t="s">
        <v>820</v>
      </c>
      <c r="E188" s="263" t="s">
        <v>1625</v>
      </c>
      <c r="F188" s="220"/>
      <c r="G188" s="220"/>
      <c r="H188" s="220"/>
      <c r="I188" s="220"/>
      <c r="J188" s="220"/>
      <c r="K188" s="170" t="str">
        <f>VLOOKUP(D188,[2]T3!$B$2:$D$328,3,FALSE)</f>
        <v>024104165</v>
      </c>
      <c r="L188" s="220"/>
      <c r="M188" s="170" t="s">
        <v>905</v>
      </c>
      <c r="N188" s="263" t="str">
        <f>VLOOKUP(D188,'[6]Bao cao So GDDT'!$D$14:$S$282,11,FALSE)</f>
        <v>Giảng viên GDNN LT (hạng III)</v>
      </c>
      <c r="O188" s="390" t="s">
        <v>1438</v>
      </c>
      <c r="P188" s="170" t="s">
        <v>692</v>
      </c>
      <c r="Q188" s="170">
        <v>1</v>
      </c>
      <c r="R188" s="177">
        <v>3</v>
      </c>
      <c r="S188" s="176">
        <f t="shared" si="154"/>
        <v>0.21</v>
      </c>
      <c r="T188" s="220"/>
      <c r="U188" s="176">
        <f t="shared" si="125"/>
        <v>0</v>
      </c>
      <c r="V188" s="175">
        <f t="shared" si="162"/>
        <v>0</v>
      </c>
      <c r="W188" s="170"/>
      <c r="X188" s="179">
        <v>7.0000000000000007E-2</v>
      </c>
      <c r="Y188" s="216">
        <f t="shared" si="126"/>
        <v>0.21</v>
      </c>
      <c r="Z188" s="216">
        <f t="shared" si="127"/>
        <v>3.21</v>
      </c>
      <c r="AA188" s="180">
        <f t="shared" si="128"/>
        <v>5778000</v>
      </c>
      <c r="AB188" s="180"/>
      <c r="AC188" s="180">
        <f t="shared" si="129"/>
        <v>0</v>
      </c>
      <c r="AD188" s="180">
        <v>0</v>
      </c>
      <c r="AE188" s="180">
        <f t="shared" si="130"/>
        <v>5778000</v>
      </c>
      <c r="AF188" s="178">
        <f t="shared" si="159"/>
        <v>462240</v>
      </c>
      <c r="AG188" s="178">
        <f t="shared" si="160"/>
        <v>86670</v>
      </c>
      <c r="AH188" s="178">
        <f t="shared" si="161"/>
        <v>57780</v>
      </c>
      <c r="AI188" s="178"/>
      <c r="AJ188" s="178">
        <f t="shared" si="134"/>
        <v>606690</v>
      </c>
      <c r="AK188" s="192"/>
      <c r="AL188" s="182">
        <f t="shared" si="156"/>
        <v>0</v>
      </c>
      <c r="AM188" s="182"/>
      <c r="AN188" s="182"/>
      <c r="AO188" s="183">
        <f t="shared" si="158"/>
        <v>3</v>
      </c>
      <c r="AP188" s="246">
        <v>0.25</v>
      </c>
      <c r="AQ188" s="185">
        <f t="shared" si="135"/>
        <v>0.75</v>
      </c>
      <c r="AR188" s="178">
        <f t="shared" si="136"/>
        <v>1350000</v>
      </c>
      <c r="AS188" s="178"/>
      <c r="AT188" s="178">
        <f t="shared" si="137"/>
        <v>6521310</v>
      </c>
      <c r="AU188" s="469">
        <f t="shared" si="138"/>
        <v>170</v>
      </c>
      <c r="AV188" s="195"/>
      <c r="AW188" s="198"/>
    </row>
    <row r="189" spans="1:59" s="191" customFormat="1" ht="31.5" customHeight="1" x14ac:dyDescent="0.25">
      <c r="A189" s="168">
        <f>_xlfn.AGGREGATE(4,7,A$13:A188)+1</f>
        <v>171</v>
      </c>
      <c r="B189" s="168" t="str">
        <f>VLOOKUP(D189,[1]LuongBC_T01!$B$9:$C$292,2,FALSE)</f>
        <v>0016100006620005</v>
      </c>
      <c r="C189" s="199" t="s">
        <v>956</v>
      </c>
      <c r="D189" s="169" t="s">
        <v>1219</v>
      </c>
      <c r="E189" s="263" t="s">
        <v>1094</v>
      </c>
      <c r="F189" s="169" t="s">
        <v>549</v>
      </c>
      <c r="G189" s="200" t="s">
        <v>25</v>
      </c>
      <c r="H189" s="170" t="s">
        <v>283</v>
      </c>
      <c r="I189" s="200" t="s">
        <v>283</v>
      </c>
      <c r="J189" s="220" t="s">
        <v>255</v>
      </c>
      <c r="K189" s="170" t="str">
        <f>VLOOKUP(D189,[2]T3!$B$2:$D$328,3,FALSE)</f>
        <v>082175000189</v>
      </c>
      <c r="L189" s="241" t="s">
        <v>170</v>
      </c>
      <c r="M189" s="241" t="s">
        <v>956</v>
      </c>
      <c r="N189" s="263" t="str">
        <f>VLOOKUP(D189,'[6]Bao cao So GDDT'!$D$14:$S$282,11,FALSE)</f>
        <v>Giảng viên
(hạng III)</v>
      </c>
      <c r="O189" s="390" t="s">
        <v>807</v>
      </c>
      <c r="P189" s="172" t="s">
        <v>692</v>
      </c>
      <c r="Q189" s="173">
        <v>5</v>
      </c>
      <c r="R189" s="174">
        <v>4.32</v>
      </c>
      <c r="S189" s="176">
        <f t="shared" si="154"/>
        <v>0.77759999999999996</v>
      </c>
      <c r="T189" s="377"/>
      <c r="U189" s="176">
        <f t="shared" si="125"/>
        <v>0</v>
      </c>
      <c r="V189" s="175">
        <f t="shared" si="162"/>
        <v>0</v>
      </c>
      <c r="W189" s="200"/>
      <c r="X189" s="179">
        <v>0.18</v>
      </c>
      <c r="Y189" s="216">
        <f t="shared" si="126"/>
        <v>0.77759999999999996</v>
      </c>
      <c r="Z189" s="216">
        <f t="shared" si="127"/>
        <v>5.0975999999999999</v>
      </c>
      <c r="AA189" s="180">
        <f t="shared" si="128"/>
        <v>9175680</v>
      </c>
      <c r="AB189" s="180"/>
      <c r="AC189" s="180">
        <f t="shared" si="129"/>
        <v>0</v>
      </c>
      <c r="AD189" s="180">
        <f t="shared" ref="AD189:AD194" si="163">AA189/24*AB189*75%</f>
        <v>0</v>
      </c>
      <c r="AE189" s="180">
        <f t="shared" si="130"/>
        <v>9175680</v>
      </c>
      <c r="AF189" s="178">
        <f t="shared" si="159"/>
        <v>734054.40000000002</v>
      </c>
      <c r="AG189" s="178">
        <f t="shared" si="160"/>
        <v>137635.19999999998</v>
      </c>
      <c r="AH189" s="178">
        <f t="shared" si="161"/>
        <v>91756.800000000003</v>
      </c>
      <c r="AI189" s="178"/>
      <c r="AJ189" s="178">
        <f t="shared" si="134"/>
        <v>963446.4</v>
      </c>
      <c r="AK189" s="181"/>
      <c r="AL189" s="182">
        <f t="shared" si="156"/>
        <v>0</v>
      </c>
      <c r="AM189" s="182"/>
      <c r="AN189" s="182"/>
      <c r="AO189" s="193">
        <f t="shared" si="158"/>
        <v>4.32</v>
      </c>
      <c r="AP189" s="246">
        <v>0.25</v>
      </c>
      <c r="AQ189" s="194">
        <f t="shared" si="135"/>
        <v>1.08</v>
      </c>
      <c r="AR189" s="178">
        <f t="shared" si="136"/>
        <v>1944000</v>
      </c>
      <c r="AS189" s="178"/>
      <c r="AT189" s="178">
        <f t="shared" si="137"/>
        <v>10156234</v>
      </c>
      <c r="AU189" s="469">
        <f t="shared" si="138"/>
        <v>171</v>
      </c>
      <c r="AV189" s="195"/>
      <c r="AW189" s="198" t="s">
        <v>710</v>
      </c>
    </row>
    <row r="190" spans="1:59" s="189" customFormat="1" ht="37.5" customHeight="1" x14ac:dyDescent="0.25">
      <c r="A190" s="168">
        <f>_xlfn.AGGREGATE(4,7,A$13:A189)+1</f>
        <v>172</v>
      </c>
      <c r="B190" s="168" t="s">
        <v>1503</v>
      </c>
      <c r="C190" s="660" t="s">
        <v>1562</v>
      </c>
      <c r="D190" s="169" t="s">
        <v>1439</v>
      </c>
      <c r="E190" s="263" t="s">
        <v>1625</v>
      </c>
      <c r="F190" s="220"/>
      <c r="G190" s="220"/>
      <c r="H190" s="220"/>
      <c r="I190" s="220"/>
      <c r="J190" s="220"/>
      <c r="K190" s="168"/>
      <c r="L190" s="490" t="s">
        <v>1448</v>
      </c>
      <c r="M190" s="170"/>
      <c r="N190" s="263" t="str">
        <f>VLOOKUP(D190,'[6]Bao cao So GDDT'!$D$14:$S$282,11,FALSE)</f>
        <v>Giảng viên GDNN LT (hạng III)</v>
      </c>
      <c r="O190" s="662" t="s">
        <v>1438</v>
      </c>
      <c r="P190" s="251"/>
      <c r="Q190" s="251"/>
      <c r="R190" s="170">
        <v>2.34</v>
      </c>
      <c r="S190" s="176"/>
      <c r="T190" s="220"/>
      <c r="U190" s="176">
        <f>ROUND(R190*T190/100,4)</f>
        <v>0</v>
      </c>
      <c r="V190" s="175"/>
      <c r="W190" s="170"/>
      <c r="X190" s="179">
        <f>VLOOKUP(D190,PCTN!D89:W356,20,FALSE)</f>
        <v>0</v>
      </c>
      <c r="Y190" s="216">
        <f>ROUND((R190+U190+W190)*X190,4)</f>
        <v>0</v>
      </c>
      <c r="Z190" s="216">
        <f>R190+U190+W190+Y190</f>
        <v>2.34</v>
      </c>
      <c r="AA190" s="180">
        <f>ROUND(Z190*$D$8,0)</f>
        <v>4212000</v>
      </c>
      <c r="AB190" s="180"/>
      <c r="AC190" s="180">
        <f>AA190/24*AB190</f>
        <v>0</v>
      </c>
      <c r="AD190" s="180">
        <v>0</v>
      </c>
      <c r="AE190" s="180">
        <f>ROUND(AA190-AC190+AD190,0)</f>
        <v>4212000</v>
      </c>
      <c r="AF190" s="178">
        <f>AA190*8%</f>
        <v>336960</v>
      </c>
      <c r="AG190" s="178">
        <f>AA190*1.5%</f>
        <v>63180</v>
      </c>
      <c r="AH190" s="178">
        <f>AA190*1%</f>
        <v>42120</v>
      </c>
      <c r="AI190" s="178"/>
      <c r="AJ190" s="178">
        <f>SUM(AF190:AI190)</f>
        <v>442260</v>
      </c>
      <c r="AK190" s="192"/>
      <c r="AL190" s="182">
        <f t="shared" si="156"/>
        <v>0</v>
      </c>
      <c r="AM190" s="182"/>
      <c r="AN190" s="182"/>
      <c r="AO190" s="183">
        <f>R190+U190+W190</f>
        <v>2.34</v>
      </c>
      <c r="AP190" s="640">
        <v>0.25</v>
      </c>
      <c r="AQ190" s="185">
        <f>ROUND(AO190*AP190,4)</f>
        <v>0.58499999999999996</v>
      </c>
      <c r="AR190" s="178">
        <f>ROUND(AQ190*$D$8,0)</f>
        <v>1053000</v>
      </c>
      <c r="AS190" s="178"/>
      <c r="AT190" s="178">
        <f>ROUND(AE190-AJ190+AL190+AN190+AR190,0)</f>
        <v>4822740</v>
      </c>
      <c r="AU190" s="538">
        <f>A190</f>
        <v>172</v>
      </c>
      <c r="AV190" s="539"/>
      <c r="AW190" s="659"/>
      <c r="AX190" s="29"/>
      <c r="AY190" s="29"/>
      <c r="AZ190" s="29"/>
      <c r="BA190" s="29"/>
      <c r="BB190" s="29"/>
      <c r="BC190" s="29"/>
      <c r="BD190" s="29"/>
      <c r="BE190" s="29"/>
      <c r="BF190" s="29"/>
      <c r="BG190" s="29"/>
    </row>
    <row r="191" spans="1:59" s="189" customFormat="1" ht="37.5" customHeight="1" x14ac:dyDescent="0.25">
      <c r="A191" s="168">
        <f>_xlfn.AGGREGATE(4,7,A$13:A190)+1</f>
        <v>173</v>
      </c>
      <c r="B191" s="168" t="s">
        <v>1506</v>
      </c>
      <c r="C191" s="860" t="s">
        <v>1567</v>
      </c>
      <c r="D191" s="544" t="s">
        <v>1457</v>
      </c>
      <c r="E191" s="563" t="s">
        <v>1625</v>
      </c>
      <c r="F191" s="564"/>
      <c r="G191" s="564"/>
      <c r="H191" s="564"/>
      <c r="I191" s="564"/>
      <c r="J191" s="564"/>
      <c r="K191" s="565"/>
      <c r="L191" s="722"/>
      <c r="M191" s="545"/>
      <c r="N191" s="263" t="str">
        <f>VLOOKUP(D191,'[6]Bao cao So GDDT'!$D$14:$S$282,11,FALSE)</f>
        <v>Giảng viên GDNN LT (hạng III)</v>
      </c>
      <c r="O191" s="662" t="s">
        <v>1438</v>
      </c>
      <c r="P191" s="566"/>
      <c r="Q191" s="566"/>
      <c r="R191" s="545">
        <v>2.34</v>
      </c>
      <c r="S191" s="546"/>
      <c r="T191" s="564"/>
      <c r="U191" s="546">
        <f>ROUND(R191*T191/100,4)</f>
        <v>0</v>
      </c>
      <c r="V191" s="547"/>
      <c r="W191" s="545"/>
      <c r="X191" s="179">
        <f>VLOOKUP(D191,PCTN!D93:W360,20,FALSE)</f>
        <v>0</v>
      </c>
      <c r="Y191" s="216">
        <f>ROUND((R191+U191+W191)*X191,4)</f>
        <v>0</v>
      </c>
      <c r="Z191" s="216">
        <f>R191+U191+W191+Y191</f>
        <v>2.34</v>
      </c>
      <c r="AA191" s="180">
        <f>ROUND(Z191*$D$8,0)</f>
        <v>4212000</v>
      </c>
      <c r="AB191" s="549"/>
      <c r="AC191" s="180">
        <f>AA191/24*AB191</f>
        <v>0</v>
      </c>
      <c r="AD191" s="180">
        <f t="shared" si="163"/>
        <v>0</v>
      </c>
      <c r="AE191" s="180">
        <f>ROUND(AA191-AC191+AD191,0)</f>
        <v>4212000</v>
      </c>
      <c r="AF191" s="178">
        <f>AA191*8%</f>
        <v>336960</v>
      </c>
      <c r="AG191" s="178">
        <f>AA191*1.5%</f>
        <v>63180</v>
      </c>
      <c r="AH191" s="178">
        <f>AA191*1%</f>
        <v>42120</v>
      </c>
      <c r="AI191" s="550"/>
      <c r="AJ191" s="178">
        <f>SUM(AF191:AI191)</f>
        <v>442260</v>
      </c>
      <c r="AK191" s="567"/>
      <c r="AL191" s="182">
        <f t="shared" si="156"/>
        <v>0</v>
      </c>
      <c r="AM191" s="568"/>
      <c r="AN191" s="568"/>
      <c r="AO191" s="569">
        <f>R191+U191+W191</f>
        <v>2.34</v>
      </c>
      <c r="AP191" s="640">
        <v>0.25</v>
      </c>
      <c r="AQ191" s="185">
        <f>ROUND(AO191*AP191,4)</f>
        <v>0.58499999999999996</v>
      </c>
      <c r="AR191" s="178">
        <f>ROUND(AQ191*$D$8,0)</f>
        <v>1053000</v>
      </c>
      <c r="AS191" s="550"/>
      <c r="AT191" s="178">
        <f>ROUND(AE191-AJ191+AL191+AN191+AR191,0)</f>
        <v>4822740</v>
      </c>
      <c r="AU191" s="538">
        <f>A191</f>
        <v>173</v>
      </c>
      <c r="AV191" s="723"/>
      <c r="AW191" s="659"/>
      <c r="AX191" s="29"/>
      <c r="AY191" s="29"/>
      <c r="AZ191" s="29"/>
      <c r="BA191" s="29"/>
      <c r="BB191" s="29"/>
      <c r="BC191" s="29"/>
      <c r="BD191" s="29"/>
      <c r="BE191" s="29"/>
      <c r="BF191" s="29"/>
      <c r="BG191" s="29"/>
    </row>
    <row r="192" spans="1:59" s="189" customFormat="1" ht="31.5" customHeight="1" x14ac:dyDescent="0.25">
      <c r="A192" s="168">
        <f>_xlfn.AGGREGATE(4,7,A$13:A191)+1</f>
        <v>174</v>
      </c>
      <c r="B192" s="168" t="str">
        <f>VLOOKUP(D192,[1]LuongBC_T01!$B$9:$C$292,2,FALSE)</f>
        <v>0016100006777001</v>
      </c>
      <c r="C192" s="199" t="s">
        <v>915</v>
      </c>
      <c r="D192" s="169" t="s">
        <v>62</v>
      </c>
      <c r="E192" s="263" t="s">
        <v>1599</v>
      </c>
      <c r="F192" s="169" t="s">
        <v>550</v>
      </c>
      <c r="G192" s="200" t="s">
        <v>25</v>
      </c>
      <c r="H192" s="170" t="s">
        <v>283</v>
      </c>
      <c r="I192" s="170" t="s">
        <v>283</v>
      </c>
      <c r="J192" s="169" t="s">
        <v>245</v>
      </c>
      <c r="K192" s="170" t="str">
        <f>VLOOKUP(D192,[2]T3!$B$2:$D$328,3,FALSE)</f>
        <v>024774604</v>
      </c>
      <c r="L192" s="171" t="s">
        <v>114</v>
      </c>
      <c r="M192" s="171" t="s">
        <v>915</v>
      </c>
      <c r="N192" s="263" t="str">
        <f>VLOOKUP(D192,'[6]Bao cao So GDDT'!$D$14:$S$282,11,FALSE)</f>
        <v>Giảng viên GDNN LT (hạng III)</v>
      </c>
      <c r="O192" s="390" t="s">
        <v>1438</v>
      </c>
      <c r="P192" s="172" t="s">
        <v>692</v>
      </c>
      <c r="Q192" s="173">
        <v>4</v>
      </c>
      <c r="R192" s="174">
        <v>3.99</v>
      </c>
      <c r="S192" s="176">
        <f>U192+W192+Y192</f>
        <v>1.1160000000000001</v>
      </c>
      <c r="T192" s="370"/>
      <c r="U192" s="176">
        <f>ROUND(R192*T192/100,4)</f>
        <v>0</v>
      </c>
      <c r="V192" s="175">
        <f>R192*T192*$D$8/100</f>
        <v>0</v>
      </c>
      <c r="W192" s="170">
        <v>0.45</v>
      </c>
      <c r="X192" s="179">
        <v>0.15</v>
      </c>
      <c r="Y192" s="216">
        <f>ROUND((R192+U192+W192)*X192,4)</f>
        <v>0.66600000000000004</v>
      </c>
      <c r="Z192" s="216">
        <f>R192+U192+W192+Y192</f>
        <v>5.1060000000000008</v>
      </c>
      <c r="AA192" s="180">
        <f>ROUND(Z192*$D$8,0)</f>
        <v>9190800</v>
      </c>
      <c r="AB192" s="180"/>
      <c r="AC192" s="180">
        <f>AA192/24*AB192</f>
        <v>0</v>
      </c>
      <c r="AD192" s="180">
        <f>AA192/24*AB192*75%</f>
        <v>0</v>
      </c>
      <c r="AE192" s="180">
        <f>ROUND(AA192-AC192+AD192,0)</f>
        <v>9190800</v>
      </c>
      <c r="AF192" s="178">
        <f>AA192*8%</f>
        <v>735264</v>
      </c>
      <c r="AG192" s="178">
        <f>AA192*1.5%</f>
        <v>137862</v>
      </c>
      <c r="AH192" s="178">
        <f>AA192*1%</f>
        <v>91908</v>
      </c>
      <c r="AI192" s="178"/>
      <c r="AJ192" s="178">
        <f>SUM(AF192:AI192)</f>
        <v>965034</v>
      </c>
      <c r="AK192" s="192"/>
      <c r="AL192" s="182">
        <f>AK192*$D$8</f>
        <v>0</v>
      </c>
      <c r="AM192" s="182"/>
      <c r="AN192" s="182"/>
      <c r="AO192" s="193">
        <f>R192+U192+W192</f>
        <v>4.4400000000000004</v>
      </c>
      <c r="AP192" s="246">
        <v>0.45</v>
      </c>
      <c r="AQ192" s="194">
        <f>ROUND(AO192*AP192,4)</f>
        <v>1.998</v>
      </c>
      <c r="AR192" s="178">
        <f>ROUND(AQ192*$D$8,0)</f>
        <v>3596400</v>
      </c>
      <c r="AS192" s="178"/>
      <c r="AT192" s="178">
        <f>ROUND(AE192-AJ192+AL192+AN192+AR192,0)</f>
        <v>11822166</v>
      </c>
      <c r="AU192" s="469">
        <f>A192</f>
        <v>174</v>
      </c>
      <c r="AV192" s="195"/>
      <c r="AW192" s="198" t="s">
        <v>710</v>
      </c>
    </row>
    <row r="193" spans="1:49" s="189" customFormat="1" ht="31.5" customHeight="1" x14ac:dyDescent="0.25">
      <c r="A193" s="168">
        <f>_xlfn.AGGREGATE(4,7,A$13:A192)+1</f>
        <v>175</v>
      </c>
      <c r="B193" s="168" t="str">
        <f>VLOOKUP(D193,[1]LuongBC_T01!$B$9:$C$292,2,FALSE)</f>
        <v>0016100006730005</v>
      </c>
      <c r="C193" s="199" t="s">
        <v>913</v>
      </c>
      <c r="D193" s="169" t="s">
        <v>1201</v>
      </c>
      <c r="E193" s="263" t="s">
        <v>1254</v>
      </c>
      <c r="F193" s="169" t="s">
        <v>549</v>
      </c>
      <c r="G193" s="200"/>
      <c r="H193" s="200" t="s">
        <v>283</v>
      </c>
      <c r="I193" s="200" t="s">
        <v>283</v>
      </c>
      <c r="J193" s="200" t="s">
        <v>580</v>
      </c>
      <c r="K193" s="170" t="str">
        <f>VLOOKUP(D193,[2]T3!$B$2:$D$328,3,FALSE)</f>
        <v>025531048</v>
      </c>
      <c r="L193" s="201" t="s">
        <v>602</v>
      </c>
      <c r="M193" s="201" t="s">
        <v>913</v>
      </c>
      <c r="N193" s="263" t="str">
        <f>VLOOKUP(D193,'[6]Bao cao So GDDT'!$D$14:$S$282,11,FALSE)</f>
        <v>Giảng viên GDNN LT (hạng III)</v>
      </c>
      <c r="O193" s="390" t="s">
        <v>1438</v>
      </c>
      <c r="P193" s="170" t="s">
        <v>692</v>
      </c>
      <c r="Q193" s="170">
        <v>3</v>
      </c>
      <c r="R193" s="177">
        <v>3.99</v>
      </c>
      <c r="S193" s="176">
        <f t="shared" si="154"/>
        <v>0.91420000000000001</v>
      </c>
      <c r="T193" s="220"/>
      <c r="U193" s="176">
        <f t="shared" si="125"/>
        <v>0</v>
      </c>
      <c r="V193" s="175">
        <f t="shared" si="162"/>
        <v>0</v>
      </c>
      <c r="W193" s="170">
        <v>0.35</v>
      </c>
      <c r="X193" s="179">
        <v>0.13</v>
      </c>
      <c r="Y193" s="216">
        <f t="shared" si="126"/>
        <v>0.56420000000000003</v>
      </c>
      <c r="Z193" s="216">
        <f t="shared" si="127"/>
        <v>4.9041999999999994</v>
      </c>
      <c r="AA193" s="180">
        <f t="shared" si="128"/>
        <v>8827560</v>
      </c>
      <c r="AB193" s="180"/>
      <c r="AC193" s="180">
        <f t="shared" si="129"/>
        <v>0</v>
      </c>
      <c r="AD193" s="180">
        <f t="shared" si="163"/>
        <v>0</v>
      </c>
      <c r="AE193" s="180">
        <f t="shared" si="130"/>
        <v>8827560</v>
      </c>
      <c r="AF193" s="178">
        <f t="shared" si="159"/>
        <v>706204.8</v>
      </c>
      <c r="AG193" s="178">
        <f t="shared" si="160"/>
        <v>132413.4</v>
      </c>
      <c r="AH193" s="178">
        <f t="shared" si="161"/>
        <v>88275.6</v>
      </c>
      <c r="AI193" s="178"/>
      <c r="AJ193" s="178">
        <f t="shared" si="134"/>
        <v>926893.8</v>
      </c>
      <c r="AK193" s="192"/>
      <c r="AL193" s="182">
        <f t="shared" si="156"/>
        <v>0</v>
      </c>
      <c r="AM193" s="182"/>
      <c r="AN193" s="182"/>
      <c r="AO193" s="193">
        <f t="shared" si="158"/>
        <v>4.34</v>
      </c>
      <c r="AP193" s="246">
        <v>0.45</v>
      </c>
      <c r="AQ193" s="194">
        <f t="shared" si="135"/>
        <v>1.9530000000000001</v>
      </c>
      <c r="AR193" s="178">
        <f t="shared" si="136"/>
        <v>3515400</v>
      </c>
      <c r="AS193" s="178"/>
      <c r="AT193" s="178">
        <f t="shared" si="137"/>
        <v>11416066</v>
      </c>
      <c r="AU193" s="469">
        <f t="shared" si="138"/>
        <v>175</v>
      </c>
      <c r="AV193" s="195"/>
      <c r="AW193" s="198" t="s">
        <v>710</v>
      </c>
    </row>
    <row r="194" spans="1:49" s="189" customFormat="1" ht="31.5" customHeight="1" x14ac:dyDescent="0.25">
      <c r="A194" s="168">
        <f>_xlfn.AGGREGATE(4,7,A$13:A193)+1</f>
        <v>176</v>
      </c>
      <c r="B194" s="168" t="str">
        <f>VLOOKUP(D194,[1]LuongBC_T01!$B$9:$C$292,2,FALSE)</f>
        <v>0016100006726008</v>
      </c>
      <c r="C194" s="199" t="s">
        <v>925</v>
      </c>
      <c r="D194" s="169" t="s">
        <v>301</v>
      </c>
      <c r="E194" s="263" t="s">
        <v>1251</v>
      </c>
      <c r="F194" s="169" t="s">
        <v>549</v>
      </c>
      <c r="G194" s="200" t="s">
        <v>25</v>
      </c>
      <c r="H194" s="200" t="s">
        <v>283</v>
      </c>
      <c r="I194" s="170" t="s">
        <v>283</v>
      </c>
      <c r="J194" s="169" t="s">
        <v>527</v>
      </c>
      <c r="K194" s="170" t="str">
        <f>VLOOKUP(D194,[2]T3!$B$2:$D$328,3,FALSE)</f>
        <v>024827262</v>
      </c>
      <c r="L194" s="171" t="s">
        <v>336</v>
      </c>
      <c r="M194" s="171" t="s">
        <v>925</v>
      </c>
      <c r="N194" s="263" t="str">
        <f>VLOOKUP(D194,'[6]Bao cao So GDDT'!$D$14:$S$282,11,FALSE)</f>
        <v>Giảng viên GDNN LT (hạng III)</v>
      </c>
      <c r="O194" s="390" t="s">
        <v>1438</v>
      </c>
      <c r="P194" s="172" t="s">
        <v>692</v>
      </c>
      <c r="Q194" s="173">
        <v>4</v>
      </c>
      <c r="R194" s="174">
        <v>3.99</v>
      </c>
      <c r="S194" s="176">
        <f t="shared" si="154"/>
        <v>0.84360000000000002</v>
      </c>
      <c r="T194" s="370"/>
      <c r="U194" s="176">
        <f t="shared" ref="U194:U222" si="164">ROUND(R194*T194/100,4)</f>
        <v>0</v>
      </c>
      <c r="V194" s="175">
        <f t="shared" si="162"/>
        <v>0</v>
      </c>
      <c r="W194" s="170">
        <v>0.25</v>
      </c>
      <c r="X194" s="179">
        <v>0.14000000000000001</v>
      </c>
      <c r="Y194" s="216">
        <f t="shared" ref="Y194:Y222" si="165">ROUND((R194+U194+W194)*X194,4)</f>
        <v>0.59360000000000002</v>
      </c>
      <c r="Z194" s="216">
        <f t="shared" ref="Z194:Z222" si="166">R194+U194+W194+Y194</f>
        <v>4.8336000000000006</v>
      </c>
      <c r="AA194" s="180">
        <f t="shared" ref="AA194:AA222" si="167">ROUND(Z194*$D$8,0)</f>
        <v>8700480</v>
      </c>
      <c r="AB194" s="180"/>
      <c r="AC194" s="180">
        <f t="shared" ref="AC194:AC222" si="168">AA194/24*AB194</f>
        <v>0</v>
      </c>
      <c r="AD194" s="180">
        <f t="shared" si="163"/>
        <v>0</v>
      </c>
      <c r="AE194" s="180">
        <f t="shared" ref="AE194:AE222" si="169">ROUND(AA194-AC194+AD194,0)</f>
        <v>8700480</v>
      </c>
      <c r="AF194" s="178">
        <f t="shared" si="159"/>
        <v>696038.40000000002</v>
      </c>
      <c r="AG194" s="178">
        <f t="shared" si="160"/>
        <v>130507.2</v>
      </c>
      <c r="AH194" s="178">
        <f t="shared" si="161"/>
        <v>87004.800000000003</v>
      </c>
      <c r="AI194" s="178"/>
      <c r="AJ194" s="178">
        <f t="shared" ref="AJ194:AJ222" si="170">SUM(AF194:AI194)</f>
        <v>913550.4</v>
      </c>
      <c r="AK194" s="192"/>
      <c r="AL194" s="182">
        <f t="shared" si="156"/>
        <v>0</v>
      </c>
      <c r="AM194" s="182"/>
      <c r="AN194" s="182"/>
      <c r="AO194" s="193">
        <f t="shared" si="158"/>
        <v>4.24</v>
      </c>
      <c r="AP194" s="246">
        <v>0.45</v>
      </c>
      <c r="AQ194" s="194">
        <f t="shared" ref="AQ194:AQ222" si="171">ROUND(AO194*AP194,4)</f>
        <v>1.9079999999999999</v>
      </c>
      <c r="AR194" s="178">
        <f t="shared" ref="AR194:AR222" si="172">ROUND(AQ194*$D$8,0)</f>
        <v>3434400</v>
      </c>
      <c r="AS194" s="178"/>
      <c r="AT194" s="178">
        <f t="shared" ref="AT194:AT222" si="173">ROUND(AE194-AJ194+AL194+AN194+AR194,0)</f>
        <v>11221330</v>
      </c>
      <c r="AU194" s="469">
        <f t="shared" ref="AU194:AU222" si="174">A194</f>
        <v>176</v>
      </c>
      <c r="AV194" s="195"/>
      <c r="AW194" s="187" t="s">
        <v>709</v>
      </c>
    </row>
    <row r="195" spans="1:49" s="189" customFormat="1" ht="36" customHeight="1" x14ac:dyDescent="0.25">
      <c r="A195" s="168">
        <f>_xlfn.AGGREGATE(4,7,A$13:A194)+1</f>
        <v>177</v>
      </c>
      <c r="B195" s="168" t="str">
        <f>VLOOKUP(D195,[1]LuongBC_T01!$B$9:$C$292,2,FALSE)</f>
        <v>0016100006579005</v>
      </c>
      <c r="C195" s="199" t="s">
        <v>987</v>
      </c>
      <c r="D195" s="169" t="s">
        <v>569</v>
      </c>
      <c r="E195" s="263" t="s">
        <v>1251</v>
      </c>
      <c r="F195" s="169" t="s">
        <v>549</v>
      </c>
      <c r="G195" s="200" t="s">
        <v>25</v>
      </c>
      <c r="H195" s="200" t="s">
        <v>283</v>
      </c>
      <c r="I195" s="200" t="s">
        <v>283</v>
      </c>
      <c r="J195" s="200" t="s">
        <v>579</v>
      </c>
      <c r="K195" s="170" t="str">
        <f>VLOOKUP(D195,[2]T3!$B$2:$D$328,3,FALSE)</f>
        <v>025523427</v>
      </c>
      <c r="L195" s="201" t="s">
        <v>601</v>
      </c>
      <c r="M195" s="201" t="s">
        <v>987</v>
      </c>
      <c r="N195" s="263" t="str">
        <f>VLOOKUP(D195,'[6]Bao cao So GDDT'!$D$14:$S$282,11,FALSE)</f>
        <v>Giảng viên GDNN LT (hạng III)</v>
      </c>
      <c r="O195" s="390" t="s">
        <v>1438</v>
      </c>
      <c r="P195" s="170" t="s">
        <v>692</v>
      </c>
      <c r="Q195" s="170">
        <v>3</v>
      </c>
      <c r="R195" s="177">
        <v>3.99</v>
      </c>
      <c r="S195" s="176">
        <f t="shared" si="154"/>
        <v>0.51870000000000005</v>
      </c>
      <c r="T195" s="220"/>
      <c r="U195" s="176">
        <f t="shared" si="164"/>
        <v>0</v>
      </c>
      <c r="V195" s="175">
        <f t="shared" si="162"/>
        <v>0</v>
      </c>
      <c r="W195" s="170"/>
      <c r="X195" s="179">
        <v>0.13</v>
      </c>
      <c r="Y195" s="216">
        <f t="shared" si="165"/>
        <v>0.51870000000000005</v>
      </c>
      <c r="Z195" s="216">
        <f t="shared" si="166"/>
        <v>4.5087000000000002</v>
      </c>
      <c r="AA195" s="180">
        <f t="shared" si="167"/>
        <v>8115660</v>
      </c>
      <c r="AB195" s="180"/>
      <c r="AC195" s="180">
        <f t="shared" si="168"/>
        <v>0</v>
      </c>
      <c r="AD195" s="180">
        <v>0</v>
      </c>
      <c r="AE195" s="180">
        <f t="shared" si="169"/>
        <v>8115660</v>
      </c>
      <c r="AF195" s="178">
        <f t="shared" si="159"/>
        <v>649252.80000000005</v>
      </c>
      <c r="AG195" s="178">
        <f t="shared" si="160"/>
        <v>121734.9</v>
      </c>
      <c r="AH195" s="178">
        <f t="shared" si="161"/>
        <v>81156.600000000006</v>
      </c>
      <c r="AI195" s="178"/>
      <c r="AJ195" s="178">
        <f t="shared" si="170"/>
        <v>852144.3</v>
      </c>
      <c r="AK195" s="192">
        <v>0</v>
      </c>
      <c r="AL195" s="182">
        <f t="shared" si="156"/>
        <v>0</v>
      </c>
      <c r="AM195" s="182"/>
      <c r="AN195" s="182"/>
      <c r="AO195" s="193">
        <f t="shared" si="158"/>
        <v>3.99</v>
      </c>
      <c r="AP195" s="246">
        <v>0.45</v>
      </c>
      <c r="AQ195" s="194">
        <f t="shared" si="171"/>
        <v>1.7955000000000001</v>
      </c>
      <c r="AR195" s="178">
        <f t="shared" si="172"/>
        <v>3231900</v>
      </c>
      <c r="AS195" s="178"/>
      <c r="AT195" s="178">
        <f t="shared" si="173"/>
        <v>10495416</v>
      </c>
      <c r="AU195" s="469">
        <f t="shared" si="174"/>
        <v>177</v>
      </c>
      <c r="AV195" s="447"/>
      <c r="AW195" s="198" t="s">
        <v>710</v>
      </c>
    </row>
    <row r="196" spans="1:49" s="189" customFormat="1" ht="31.5" customHeight="1" x14ac:dyDescent="0.25">
      <c r="A196" s="168">
        <f>_xlfn.AGGREGATE(4,7,A$13:A195)+1</f>
        <v>178</v>
      </c>
      <c r="B196" s="168" t="str">
        <f>VLOOKUP(D196,[1]LuongBC_T01!$B$9:$C$292,2,FALSE)</f>
        <v>0016100006778008</v>
      </c>
      <c r="C196" s="199" t="s">
        <v>1019</v>
      </c>
      <c r="D196" s="169" t="s">
        <v>739</v>
      </c>
      <c r="E196" s="263" t="s">
        <v>1251</v>
      </c>
      <c r="F196" s="169"/>
      <c r="G196" s="170" t="s">
        <v>25</v>
      </c>
      <c r="H196" s="170"/>
      <c r="I196" s="170"/>
      <c r="J196" s="169"/>
      <c r="K196" s="170" t="str">
        <f>VLOOKUP(D196,[2]T3!$B$2:$D$328,3,FALSE)</f>
        <v>025611151</v>
      </c>
      <c r="L196" s="253" t="s">
        <v>746</v>
      </c>
      <c r="M196" s="253" t="s">
        <v>1019</v>
      </c>
      <c r="N196" s="263" t="str">
        <f>VLOOKUP(D196,'[6]Bao cao So GDDT'!$D$14:$S$282,11,FALSE)</f>
        <v>Giảng viên GDNN LT (hạng III)</v>
      </c>
      <c r="O196" s="390" t="s">
        <v>1438</v>
      </c>
      <c r="P196" s="222" t="s">
        <v>692</v>
      </c>
      <c r="Q196" s="172">
        <v>3</v>
      </c>
      <c r="R196" s="174">
        <v>3.66</v>
      </c>
      <c r="S196" s="176">
        <f t="shared" si="154"/>
        <v>0.51239999999999997</v>
      </c>
      <c r="T196" s="370"/>
      <c r="U196" s="176">
        <f t="shared" si="164"/>
        <v>0</v>
      </c>
      <c r="V196" s="175">
        <f t="shared" si="162"/>
        <v>0</v>
      </c>
      <c r="W196" s="170"/>
      <c r="X196" s="179">
        <v>0.14000000000000001</v>
      </c>
      <c r="Y196" s="216">
        <f t="shared" si="165"/>
        <v>0.51239999999999997</v>
      </c>
      <c r="Z196" s="216">
        <f t="shared" si="166"/>
        <v>4.1723999999999997</v>
      </c>
      <c r="AA196" s="180">
        <f t="shared" si="167"/>
        <v>7510320</v>
      </c>
      <c r="AB196" s="180"/>
      <c r="AC196" s="180">
        <f t="shared" si="168"/>
        <v>0</v>
      </c>
      <c r="AD196" s="180">
        <v>0</v>
      </c>
      <c r="AE196" s="180">
        <f t="shared" si="169"/>
        <v>7510320</v>
      </c>
      <c r="AF196" s="178">
        <f t="shared" si="159"/>
        <v>600825.59999999998</v>
      </c>
      <c r="AG196" s="178">
        <f t="shared" si="160"/>
        <v>112654.8</v>
      </c>
      <c r="AH196" s="178">
        <f t="shared" si="161"/>
        <v>75103.199999999997</v>
      </c>
      <c r="AI196" s="178"/>
      <c r="AJ196" s="178">
        <f t="shared" si="170"/>
        <v>788583.6</v>
      </c>
      <c r="AK196" s="192"/>
      <c r="AL196" s="182">
        <f t="shared" si="156"/>
        <v>0</v>
      </c>
      <c r="AM196" s="182"/>
      <c r="AN196" s="182"/>
      <c r="AO196" s="193">
        <f t="shared" si="158"/>
        <v>3.66</v>
      </c>
      <c r="AP196" s="246">
        <v>0.45</v>
      </c>
      <c r="AQ196" s="194">
        <f t="shared" si="171"/>
        <v>1.647</v>
      </c>
      <c r="AR196" s="178">
        <f t="shared" si="172"/>
        <v>2964600</v>
      </c>
      <c r="AS196" s="178"/>
      <c r="AT196" s="178">
        <f t="shared" si="173"/>
        <v>9686336</v>
      </c>
      <c r="AU196" s="469">
        <f t="shared" si="174"/>
        <v>178</v>
      </c>
      <c r="AV196" s="195"/>
      <c r="AW196" s="198"/>
    </row>
    <row r="197" spans="1:49" s="189" customFormat="1" ht="31.5" customHeight="1" x14ac:dyDescent="0.25">
      <c r="A197" s="168">
        <f>_xlfn.AGGREGATE(4,7,A$13:A196)+1</f>
        <v>179</v>
      </c>
      <c r="B197" s="168" t="str">
        <f>VLOOKUP(D197,[1]LuongBC_T01!$B$9:$C$292,2,FALSE)</f>
        <v>0016100006109009</v>
      </c>
      <c r="C197" s="199" t="s">
        <v>966</v>
      </c>
      <c r="D197" s="169" t="s">
        <v>1221</v>
      </c>
      <c r="E197" s="263" t="s">
        <v>1251</v>
      </c>
      <c r="F197" s="169" t="s">
        <v>549</v>
      </c>
      <c r="G197" s="170" t="s">
        <v>25</v>
      </c>
      <c r="H197" s="170" t="s">
        <v>283</v>
      </c>
      <c r="I197" s="200" t="s">
        <v>283</v>
      </c>
      <c r="J197" s="220" t="s">
        <v>260</v>
      </c>
      <c r="K197" s="168" t="s">
        <v>1338</v>
      </c>
      <c r="L197" s="171" t="s">
        <v>169</v>
      </c>
      <c r="M197" s="171" t="s">
        <v>966</v>
      </c>
      <c r="N197" s="263" t="str">
        <f>VLOOKUP(D197,'[6]Bao cao So GDDT'!$D$14:$S$282,11,FALSE)</f>
        <v>Giảng viên GDNN LT (hạng III)</v>
      </c>
      <c r="O197" s="390" t="s">
        <v>1438</v>
      </c>
      <c r="P197" s="172" t="s">
        <v>692</v>
      </c>
      <c r="Q197" s="173">
        <v>4</v>
      </c>
      <c r="R197" s="174">
        <v>4.32</v>
      </c>
      <c r="S197" s="176">
        <f t="shared" si="154"/>
        <v>0.77759999999999996</v>
      </c>
      <c r="T197" s="370"/>
      <c r="U197" s="176">
        <f t="shared" si="164"/>
        <v>0</v>
      </c>
      <c r="V197" s="175">
        <f t="shared" si="162"/>
        <v>0</v>
      </c>
      <c r="W197" s="170"/>
      <c r="X197" s="179">
        <v>0.18</v>
      </c>
      <c r="Y197" s="216">
        <f t="shared" si="165"/>
        <v>0.77759999999999996</v>
      </c>
      <c r="Z197" s="216">
        <f t="shared" si="166"/>
        <v>5.0975999999999999</v>
      </c>
      <c r="AA197" s="180">
        <f t="shared" si="167"/>
        <v>9175680</v>
      </c>
      <c r="AB197" s="180"/>
      <c r="AC197" s="180">
        <f t="shared" si="168"/>
        <v>0</v>
      </c>
      <c r="AD197" s="180">
        <f>AA197/24*AB197*75%</f>
        <v>0</v>
      </c>
      <c r="AE197" s="180">
        <f t="shared" si="169"/>
        <v>9175680</v>
      </c>
      <c r="AF197" s="178">
        <f t="shared" si="159"/>
        <v>734054.40000000002</v>
      </c>
      <c r="AG197" s="178">
        <f t="shared" si="160"/>
        <v>137635.19999999998</v>
      </c>
      <c r="AH197" s="178">
        <f t="shared" si="161"/>
        <v>91756.800000000003</v>
      </c>
      <c r="AI197" s="178"/>
      <c r="AJ197" s="178">
        <f t="shared" si="170"/>
        <v>963446.4</v>
      </c>
      <c r="AK197" s="192"/>
      <c r="AL197" s="182">
        <f t="shared" si="156"/>
        <v>0</v>
      </c>
      <c r="AM197" s="182"/>
      <c r="AN197" s="182"/>
      <c r="AO197" s="193">
        <f t="shared" si="158"/>
        <v>4.32</v>
      </c>
      <c r="AP197" s="246">
        <v>0.45</v>
      </c>
      <c r="AQ197" s="194">
        <f t="shared" si="171"/>
        <v>1.944</v>
      </c>
      <c r="AR197" s="178">
        <f t="shared" si="172"/>
        <v>3499200</v>
      </c>
      <c r="AS197" s="178"/>
      <c r="AT197" s="178">
        <f t="shared" si="173"/>
        <v>11711434</v>
      </c>
      <c r="AU197" s="469">
        <f t="shared" si="174"/>
        <v>179</v>
      </c>
      <c r="AV197" s="195"/>
      <c r="AW197" s="186" t="s">
        <v>710</v>
      </c>
    </row>
    <row r="198" spans="1:49" s="189" customFormat="1" ht="31.5" customHeight="1" x14ac:dyDescent="0.25">
      <c r="A198" s="168">
        <f>_xlfn.AGGREGATE(4,7,A$13:A197)+1</f>
        <v>180</v>
      </c>
      <c r="B198" s="168" t="str">
        <f>VLOOKUP(D198,[1]LuongBC_T01!$B$9:$C$292,2,FALSE)</f>
        <v>0016100006727004</v>
      </c>
      <c r="C198" s="199" t="s">
        <v>926</v>
      </c>
      <c r="D198" s="169" t="s">
        <v>296</v>
      </c>
      <c r="E198" s="263" t="s">
        <v>1251</v>
      </c>
      <c r="F198" s="169" t="s">
        <v>549</v>
      </c>
      <c r="G198" s="200" t="s">
        <v>25</v>
      </c>
      <c r="H198" s="200" t="s">
        <v>283</v>
      </c>
      <c r="I198" s="170" t="s">
        <v>283</v>
      </c>
      <c r="J198" s="169" t="s">
        <v>526</v>
      </c>
      <c r="K198" s="170" t="str">
        <f>VLOOKUP(D198,[2]T3!$B$2:$D$328,3,FALSE)</f>
        <v>024935952</v>
      </c>
      <c r="L198" s="171" t="s">
        <v>328</v>
      </c>
      <c r="M198" s="171" t="s">
        <v>926</v>
      </c>
      <c r="N198" s="263" t="str">
        <f>VLOOKUP(D198,'[6]Bao cao So GDDT'!$D$14:$S$282,11,FALSE)</f>
        <v>Giảng viên GDNN LT (hạng III)</v>
      </c>
      <c r="O198" s="390" t="s">
        <v>1438</v>
      </c>
      <c r="P198" s="172" t="s">
        <v>692</v>
      </c>
      <c r="Q198" s="173">
        <v>3</v>
      </c>
      <c r="R198" s="174">
        <v>3.66</v>
      </c>
      <c r="S198" s="176">
        <f t="shared" si="154"/>
        <v>0.51239999999999997</v>
      </c>
      <c r="T198" s="370"/>
      <c r="U198" s="176">
        <f t="shared" si="164"/>
        <v>0</v>
      </c>
      <c r="V198" s="175">
        <f t="shared" si="162"/>
        <v>0</v>
      </c>
      <c r="W198" s="170"/>
      <c r="X198" s="179">
        <v>0.14000000000000001</v>
      </c>
      <c r="Y198" s="216">
        <f t="shared" si="165"/>
        <v>0.51239999999999997</v>
      </c>
      <c r="Z198" s="216">
        <f t="shared" si="166"/>
        <v>4.1723999999999997</v>
      </c>
      <c r="AA198" s="180">
        <f t="shared" si="167"/>
        <v>7510320</v>
      </c>
      <c r="AB198" s="180"/>
      <c r="AC198" s="180">
        <f t="shared" si="168"/>
        <v>0</v>
      </c>
      <c r="AD198" s="180">
        <f>AA198/24*AB198*75%</f>
        <v>0</v>
      </c>
      <c r="AE198" s="180">
        <f t="shared" si="169"/>
        <v>7510320</v>
      </c>
      <c r="AF198" s="178">
        <f t="shared" si="159"/>
        <v>600825.59999999998</v>
      </c>
      <c r="AG198" s="178">
        <f t="shared" si="160"/>
        <v>112654.8</v>
      </c>
      <c r="AH198" s="178">
        <f t="shared" si="161"/>
        <v>75103.199999999997</v>
      </c>
      <c r="AI198" s="178"/>
      <c r="AJ198" s="178">
        <f t="shared" si="170"/>
        <v>788583.6</v>
      </c>
      <c r="AK198" s="192"/>
      <c r="AL198" s="182">
        <f t="shared" si="156"/>
        <v>0</v>
      </c>
      <c r="AM198" s="182"/>
      <c r="AN198" s="182"/>
      <c r="AO198" s="193">
        <f t="shared" si="158"/>
        <v>3.66</v>
      </c>
      <c r="AP198" s="246">
        <v>0.45</v>
      </c>
      <c r="AQ198" s="194">
        <f t="shared" si="171"/>
        <v>1.647</v>
      </c>
      <c r="AR198" s="178">
        <f t="shared" si="172"/>
        <v>2964600</v>
      </c>
      <c r="AS198" s="178"/>
      <c r="AT198" s="178">
        <f t="shared" si="173"/>
        <v>9686336</v>
      </c>
      <c r="AU198" s="469">
        <f t="shared" si="174"/>
        <v>180</v>
      </c>
      <c r="AV198" s="195"/>
      <c r="AW198" s="198" t="s">
        <v>710</v>
      </c>
    </row>
    <row r="199" spans="1:49" s="935" customFormat="1" ht="51.75" customHeight="1" x14ac:dyDescent="0.25">
      <c r="A199" s="168">
        <f>_xlfn.AGGREGATE(4,7,A$13:A198)+1</f>
        <v>181</v>
      </c>
      <c r="B199" s="726" t="str">
        <f>VLOOKUP(D199,[1]LuongBC_T01!$B$9:$C$292,2,FALSE)</f>
        <v>0016100006645008</v>
      </c>
      <c r="C199" s="932" t="s">
        <v>1051</v>
      </c>
      <c r="D199" s="728" t="s">
        <v>1224</v>
      </c>
      <c r="E199" s="729" t="s">
        <v>1251</v>
      </c>
      <c r="F199" s="728" t="s">
        <v>549</v>
      </c>
      <c r="G199" s="751" t="s">
        <v>25</v>
      </c>
      <c r="H199" s="751" t="s">
        <v>283</v>
      </c>
      <c r="I199" s="751" t="s">
        <v>283</v>
      </c>
      <c r="J199" s="751" t="s">
        <v>578</v>
      </c>
      <c r="K199" s="726" t="s">
        <v>1336</v>
      </c>
      <c r="L199" s="752" t="s">
        <v>600</v>
      </c>
      <c r="M199" s="752" t="s">
        <v>1051</v>
      </c>
      <c r="N199" s="729" t="str">
        <f>VLOOKUP(D199,'[6]Bao cao So GDDT'!$D$14:$S$282,11,FALSE)</f>
        <v>Giảng viên GDNN LT (hạng III)</v>
      </c>
      <c r="O199" s="732" t="s">
        <v>1438</v>
      </c>
      <c r="P199" s="730" t="s">
        <v>692</v>
      </c>
      <c r="Q199" s="730">
        <v>3</v>
      </c>
      <c r="R199" s="933">
        <v>3.66</v>
      </c>
      <c r="S199" s="736">
        <f t="shared" si="154"/>
        <v>0.4758</v>
      </c>
      <c r="T199" s="755"/>
      <c r="U199" s="736">
        <f t="shared" si="164"/>
        <v>0</v>
      </c>
      <c r="V199" s="738">
        <f t="shared" si="162"/>
        <v>0</v>
      </c>
      <c r="W199" s="730"/>
      <c r="X199" s="739">
        <v>0.13</v>
      </c>
      <c r="Y199" s="740">
        <f t="shared" si="165"/>
        <v>0.4758</v>
      </c>
      <c r="Z199" s="740">
        <f t="shared" si="166"/>
        <v>4.1357999999999997</v>
      </c>
      <c r="AA199" s="741">
        <f t="shared" si="167"/>
        <v>7444440</v>
      </c>
      <c r="AB199" s="741">
        <v>24</v>
      </c>
      <c r="AC199" s="741">
        <f t="shared" si="168"/>
        <v>7444440</v>
      </c>
      <c r="AD199" s="741">
        <v>0</v>
      </c>
      <c r="AE199" s="741">
        <f t="shared" si="169"/>
        <v>0</v>
      </c>
      <c r="AF199" s="742">
        <v>0</v>
      </c>
      <c r="AG199" s="742">
        <v>0</v>
      </c>
      <c r="AH199" s="742">
        <v>0</v>
      </c>
      <c r="AI199" s="742"/>
      <c r="AJ199" s="742">
        <f t="shared" si="170"/>
        <v>0</v>
      </c>
      <c r="AK199" s="743"/>
      <c r="AL199" s="744">
        <f t="shared" si="156"/>
        <v>0</v>
      </c>
      <c r="AM199" s="744"/>
      <c r="AN199" s="744"/>
      <c r="AO199" s="756">
        <f t="shared" si="158"/>
        <v>3.66</v>
      </c>
      <c r="AP199" s="757">
        <v>0.45</v>
      </c>
      <c r="AQ199" s="758">
        <f t="shared" si="171"/>
        <v>1.647</v>
      </c>
      <c r="AR199" s="742">
        <f t="shared" si="172"/>
        <v>2964600</v>
      </c>
      <c r="AS199" s="742"/>
      <c r="AT199" s="742">
        <f t="shared" si="173"/>
        <v>2964600</v>
      </c>
      <c r="AU199" s="748">
        <f t="shared" si="174"/>
        <v>181</v>
      </c>
      <c r="AV199" s="749" t="s">
        <v>1642</v>
      </c>
      <c r="AW199" s="934" t="s">
        <v>710</v>
      </c>
    </row>
    <row r="200" spans="1:49" s="189" customFormat="1" ht="31.5" customHeight="1" x14ac:dyDescent="0.25">
      <c r="A200" s="168">
        <f>_xlfn.AGGREGATE(4,7,A$13:A199)+1</f>
        <v>182</v>
      </c>
      <c r="B200" s="168" t="str">
        <f>VLOOKUP(D200,[1]LuongBC_T01!$B$9:$C$292,2,FALSE)</f>
        <v>0016100005288007</v>
      </c>
      <c r="C200" s="199" t="s">
        <v>989</v>
      </c>
      <c r="D200" s="169" t="s">
        <v>568</v>
      </c>
      <c r="E200" s="263" t="s">
        <v>1251</v>
      </c>
      <c r="F200" s="169" t="s">
        <v>549</v>
      </c>
      <c r="G200" s="200" t="s">
        <v>25</v>
      </c>
      <c r="H200" s="200" t="s">
        <v>283</v>
      </c>
      <c r="I200" s="200" t="s">
        <v>283</v>
      </c>
      <c r="J200" s="200" t="s">
        <v>577</v>
      </c>
      <c r="K200" s="170" t="str">
        <f>VLOOKUP(D200,[2]T3!$B$2:$D$328,3,FALSE)</f>
        <v>025232273</v>
      </c>
      <c r="L200" s="201" t="s">
        <v>599</v>
      </c>
      <c r="M200" s="201" t="s">
        <v>989</v>
      </c>
      <c r="N200" s="263" t="str">
        <f>VLOOKUP(D200,'[6]Bao cao So GDDT'!$D$14:$S$282,11,FALSE)</f>
        <v>Giảng viên GDNN LT (hạng III)</v>
      </c>
      <c r="O200" s="390" t="s">
        <v>1438</v>
      </c>
      <c r="P200" s="170" t="s">
        <v>692</v>
      </c>
      <c r="Q200" s="170">
        <v>3</v>
      </c>
      <c r="R200" s="177">
        <v>3.66</v>
      </c>
      <c r="S200" s="176">
        <f t="shared" si="154"/>
        <v>0.4758</v>
      </c>
      <c r="T200" s="220"/>
      <c r="U200" s="176">
        <f t="shared" si="164"/>
        <v>0</v>
      </c>
      <c r="V200" s="175">
        <f t="shared" si="162"/>
        <v>0</v>
      </c>
      <c r="W200" s="170"/>
      <c r="X200" s="179">
        <v>0.13</v>
      </c>
      <c r="Y200" s="216">
        <f t="shared" si="165"/>
        <v>0.4758</v>
      </c>
      <c r="Z200" s="216">
        <f t="shared" si="166"/>
        <v>4.1357999999999997</v>
      </c>
      <c r="AA200" s="180">
        <f t="shared" si="167"/>
        <v>7444440</v>
      </c>
      <c r="AB200" s="180"/>
      <c r="AC200" s="180">
        <f t="shared" si="168"/>
        <v>0</v>
      </c>
      <c r="AD200" s="180">
        <f>AA200/24*AB200*75%</f>
        <v>0</v>
      </c>
      <c r="AE200" s="180">
        <f t="shared" si="169"/>
        <v>7444440</v>
      </c>
      <c r="AF200" s="178">
        <f t="shared" si="159"/>
        <v>595555.20000000007</v>
      </c>
      <c r="AG200" s="178">
        <f t="shared" si="160"/>
        <v>111666.59999999999</v>
      </c>
      <c r="AH200" s="178">
        <f t="shared" si="161"/>
        <v>74444.400000000009</v>
      </c>
      <c r="AI200" s="178"/>
      <c r="AJ200" s="178">
        <f t="shared" si="170"/>
        <v>781666.20000000007</v>
      </c>
      <c r="AK200" s="192"/>
      <c r="AL200" s="182">
        <f t="shared" si="156"/>
        <v>0</v>
      </c>
      <c r="AM200" s="182"/>
      <c r="AN200" s="182"/>
      <c r="AO200" s="193">
        <f t="shared" si="158"/>
        <v>3.66</v>
      </c>
      <c r="AP200" s="246">
        <v>0.45</v>
      </c>
      <c r="AQ200" s="194">
        <f t="shared" si="171"/>
        <v>1.647</v>
      </c>
      <c r="AR200" s="178">
        <f t="shared" si="172"/>
        <v>2964600</v>
      </c>
      <c r="AS200" s="178"/>
      <c r="AT200" s="178">
        <f t="shared" si="173"/>
        <v>9627374</v>
      </c>
      <c r="AU200" s="469">
        <f t="shared" si="174"/>
        <v>182</v>
      </c>
      <c r="AV200" s="195"/>
      <c r="AW200" s="198" t="s">
        <v>710</v>
      </c>
    </row>
    <row r="201" spans="1:49" s="189" customFormat="1" ht="31.5" customHeight="1" x14ac:dyDescent="0.25">
      <c r="A201" s="168">
        <f>_xlfn.AGGREGATE(4,7,A$13:A200)+1</f>
        <v>183</v>
      </c>
      <c r="B201" s="168" t="str">
        <f>VLOOKUP(D201,[1]LuongBC_T01!$B$9:$C$292,2,FALSE)</f>
        <v>0016100006578009</v>
      </c>
      <c r="C201" s="199" t="s">
        <v>962</v>
      </c>
      <c r="D201" s="230" t="s">
        <v>666</v>
      </c>
      <c r="E201" s="263" t="s">
        <v>1251</v>
      </c>
      <c r="F201" s="230" t="s">
        <v>549</v>
      </c>
      <c r="G201" s="170" t="s">
        <v>25</v>
      </c>
      <c r="H201" s="200" t="s">
        <v>283</v>
      </c>
      <c r="I201" s="200" t="s">
        <v>283</v>
      </c>
      <c r="J201" s="220"/>
      <c r="K201" s="170" t="str">
        <f>VLOOKUP(D201,[2]T3!$B$2:$D$328,3,FALSE)</f>
        <v>025294204</v>
      </c>
      <c r="L201" s="171" t="s">
        <v>667</v>
      </c>
      <c r="M201" s="171" t="s">
        <v>962</v>
      </c>
      <c r="N201" s="263" t="str">
        <f>VLOOKUP(D201,'[6]Bao cao So GDDT'!$D$14:$S$282,11,FALSE)</f>
        <v>Giảng viên GDNN LT (hạng III)</v>
      </c>
      <c r="O201" s="390" t="s">
        <v>1438</v>
      </c>
      <c r="P201" s="172" t="s">
        <v>692</v>
      </c>
      <c r="Q201" s="173">
        <v>4</v>
      </c>
      <c r="R201" s="174">
        <v>4.32</v>
      </c>
      <c r="S201" s="176">
        <f t="shared" si="154"/>
        <v>0.73440000000000005</v>
      </c>
      <c r="T201" s="370"/>
      <c r="U201" s="176">
        <f t="shared" si="164"/>
        <v>0</v>
      </c>
      <c r="V201" s="175">
        <f t="shared" si="162"/>
        <v>0</v>
      </c>
      <c r="W201" s="170"/>
      <c r="X201" s="179">
        <v>0.17</v>
      </c>
      <c r="Y201" s="216">
        <f t="shared" si="165"/>
        <v>0.73440000000000005</v>
      </c>
      <c r="Z201" s="216">
        <f t="shared" si="166"/>
        <v>5.0544000000000002</v>
      </c>
      <c r="AA201" s="180">
        <f t="shared" si="167"/>
        <v>9097920</v>
      </c>
      <c r="AB201" s="180"/>
      <c r="AC201" s="180">
        <f t="shared" si="168"/>
        <v>0</v>
      </c>
      <c r="AD201" s="180">
        <f>AA201/24*AB201*75%</f>
        <v>0</v>
      </c>
      <c r="AE201" s="180">
        <f t="shared" si="169"/>
        <v>9097920</v>
      </c>
      <c r="AF201" s="178">
        <f t="shared" si="159"/>
        <v>727833.59999999998</v>
      </c>
      <c r="AG201" s="178">
        <f t="shared" si="160"/>
        <v>136468.79999999999</v>
      </c>
      <c r="AH201" s="178">
        <f t="shared" si="161"/>
        <v>90979.199999999997</v>
      </c>
      <c r="AI201" s="178"/>
      <c r="AJ201" s="178">
        <f t="shared" si="170"/>
        <v>955281.59999999986</v>
      </c>
      <c r="AK201" s="192"/>
      <c r="AL201" s="182">
        <f t="shared" si="156"/>
        <v>0</v>
      </c>
      <c r="AM201" s="182"/>
      <c r="AN201" s="182"/>
      <c r="AO201" s="193">
        <f t="shared" si="158"/>
        <v>4.32</v>
      </c>
      <c r="AP201" s="246">
        <v>0.45</v>
      </c>
      <c r="AQ201" s="194">
        <f t="shared" si="171"/>
        <v>1.944</v>
      </c>
      <c r="AR201" s="178">
        <f t="shared" si="172"/>
        <v>3499200</v>
      </c>
      <c r="AS201" s="178"/>
      <c r="AT201" s="178">
        <f t="shared" si="173"/>
        <v>11641838</v>
      </c>
      <c r="AU201" s="469">
        <f t="shared" si="174"/>
        <v>183</v>
      </c>
      <c r="AV201" s="195"/>
      <c r="AW201" s="198" t="s">
        <v>710</v>
      </c>
    </row>
    <row r="202" spans="1:49" s="189" customFormat="1" ht="31.5" customHeight="1" x14ac:dyDescent="0.25">
      <c r="A202" s="168">
        <f>_xlfn.AGGREGATE(4,7,A$13:A201)+1</f>
        <v>184</v>
      </c>
      <c r="B202" s="168" t="str">
        <f>VLOOKUP(D202,[1]LuongBC_T01!$B$9:$C$292,2,FALSE)</f>
        <v>0016100006646004</v>
      </c>
      <c r="C202" s="387" t="s">
        <v>902</v>
      </c>
      <c r="D202" s="169" t="s">
        <v>814</v>
      </c>
      <c r="E202" s="263" t="s">
        <v>1251</v>
      </c>
      <c r="F202" s="220"/>
      <c r="G202" s="220" t="s">
        <v>25</v>
      </c>
      <c r="H202" s="220"/>
      <c r="I202" s="220"/>
      <c r="J202" s="220"/>
      <c r="K202" s="170">
        <v>186057737</v>
      </c>
      <c r="L202" s="220"/>
      <c r="M202" s="170" t="s">
        <v>902</v>
      </c>
      <c r="N202" s="263" t="str">
        <f>VLOOKUP(D202,'[6]Bao cao So GDDT'!$D$14:$S$282,11,FALSE)</f>
        <v>Giảng viên GDNN LT (hạng III)</v>
      </c>
      <c r="O202" s="390" t="s">
        <v>1438</v>
      </c>
      <c r="P202" s="170" t="s">
        <v>692</v>
      </c>
      <c r="Q202" s="170">
        <v>2</v>
      </c>
      <c r="R202" s="177">
        <v>3.33</v>
      </c>
      <c r="S202" s="176">
        <f t="shared" si="154"/>
        <v>0.26640000000000003</v>
      </c>
      <c r="T202" s="220"/>
      <c r="U202" s="176">
        <f t="shared" si="164"/>
        <v>0</v>
      </c>
      <c r="V202" s="175">
        <f t="shared" si="162"/>
        <v>0</v>
      </c>
      <c r="W202" s="170"/>
      <c r="X202" s="179">
        <v>0.08</v>
      </c>
      <c r="Y202" s="216">
        <f t="shared" si="165"/>
        <v>0.26640000000000003</v>
      </c>
      <c r="Z202" s="216">
        <f t="shared" si="166"/>
        <v>3.5964</v>
      </c>
      <c r="AA202" s="180">
        <f t="shared" si="167"/>
        <v>6473520</v>
      </c>
      <c r="AB202" s="180"/>
      <c r="AC202" s="180">
        <f t="shared" si="168"/>
        <v>0</v>
      </c>
      <c r="AD202" s="180">
        <v>0</v>
      </c>
      <c r="AE202" s="180">
        <f t="shared" si="169"/>
        <v>6473520</v>
      </c>
      <c r="AF202" s="178">
        <f t="shared" si="159"/>
        <v>517881.60000000003</v>
      </c>
      <c r="AG202" s="178">
        <f t="shared" si="160"/>
        <v>97102.8</v>
      </c>
      <c r="AH202" s="178">
        <f t="shared" si="161"/>
        <v>64735.200000000004</v>
      </c>
      <c r="AI202" s="178"/>
      <c r="AJ202" s="178">
        <f t="shared" si="170"/>
        <v>679719.6</v>
      </c>
      <c r="AK202" s="192"/>
      <c r="AL202" s="182">
        <f t="shared" si="156"/>
        <v>0</v>
      </c>
      <c r="AM202" s="182"/>
      <c r="AN202" s="182"/>
      <c r="AO202" s="183">
        <f t="shared" si="158"/>
        <v>3.33</v>
      </c>
      <c r="AP202" s="246">
        <v>0.45</v>
      </c>
      <c r="AQ202" s="185">
        <f t="shared" si="171"/>
        <v>1.4984999999999999</v>
      </c>
      <c r="AR202" s="178">
        <f t="shared" si="172"/>
        <v>2697300</v>
      </c>
      <c r="AS202" s="178"/>
      <c r="AT202" s="178">
        <f t="shared" si="173"/>
        <v>8491100</v>
      </c>
      <c r="AU202" s="469">
        <f t="shared" si="174"/>
        <v>184</v>
      </c>
      <c r="AV202" s="244"/>
      <c r="AW202" s="244" t="s">
        <v>1531</v>
      </c>
    </row>
    <row r="203" spans="1:49" s="189" customFormat="1" ht="31.5" customHeight="1" x14ac:dyDescent="0.25">
      <c r="A203" s="168">
        <f>_xlfn.AGGREGATE(4,7,A$13:A202)+1</f>
        <v>185</v>
      </c>
      <c r="B203" s="168" t="str">
        <f>VLOOKUP(D203,[1]LuongBC_T01!$B$9:$C$292,2,FALSE)</f>
        <v>0016100006729007</v>
      </c>
      <c r="C203" s="371" t="s">
        <v>1052</v>
      </c>
      <c r="D203" s="169" t="s">
        <v>1228</v>
      </c>
      <c r="E203" s="263" t="s">
        <v>1251</v>
      </c>
      <c r="F203" s="169" t="s">
        <v>549</v>
      </c>
      <c r="G203" s="200"/>
      <c r="H203" s="200" t="s">
        <v>283</v>
      </c>
      <c r="I203" s="200" t="s">
        <v>283</v>
      </c>
      <c r="J203" s="200" t="s">
        <v>589</v>
      </c>
      <c r="K203" s="170" t="str">
        <f>VLOOKUP(D203,[2]T3!$B$2:$D$328,3,FALSE)</f>
        <v>022472262</v>
      </c>
      <c r="L203" s="201" t="s">
        <v>611</v>
      </c>
      <c r="M203" s="201" t="s">
        <v>1052</v>
      </c>
      <c r="N203" s="263" t="str">
        <f>VLOOKUP(D203,'[6]Bao cao So GDDT'!$D$14:$S$282,11,FALSE)</f>
        <v>Giảng viên GDNN LT (hạng III)</v>
      </c>
      <c r="O203" s="390" t="s">
        <v>1438</v>
      </c>
      <c r="P203" s="170" t="s">
        <v>692</v>
      </c>
      <c r="Q203" s="170">
        <v>3</v>
      </c>
      <c r="R203" s="177">
        <v>3.66</v>
      </c>
      <c r="S203" s="176">
        <f t="shared" si="154"/>
        <v>0.4758</v>
      </c>
      <c r="T203" s="220"/>
      <c r="U203" s="176">
        <f t="shared" si="164"/>
        <v>0</v>
      </c>
      <c r="V203" s="175">
        <f t="shared" si="162"/>
        <v>0</v>
      </c>
      <c r="W203" s="170"/>
      <c r="X203" s="179">
        <v>0.13</v>
      </c>
      <c r="Y203" s="216">
        <f t="shared" si="165"/>
        <v>0.4758</v>
      </c>
      <c r="Z203" s="216">
        <f t="shared" si="166"/>
        <v>4.1357999999999997</v>
      </c>
      <c r="AA203" s="180">
        <f t="shared" si="167"/>
        <v>7444440</v>
      </c>
      <c r="AB203" s="180"/>
      <c r="AC203" s="180">
        <f t="shared" si="168"/>
        <v>0</v>
      </c>
      <c r="AD203" s="180">
        <v>0</v>
      </c>
      <c r="AE203" s="180">
        <f t="shared" si="169"/>
        <v>7444440</v>
      </c>
      <c r="AF203" s="178">
        <f t="shared" si="159"/>
        <v>595555.20000000007</v>
      </c>
      <c r="AG203" s="178">
        <f t="shared" si="160"/>
        <v>111666.59999999999</v>
      </c>
      <c r="AH203" s="178">
        <f t="shared" si="161"/>
        <v>74444.400000000009</v>
      </c>
      <c r="AI203" s="178"/>
      <c r="AJ203" s="178">
        <f t="shared" si="170"/>
        <v>781666.20000000007</v>
      </c>
      <c r="AK203" s="192"/>
      <c r="AL203" s="182">
        <f t="shared" si="156"/>
        <v>0</v>
      </c>
      <c r="AM203" s="182"/>
      <c r="AN203" s="182"/>
      <c r="AO203" s="193">
        <f t="shared" si="158"/>
        <v>3.66</v>
      </c>
      <c r="AP203" s="246">
        <v>0.25</v>
      </c>
      <c r="AQ203" s="194">
        <f t="shared" si="171"/>
        <v>0.91500000000000004</v>
      </c>
      <c r="AR203" s="178">
        <f t="shared" si="172"/>
        <v>1647000</v>
      </c>
      <c r="AS203" s="178"/>
      <c r="AT203" s="178">
        <f t="shared" si="173"/>
        <v>8309774</v>
      </c>
      <c r="AU203" s="469">
        <f t="shared" si="174"/>
        <v>185</v>
      </c>
      <c r="AV203" s="195"/>
      <c r="AW203" s="198" t="s">
        <v>710</v>
      </c>
    </row>
    <row r="204" spans="1:49" s="189" customFormat="1" ht="31.5" customHeight="1" x14ac:dyDescent="0.25">
      <c r="A204" s="168">
        <f>_xlfn.AGGREGATE(4,7,A$13:A203)+1</f>
        <v>186</v>
      </c>
      <c r="B204" s="168" t="str">
        <f>VLOOKUP(D204,[1]LuongBC_T01!$B$9:$C$292,2,FALSE)</f>
        <v>'0016100006822007</v>
      </c>
      <c r="C204" s="199" t="s">
        <v>1020</v>
      </c>
      <c r="D204" s="230" t="s">
        <v>753</v>
      </c>
      <c r="E204" s="263" t="s">
        <v>1251</v>
      </c>
      <c r="F204" s="231"/>
      <c r="G204" s="231"/>
      <c r="H204" s="231"/>
      <c r="I204" s="231"/>
      <c r="J204" s="231"/>
      <c r="K204" s="170" t="str">
        <f>VLOOKUP(D204,[2]T3!$B$2:$D$328,3,FALSE)</f>
        <v>024947914</v>
      </c>
      <c r="L204" s="253" t="s">
        <v>760</v>
      </c>
      <c r="M204" s="253" t="s">
        <v>1020</v>
      </c>
      <c r="N204" s="263" t="str">
        <f>VLOOKUP(D204,'[6]Bao cao So GDDT'!$D$14:$S$282,11,FALSE)</f>
        <v>Giảng viên GDNN LT (hạng III)</v>
      </c>
      <c r="O204" s="390" t="s">
        <v>1438</v>
      </c>
      <c r="P204" s="170" t="s">
        <v>692</v>
      </c>
      <c r="Q204" s="170">
        <v>2</v>
      </c>
      <c r="R204" s="177">
        <v>3.33</v>
      </c>
      <c r="S204" s="176">
        <f t="shared" si="154"/>
        <v>0.29970000000000002</v>
      </c>
      <c r="T204" s="169"/>
      <c r="U204" s="176">
        <f t="shared" si="164"/>
        <v>0</v>
      </c>
      <c r="V204" s="175"/>
      <c r="W204" s="170"/>
      <c r="X204" s="179">
        <v>0.09</v>
      </c>
      <c r="Y204" s="216">
        <f t="shared" si="165"/>
        <v>0.29970000000000002</v>
      </c>
      <c r="Z204" s="216">
        <f t="shared" si="166"/>
        <v>3.6297000000000001</v>
      </c>
      <c r="AA204" s="180">
        <f t="shared" si="167"/>
        <v>6533460</v>
      </c>
      <c r="AB204" s="180"/>
      <c r="AC204" s="180">
        <f t="shared" si="168"/>
        <v>0</v>
      </c>
      <c r="AD204" s="180">
        <v>0</v>
      </c>
      <c r="AE204" s="180">
        <f t="shared" si="169"/>
        <v>6533460</v>
      </c>
      <c r="AF204" s="178">
        <f t="shared" si="159"/>
        <v>522676.8</v>
      </c>
      <c r="AG204" s="178">
        <f t="shared" si="160"/>
        <v>98001.9</v>
      </c>
      <c r="AH204" s="178">
        <f t="shared" si="161"/>
        <v>65334.6</v>
      </c>
      <c r="AI204" s="178"/>
      <c r="AJ204" s="178">
        <f t="shared" si="170"/>
        <v>686013.29999999993</v>
      </c>
      <c r="AK204" s="192"/>
      <c r="AL204" s="182">
        <f t="shared" si="156"/>
        <v>0</v>
      </c>
      <c r="AM204" s="182"/>
      <c r="AN204" s="182"/>
      <c r="AO204" s="183">
        <f t="shared" si="158"/>
        <v>3.33</v>
      </c>
      <c r="AP204" s="246">
        <v>0.25</v>
      </c>
      <c r="AQ204" s="194">
        <f t="shared" si="171"/>
        <v>0.83250000000000002</v>
      </c>
      <c r="AR204" s="178">
        <f t="shared" si="172"/>
        <v>1498500</v>
      </c>
      <c r="AS204" s="178"/>
      <c r="AT204" s="178">
        <f t="shared" si="173"/>
        <v>7345947</v>
      </c>
      <c r="AU204" s="469">
        <f t="shared" si="174"/>
        <v>186</v>
      </c>
      <c r="AV204" s="195"/>
      <c r="AW204" s="196" t="e">
        <f>AW186*11</f>
        <v>#REF!</v>
      </c>
    </row>
    <row r="205" spans="1:49" s="189" customFormat="1" ht="31.5" customHeight="1" x14ac:dyDescent="0.25">
      <c r="A205" s="168">
        <f>_xlfn.AGGREGATE(4,7,A$13:A204)+1</f>
        <v>187</v>
      </c>
      <c r="B205" s="168" t="str">
        <f>VLOOKUP(D205,[1]LuongBC_T01!$B$9:$C$292,2,FALSE)</f>
        <v>0016100007759007</v>
      </c>
      <c r="C205" s="170" t="s">
        <v>1315</v>
      </c>
      <c r="D205" s="169" t="s">
        <v>1296</v>
      </c>
      <c r="E205" s="263" t="s">
        <v>1598</v>
      </c>
      <c r="F205" s="220"/>
      <c r="G205" s="220"/>
      <c r="H205" s="220"/>
      <c r="I205" s="220"/>
      <c r="J205" s="220"/>
      <c r="K205" s="170" t="str">
        <f>VLOOKUP(D205,[2]T3!$B$2:$D$328,3,FALSE)</f>
        <v>300881563</v>
      </c>
      <c r="L205" s="220"/>
      <c r="M205" s="170"/>
      <c r="N205" s="263" t="str">
        <f>VLOOKUP(D205,'[6]Bao cao So GDDT'!$D$14:$S$282,11,FALSE)</f>
        <v>Giảng viên GDNN LT (hạng III)</v>
      </c>
      <c r="O205" s="390" t="s">
        <v>1438</v>
      </c>
      <c r="P205" s="251"/>
      <c r="Q205" s="251"/>
      <c r="R205" s="177">
        <v>3.66</v>
      </c>
      <c r="S205" s="176">
        <f t="shared" si="154"/>
        <v>1.2309000000000001</v>
      </c>
      <c r="T205" s="220"/>
      <c r="U205" s="176">
        <f t="shared" si="164"/>
        <v>0</v>
      </c>
      <c r="V205" s="175"/>
      <c r="W205" s="170">
        <v>0.45</v>
      </c>
      <c r="X205" s="179">
        <v>0.19</v>
      </c>
      <c r="Y205" s="216">
        <f t="shared" si="165"/>
        <v>0.78090000000000004</v>
      </c>
      <c r="Z205" s="216">
        <f t="shared" si="166"/>
        <v>4.8909000000000002</v>
      </c>
      <c r="AA205" s="180">
        <f t="shared" si="167"/>
        <v>8803620</v>
      </c>
      <c r="AB205" s="180"/>
      <c r="AC205" s="180">
        <f t="shared" si="168"/>
        <v>0</v>
      </c>
      <c r="AD205" s="180">
        <f>AA205/24*AB205*75%</f>
        <v>0</v>
      </c>
      <c r="AE205" s="180">
        <f t="shared" si="169"/>
        <v>8803620</v>
      </c>
      <c r="AF205" s="178">
        <f t="shared" si="159"/>
        <v>704289.6</v>
      </c>
      <c r="AG205" s="178">
        <f t="shared" si="160"/>
        <v>132054.29999999999</v>
      </c>
      <c r="AH205" s="178">
        <f t="shared" si="161"/>
        <v>88036.2</v>
      </c>
      <c r="AI205" s="178"/>
      <c r="AJ205" s="178">
        <f t="shared" si="170"/>
        <v>924380.09999999986</v>
      </c>
      <c r="AK205" s="192"/>
      <c r="AL205" s="182">
        <f t="shared" si="156"/>
        <v>0</v>
      </c>
      <c r="AM205" s="182"/>
      <c r="AN205" s="182"/>
      <c r="AO205" s="183">
        <f t="shared" si="158"/>
        <v>4.1100000000000003</v>
      </c>
      <c r="AP205" s="246">
        <v>0.25</v>
      </c>
      <c r="AQ205" s="185">
        <f t="shared" si="171"/>
        <v>1.0275000000000001</v>
      </c>
      <c r="AR205" s="178">
        <f t="shared" si="172"/>
        <v>1849500</v>
      </c>
      <c r="AS205" s="178"/>
      <c r="AT205" s="178">
        <f t="shared" si="173"/>
        <v>9728740</v>
      </c>
      <c r="AU205" s="469">
        <f t="shared" si="174"/>
        <v>187</v>
      </c>
      <c r="AV205" s="195"/>
      <c r="AW205" s="485"/>
    </row>
    <row r="206" spans="1:49" s="189" customFormat="1" ht="30.75" customHeight="1" x14ac:dyDescent="0.25">
      <c r="A206" s="168">
        <f>_xlfn.AGGREGATE(4,7,A$13:A205)+1</f>
        <v>188</v>
      </c>
      <c r="B206" s="168" t="str">
        <f>VLOOKUP(D206,[1]LuongBC_T01!$B$9:$C$292,2,FALSE)</f>
        <v>0016100006738006</v>
      </c>
      <c r="C206" s="199" t="s">
        <v>924</v>
      </c>
      <c r="D206" s="169" t="s">
        <v>1207</v>
      </c>
      <c r="E206" s="263" t="s">
        <v>1260</v>
      </c>
      <c r="F206" s="169" t="s">
        <v>549</v>
      </c>
      <c r="G206" s="170" t="s">
        <v>25</v>
      </c>
      <c r="H206" s="200" t="s">
        <v>283</v>
      </c>
      <c r="I206" s="200" t="s">
        <v>283</v>
      </c>
      <c r="J206" s="220" t="s">
        <v>261</v>
      </c>
      <c r="K206" s="170" t="str">
        <f>VLOOKUP(D206,[2]T3!$B$2:$D$328,3,FALSE)</f>
        <v>023646525</v>
      </c>
      <c r="L206" s="171" t="s">
        <v>171</v>
      </c>
      <c r="M206" s="171" t="s">
        <v>924</v>
      </c>
      <c r="N206" s="263" t="str">
        <f>VLOOKUP(D206,'[6]Bao cao So GDDT'!$D$14:$S$282,11,FALSE)</f>
        <v>Giảng viên GDNN LT (hạng III)</v>
      </c>
      <c r="O206" s="390" t="s">
        <v>1438</v>
      </c>
      <c r="P206" s="172" t="s">
        <v>692</v>
      </c>
      <c r="Q206" s="173">
        <v>4</v>
      </c>
      <c r="R206" s="174">
        <v>4.32</v>
      </c>
      <c r="S206" s="176">
        <f t="shared" si="154"/>
        <v>0.69120000000000004</v>
      </c>
      <c r="T206" s="370"/>
      <c r="U206" s="176">
        <f t="shared" si="164"/>
        <v>0</v>
      </c>
      <c r="V206" s="175">
        <f t="shared" ref="V206:V216" si="175">R206*T206*$D$8/100</f>
        <v>0</v>
      </c>
      <c r="W206" s="170"/>
      <c r="X206" s="179">
        <v>0.16</v>
      </c>
      <c r="Y206" s="216">
        <f t="shared" si="165"/>
        <v>0.69120000000000004</v>
      </c>
      <c r="Z206" s="216">
        <f t="shared" si="166"/>
        <v>5.0112000000000005</v>
      </c>
      <c r="AA206" s="180">
        <f t="shared" si="167"/>
        <v>9020160</v>
      </c>
      <c r="AB206" s="180"/>
      <c r="AC206" s="180">
        <f t="shared" si="168"/>
        <v>0</v>
      </c>
      <c r="AD206" s="180">
        <v>0</v>
      </c>
      <c r="AE206" s="180">
        <f t="shared" si="169"/>
        <v>9020160</v>
      </c>
      <c r="AF206" s="178">
        <f t="shared" si="159"/>
        <v>721612.80000000005</v>
      </c>
      <c r="AG206" s="178">
        <f t="shared" si="160"/>
        <v>135302.39999999999</v>
      </c>
      <c r="AH206" s="178">
        <f t="shared" si="161"/>
        <v>90201.600000000006</v>
      </c>
      <c r="AI206" s="178"/>
      <c r="AJ206" s="178">
        <f t="shared" si="170"/>
        <v>947116.8</v>
      </c>
      <c r="AK206" s="192"/>
      <c r="AL206" s="182">
        <f t="shared" ref="AL206:AL218" si="176">AK206*$D$8</f>
        <v>0</v>
      </c>
      <c r="AM206" s="182"/>
      <c r="AN206" s="182"/>
      <c r="AO206" s="193">
        <f t="shared" si="158"/>
        <v>4.32</v>
      </c>
      <c r="AP206" s="246">
        <v>0.25</v>
      </c>
      <c r="AQ206" s="194">
        <f t="shared" si="171"/>
        <v>1.08</v>
      </c>
      <c r="AR206" s="178">
        <f t="shared" si="172"/>
        <v>1944000</v>
      </c>
      <c r="AS206" s="178"/>
      <c r="AT206" s="178">
        <f t="shared" si="173"/>
        <v>10017043</v>
      </c>
      <c r="AU206" s="469">
        <f t="shared" si="174"/>
        <v>188</v>
      </c>
      <c r="AV206" s="195"/>
      <c r="AW206" s="187" t="s">
        <v>711</v>
      </c>
    </row>
    <row r="207" spans="1:49" s="189" customFormat="1" ht="32.25" customHeight="1" x14ac:dyDescent="0.25">
      <c r="A207" s="168">
        <f>_xlfn.AGGREGATE(4,7,A$13:A206)+1</f>
        <v>189</v>
      </c>
      <c r="B207" s="168" t="str">
        <f>VLOOKUP(D207,[1]LuongBC_T01!$B$9:$C$292,2,FALSE)</f>
        <v>0016100006791004</v>
      </c>
      <c r="C207" s="199" t="s">
        <v>970</v>
      </c>
      <c r="D207" s="169" t="s">
        <v>66</v>
      </c>
      <c r="E207" s="263" t="s">
        <v>1260</v>
      </c>
      <c r="F207" s="169" t="s">
        <v>549</v>
      </c>
      <c r="G207" s="200"/>
      <c r="H207" s="170" t="s">
        <v>283</v>
      </c>
      <c r="I207" s="170" t="s">
        <v>283</v>
      </c>
      <c r="J207" s="169" t="s">
        <v>244</v>
      </c>
      <c r="K207" s="170" t="str">
        <f>VLOOKUP(D207,[2]T3!$B$2:$D$328,3,FALSE)</f>
        <v>024723439</v>
      </c>
      <c r="L207" s="171" t="s">
        <v>138</v>
      </c>
      <c r="M207" s="171" t="s">
        <v>970</v>
      </c>
      <c r="N207" s="263" t="str">
        <f>VLOOKUP(D207,'[6]Bao cao So GDDT'!$D$14:$S$282,11,FALSE)</f>
        <v>Giảng viên GDNN LT (hạng III)</v>
      </c>
      <c r="O207" s="390" t="s">
        <v>1438</v>
      </c>
      <c r="P207" s="172" t="s">
        <v>692</v>
      </c>
      <c r="Q207" s="173">
        <v>4</v>
      </c>
      <c r="R207" s="174">
        <v>3.99</v>
      </c>
      <c r="S207" s="176">
        <f t="shared" si="154"/>
        <v>0.59850000000000003</v>
      </c>
      <c r="T207" s="370"/>
      <c r="U207" s="176">
        <f t="shared" si="164"/>
        <v>0</v>
      </c>
      <c r="V207" s="175">
        <f t="shared" si="175"/>
        <v>0</v>
      </c>
      <c r="W207" s="170"/>
      <c r="X207" s="179">
        <v>0.15</v>
      </c>
      <c r="Y207" s="216">
        <f t="shared" si="165"/>
        <v>0.59850000000000003</v>
      </c>
      <c r="Z207" s="216">
        <f t="shared" si="166"/>
        <v>4.5884999999999998</v>
      </c>
      <c r="AA207" s="180">
        <f t="shared" si="167"/>
        <v>8259300</v>
      </c>
      <c r="AB207" s="180"/>
      <c r="AC207" s="180">
        <f t="shared" si="168"/>
        <v>0</v>
      </c>
      <c r="AD207" s="180">
        <f t="shared" ref="AD207:AD213" si="177">AA207/24*AB207*75%</f>
        <v>0</v>
      </c>
      <c r="AE207" s="180">
        <f t="shared" si="169"/>
        <v>8259300</v>
      </c>
      <c r="AF207" s="178">
        <f t="shared" ref="AF207:AF236" si="178">AA207*8%</f>
        <v>660744</v>
      </c>
      <c r="AG207" s="178">
        <f t="shared" ref="AG207:AG236" si="179">AA207*1.5%</f>
        <v>123889.5</v>
      </c>
      <c r="AH207" s="178">
        <f t="shared" ref="AH207:AH236" si="180">AA207*1%</f>
        <v>82593</v>
      </c>
      <c r="AI207" s="178"/>
      <c r="AJ207" s="178">
        <f t="shared" si="170"/>
        <v>867226.5</v>
      </c>
      <c r="AK207" s="192"/>
      <c r="AL207" s="182">
        <f t="shared" si="176"/>
        <v>0</v>
      </c>
      <c r="AM207" s="182"/>
      <c r="AN207" s="182"/>
      <c r="AO207" s="193">
        <f t="shared" si="158"/>
        <v>3.99</v>
      </c>
      <c r="AP207" s="246">
        <v>0.25</v>
      </c>
      <c r="AQ207" s="194">
        <f t="shared" si="171"/>
        <v>0.99750000000000005</v>
      </c>
      <c r="AR207" s="178">
        <f t="shared" si="172"/>
        <v>1795500</v>
      </c>
      <c r="AS207" s="178"/>
      <c r="AT207" s="178">
        <f t="shared" si="173"/>
        <v>9187574</v>
      </c>
      <c r="AU207" s="469">
        <f t="shared" si="174"/>
        <v>189</v>
      </c>
      <c r="AV207" s="186"/>
      <c r="AW207" s="198" t="s">
        <v>711</v>
      </c>
    </row>
    <row r="208" spans="1:49" s="189" customFormat="1" ht="32.25" customHeight="1" x14ac:dyDescent="0.25">
      <c r="A208" s="168">
        <f>_xlfn.AGGREGATE(4,7,A$13:A207)+1</f>
        <v>190</v>
      </c>
      <c r="B208" s="168" t="str">
        <f>VLOOKUP(D208,[1]LuongBC_T01!$B$9:$C$292,2,FALSE)</f>
        <v>0016100006629002</v>
      </c>
      <c r="C208" s="199" t="s">
        <v>971</v>
      </c>
      <c r="D208" s="169" t="s">
        <v>59</v>
      </c>
      <c r="E208" s="263" t="s">
        <v>1260</v>
      </c>
      <c r="F208" s="169" t="s">
        <v>549</v>
      </c>
      <c r="G208" s="200"/>
      <c r="H208" s="170" t="s">
        <v>283</v>
      </c>
      <c r="I208" s="170" t="s">
        <v>283</v>
      </c>
      <c r="J208" s="169" t="s">
        <v>241</v>
      </c>
      <c r="K208" s="170" t="str">
        <f>VLOOKUP(D208,[2]T3!$B$2:$D$328,3,FALSE)</f>
        <v>023099369</v>
      </c>
      <c r="L208" s="171" t="s">
        <v>139</v>
      </c>
      <c r="M208" s="171" t="s">
        <v>971</v>
      </c>
      <c r="N208" s="263" t="str">
        <f>VLOOKUP(D208,'[6]Bao cao So GDDT'!$D$14:$S$282,11,FALSE)</f>
        <v>Giảng viên GDNN LT (hạng III)</v>
      </c>
      <c r="O208" s="390" t="s">
        <v>1438</v>
      </c>
      <c r="P208" s="172" t="s">
        <v>692</v>
      </c>
      <c r="Q208" s="173">
        <v>4</v>
      </c>
      <c r="R208" s="174">
        <v>3.99</v>
      </c>
      <c r="S208" s="176">
        <f t="shared" si="154"/>
        <v>0.59850000000000003</v>
      </c>
      <c r="T208" s="370"/>
      <c r="U208" s="176">
        <f t="shared" si="164"/>
        <v>0</v>
      </c>
      <c r="V208" s="175">
        <f t="shared" si="175"/>
        <v>0</v>
      </c>
      <c r="W208" s="170"/>
      <c r="X208" s="179">
        <v>0.15</v>
      </c>
      <c r="Y208" s="216">
        <f t="shared" si="165"/>
        <v>0.59850000000000003</v>
      </c>
      <c r="Z208" s="216">
        <f t="shared" si="166"/>
        <v>4.5884999999999998</v>
      </c>
      <c r="AA208" s="180">
        <f t="shared" si="167"/>
        <v>8259300</v>
      </c>
      <c r="AB208" s="180"/>
      <c r="AC208" s="180">
        <f t="shared" si="168"/>
        <v>0</v>
      </c>
      <c r="AD208" s="180">
        <f t="shared" si="177"/>
        <v>0</v>
      </c>
      <c r="AE208" s="180">
        <f t="shared" si="169"/>
        <v>8259300</v>
      </c>
      <c r="AF208" s="178">
        <f t="shared" si="178"/>
        <v>660744</v>
      </c>
      <c r="AG208" s="178">
        <f t="shared" si="179"/>
        <v>123889.5</v>
      </c>
      <c r="AH208" s="178">
        <f t="shared" si="180"/>
        <v>82593</v>
      </c>
      <c r="AI208" s="178"/>
      <c r="AJ208" s="178">
        <f t="shared" si="170"/>
        <v>867226.5</v>
      </c>
      <c r="AK208" s="192"/>
      <c r="AL208" s="182">
        <f t="shared" si="176"/>
        <v>0</v>
      </c>
      <c r="AM208" s="182"/>
      <c r="AN208" s="182"/>
      <c r="AO208" s="193">
        <f t="shared" si="158"/>
        <v>3.99</v>
      </c>
      <c r="AP208" s="246">
        <v>0.25</v>
      </c>
      <c r="AQ208" s="194">
        <f t="shared" si="171"/>
        <v>0.99750000000000005</v>
      </c>
      <c r="AR208" s="178">
        <f t="shared" si="172"/>
        <v>1795500</v>
      </c>
      <c r="AS208" s="178"/>
      <c r="AT208" s="178">
        <f t="shared" si="173"/>
        <v>9187574</v>
      </c>
      <c r="AU208" s="469">
        <f t="shared" si="174"/>
        <v>190</v>
      </c>
      <c r="AV208" s="186"/>
      <c r="AW208" s="187" t="s">
        <v>711</v>
      </c>
    </row>
    <row r="209" spans="1:49" s="189" customFormat="1" ht="32.25" customHeight="1" x14ac:dyDescent="0.25">
      <c r="A209" s="168">
        <f>_xlfn.AGGREGATE(4,7,A$13:A208)+1</f>
        <v>191</v>
      </c>
      <c r="B209" s="168" t="str">
        <f>VLOOKUP(D209,[1]LuongBC_T01!$B$9:$C$292,2,FALSE)</f>
        <v>0016100006816007</v>
      </c>
      <c r="C209" s="199" t="s">
        <v>980</v>
      </c>
      <c r="D209" s="169" t="s">
        <v>302</v>
      </c>
      <c r="E209" s="263" t="s">
        <v>1260</v>
      </c>
      <c r="F209" s="169" t="s">
        <v>549</v>
      </c>
      <c r="G209" s="200"/>
      <c r="H209" s="200" t="s">
        <v>283</v>
      </c>
      <c r="I209" s="170" t="s">
        <v>283</v>
      </c>
      <c r="J209" s="169" t="s">
        <v>531</v>
      </c>
      <c r="K209" s="170" t="str">
        <f>VLOOKUP(D209,[2]T3!$B$2:$D$328,3,FALSE)</f>
        <v>025091414</v>
      </c>
      <c r="L209" s="171" t="s">
        <v>340</v>
      </c>
      <c r="M209" s="171" t="s">
        <v>980</v>
      </c>
      <c r="N209" s="263" t="str">
        <f>VLOOKUP(D209,'[6]Bao cao So GDDT'!$D$14:$S$282,11,FALSE)</f>
        <v>Giảng viên GDNN LT (hạng III)</v>
      </c>
      <c r="O209" s="390" t="s">
        <v>1438</v>
      </c>
      <c r="P209" s="172" t="s">
        <v>692</v>
      </c>
      <c r="Q209" s="173">
        <v>3</v>
      </c>
      <c r="R209" s="174">
        <v>3.66</v>
      </c>
      <c r="S209" s="176">
        <f t="shared" si="154"/>
        <v>0.51239999999999997</v>
      </c>
      <c r="T209" s="370"/>
      <c r="U209" s="176">
        <f t="shared" si="164"/>
        <v>0</v>
      </c>
      <c r="V209" s="175">
        <f t="shared" si="175"/>
        <v>0</v>
      </c>
      <c r="W209" s="170"/>
      <c r="X209" s="179">
        <v>0.14000000000000001</v>
      </c>
      <c r="Y209" s="216">
        <f t="shared" si="165"/>
        <v>0.51239999999999997</v>
      </c>
      <c r="Z209" s="216">
        <f t="shared" si="166"/>
        <v>4.1723999999999997</v>
      </c>
      <c r="AA209" s="180">
        <f t="shared" si="167"/>
        <v>7510320</v>
      </c>
      <c r="AB209" s="180"/>
      <c r="AC209" s="180">
        <f t="shared" si="168"/>
        <v>0</v>
      </c>
      <c r="AD209" s="180">
        <f t="shared" si="177"/>
        <v>0</v>
      </c>
      <c r="AE209" s="180">
        <f t="shared" si="169"/>
        <v>7510320</v>
      </c>
      <c r="AF209" s="178">
        <f t="shared" si="178"/>
        <v>600825.59999999998</v>
      </c>
      <c r="AG209" s="178">
        <f t="shared" si="179"/>
        <v>112654.8</v>
      </c>
      <c r="AH209" s="178">
        <f t="shared" si="180"/>
        <v>75103.199999999997</v>
      </c>
      <c r="AI209" s="178"/>
      <c r="AJ209" s="178">
        <f t="shared" si="170"/>
        <v>788583.6</v>
      </c>
      <c r="AK209" s="192"/>
      <c r="AL209" s="182">
        <f t="shared" si="176"/>
        <v>0</v>
      </c>
      <c r="AM209" s="182"/>
      <c r="AN209" s="182"/>
      <c r="AO209" s="193">
        <f t="shared" si="158"/>
        <v>3.66</v>
      </c>
      <c r="AP209" s="246">
        <v>0.25</v>
      </c>
      <c r="AQ209" s="194">
        <f t="shared" si="171"/>
        <v>0.91500000000000004</v>
      </c>
      <c r="AR209" s="178">
        <f t="shared" si="172"/>
        <v>1647000</v>
      </c>
      <c r="AS209" s="178"/>
      <c r="AT209" s="178">
        <f t="shared" si="173"/>
        <v>8368736</v>
      </c>
      <c r="AU209" s="469">
        <f t="shared" si="174"/>
        <v>191</v>
      </c>
      <c r="AV209" s="186"/>
      <c r="AW209" s="187" t="s">
        <v>711</v>
      </c>
    </row>
    <row r="210" spans="1:49" s="189" customFormat="1" ht="32.25" customHeight="1" x14ac:dyDescent="0.25">
      <c r="A210" s="168">
        <f>_xlfn.AGGREGATE(4,7,A$13:A209)+1</f>
        <v>192</v>
      </c>
      <c r="B210" s="168" t="str">
        <f>VLOOKUP(D210,[1]LuongBC_T01!$B$9:$C$292,2,FALSE)</f>
        <v>0016100006508008</v>
      </c>
      <c r="C210" s="199" t="s">
        <v>910</v>
      </c>
      <c r="D210" s="169" t="s">
        <v>305</v>
      </c>
      <c r="E210" s="263" t="s">
        <v>1260</v>
      </c>
      <c r="F210" s="169" t="s">
        <v>549</v>
      </c>
      <c r="G210" s="200"/>
      <c r="H210" s="170" t="s">
        <v>283</v>
      </c>
      <c r="I210" s="170" t="s">
        <v>283</v>
      </c>
      <c r="J210" s="169" t="s">
        <v>534</v>
      </c>
      <c r="K210" s="170" t="str">
        <f>VLOOKUP(D210,[2]T3!$B$2:$D$328,3,FALSE)</f>
        <v>022354694</v>
      </c>
      <c r="L210" s="171" t="s">
        <v>331</v>
      </c>
      <c r="M210" s="171" t="s">
        <v>910</v>
      </c>
      <c r="N210" s="263" t="str">
        <f>VLOOKUP(D210,'[6]Bao cao So GDDT'!$D$14:$S$282,11,FALSE)</f>
        <v>Giảng viên GDNN LT (hạng III)</v>
      </c>
      <c r="O210" s="390" t="s">
        <v>1438</v>
      </c>
      <c r="P210" s="172" t="s">
        <v>692</v>
      </c>
      <c r="Q210" s="173">
        <v>3</v>
      </c>
      <c r="R210" s="174">
        <v>3.99</v>
      </c>
      <c r="S210" s="176">
        <f t="shared" si="154"/>
        <v>0.63839999999999997</v>
      </c>
      <c r="T210" s="370"/>
      <c r="U210" s="176">
        <f t="shared" si="164"/>
        <v>0</v>
      </c>
      <c r="V210" s="175">
        <f t="shared" si="175"/>
        <v>0</v>
      </c>
      <c r="W210" s="170"/>
      <c r="X210" s="179">
        <v>0.16</v>
      </c>
      <c r="Y210" s="216">
        <f t="shared" si="165"/>
        <v>0.63839999999999997</v>
      </c>
      <c r="Z210" s="216">
        <f t="shared" si="166"/>
        <v>4.6284000000000001</v>
      </c>
      <c r="AA210" s="180">
        <f t="shared" si="167"/>
        <v>8331120</v>
      </c>
      <c r="AB210" s="180"/>
      <c r="AC210" s="180">
        <f t="shared" si="168"/>
        <v>0</v>
      </c>
      <c r="AD210" s="180">
        <f t="shared" si="177"/>
        <v>0</v>
      </c>
      <c r="AE210" s="180">
        <f t="shared" si="169"/>
        <v>8331120</v>
      </c>
      <c r="AF210" s="178">
        <f t="shared" si="178"/>
        <v>666489.59999999998</v>
      </c>
      <c r="AG210" s="178">
        <f t="shared" si="179"/>
        <v>124966.79999999999</v>
      </c>
      <c r="AH210" s="178">
        <f t="shared" si="180"/>
        <v>83311.199999999997</v>
      </c>
      <c r="AI210" s="178"/>
      <c r="AJ210" s="178">
        <f t="shared" si="170"/>
        <v>874767.59999999986</v>
      </c>
      <c r="AK210" s="192"/>
      <c r="AL210" s="182">
        <f t="shared" si="176"/>
        <v>0</v>
      </c>
      <c r="AM210" s="182"/>
      <c r="AN210" s="182"/>
      <c r="AO210" s="193">
        <f t="shared" si="158"/>
        <v>3.99</v>
      </c>
      <c r="AP210" s="246">
        <v>0.25</v>
      </c>
      <c r="AQ210" s="194">
        <f t="shared" si="171"/>
        <v>0.99750000000000005</v>
      </c>
      <c r="AR210" s="178">
        <f t="shared" si="172"/>
        <v>1795500</v>
      </c>
      <c r="AS210" s="178"/>
      <c r="AT210" s="178">
        <f t="shared" si="173"/>
        <v>9251852</v>
      </c>
      <c r="AU210" s="469">
        <f t="shared" si="174"/>
        <v>192</v>
      </c>
      <c r="AV210" s="195"/>
      <c r="AW210" s="187" t="s">
        <v>711</v>
      </c>
    </row>
    <row r="211" spans="1:49" s="189" customFormat="1" ht="32.25" customHeight="1" x14ac:dyDescent="0.25">
      <c r="A211" s="168">
        <f>_xlfn.AGGREGATE(4,7,A$13:A210)+1</f>
        <v>193</v>
      </c>
      <c r="B211" s="168" t="str">
        <f>VLOOKUP(D211,[1]LuongBC_T01!$B$9:$C$292,2,FALSE)</f>
        <v>0016100006809008</v>
      </c>
      <c r="C211" s="199" t="s">
        <v>975</v>
      </c>
      <c r="D211" s="169" t="s">
        <v>310</v>
      </c>
      <c r="E211" s="263" t="s">
        <v>1260</v>
      </c>
      <c r="F211" s="169" t="s">
        <v>549</v>
      </c>
      <c r="G211" s="200" t="s">
        <v>25</v>
      </c>
      <c r="H211" s="200" t="s">
        <v>283</v>
      </c>
      <c r="I211" s="170" t="s">
        <v>283</v>
      </c>
      <c r="J211" s="169" t="s">
        <v>544</v>
      </c>
      <c r="K211" s="170" t="str">
        <f>VLOOKUP(D211,[2]T3!$B$2:$D$328,3,FALSE)</f>
        <v>025078389</v>
      </c>
      <c r="L211" s="171" t="s">
        <v>335</v>
      </c>
      <c r="M211" s="171" t="s">
        <v>975</v>
      </c>
      <c r="N211" s="263" t="str">
        <f>VLOOKUP(D211,'[6]Bao cao So GDDT'!$D$14:$S$282,11,FALSE)</f>
        <v>Giảng viên GDNN LT (hạng III)</v>
      </c>
      <c r="O211" s="390" t="s">
        <v>1438</v>
      </c>
      <c r="P211" s="172" t="s">
        <v>692</v>
      </c>
      <c r="Q211" s="173">
        <v>4</v>
      </c>
      <c r="R211" s="174">
        <v>3.99</v>
      </c>
      <c r="S211" s="176">
        <f t="shared" si="154"/>
        <v>0.63839999999999997</v>
      </c>
      <c r="T211" s="370"/>
      <c r="U211" s="176">
        <f t="shared" si="164"/>
        <v>0</v>
      </c>
      <c r="V211" s="175">
        <f t="shared" si="175"/>
        <v>0</v>
      </c>
      <c r="W211" s="170"/>
      <c r="X211" s="179">
        <v>0.16</v>
      </c>
      <c r="Y211" s="216">
        <f t="shared" si="165"/>
        <v>0.63839999999999997</v>
      </c>
      <c r="Z211" s="216">
        <f t="shared" si="166"/>
        <v>4.6284000000000001</v>
      </c>
      <c r="AA211" s="180">
        <f t="shared" si="167"/>
        <v>8331120</v>
      </c>
      <c r="AB211" s="180"/>
      <c r="AC211" s="180">
        <f t="shared" si="168"/>
        <v>0</v>
      </c>
      <c r="AD211" s="180">
        <f t="shared" si="177"/>
        <v>0</v>
      </c>
      <c r="AE211" s="180">
        <f t="shared" si="169"/>
        <v>8331120</v>
      </c>
      <c r="AF211" s="178">
        <f t="shared" si="178"/>
        <v>666489.59999999998</v>
      </c>
      <c r="AG211" s="178">
        <f t="shared" si="179"/>
        <v>124966.79999999999</v>
      </c>
      <c r="AH211" s="178">
        <f t="shared" si="180"/>
        <v>83311.199999999997</v>
      </c>
      <c r="AI211" s="178"/>
      <c r="AJ211" s="178">
        <f t="shared" si="170"/>
        <v>874767.59999999986</v>
      </c>
      <c r="AK211" s="192"/>
      <c r="AL211" s="182">
        <f t="shared" si="176"/>
        <v>0</v>
      </c>
      <c r="AM211" s="182"/>
      <c r="AN211" s="182"/>
      <c r="AO211" s="193">
        <f t="shared" ref="AO211:AO240" si="181">R211+U211+W211</f>
        <v>3.99</v>
      </c>
      <c r="AP211" s="246">
        <v>0.25</v>
      </c>
      <c r="AQ211" s="194">
        <f t="shared" si="171"/>
        <v>0.99750000000000005</v>
      </c>
      <c r="AR211" s="178">
        <f t="shared" si="172"/>
        <v>1795500</v>
      </c>
      <c r="AS211" s="178"/>
      <c r="AT211" s="178">
        <f t="shared" si="173"/>
        <v>9251852</v>
      </c>
      <c r="AU211" s="469">
        <f t="shared" si="174"/>
        <v>193</v>
      </c>
      <c r="AV211" s="195"/>
      <c r="AW211" s="187" t="s">
        <v>711</v>
      </c>
    </row>
    <row r="212" spans="1:49" s="189" customFormat="1" ht="32.25" customHeight="1" x14ac:dyDescent="0.25">
      <c r="A212" s="168">
        <f>_xlfn.AGGREGATE(4,7,A$13:A211)+1</f>
        <v>194</v>
      </c>
      <c r="B212" s="168" t="str">
        <f>VLOOKUP(D212,[1]LuongBC_T01!$B$9:$C$292,2,FALSE)</f>
        <v>0016100006626003</v>
      </c>
      <c r="C212" s="199" t="s">
        <v>922</v>
      </c>
      <c r="D212" s="169" t="s">
        <v>306</v>
      </c>
      <c r="E212" s="263" t="s">
        <v>1248</v>
      </c>
      <c r="F212" s="169" t="s">
        <v>549</v>
      </c>
      <c r="G212" s="200"/>
      <c r="H212" s="200" t="s">
        <v>283</v>
      </c>
      <c r="I212" s="170" t="s">
        <v>283</v>
      </c>
      <c r="J212" s="169" t="s">
        <v>535</v>
      </c>
      <c r="K212" s="170" t="str">
        <f>VLOOKUP(D212,[2]T3!$B$2:$D$328,3,FALSE)</f>
        <v>023204127</v>
      </c>
      <c r="L212" s="171" t="s">
        <v>333</v>
      </c>
      <c r="M212" s="171" t="s">
        <v>922</v>
      </c>
      <c r="N212" s="263" t="str">
        <f>VLOOKUP(D212,'[6]Bao cao So GDDT'!$D$14:$S$282,11,FALSE)</f>
        <v>Giảng viên GDNN LT (hạng III)</v>
      </c>
      <c r="O212" s="390" t="s">
        <v>1438</v>
      </c>
      <c r="P212" s="172" t="s">
        <v>692</v>
      </c>
      <c r="Q212" s="173">
        <v>3</v>
      </c>
      <c r="R212" s="174">
        <v>3.99</v>
      </c>
      <c r="S212" s="176">
        <f t="shared" si="154"/>
        <v>0.95760000000000001</v>
      </c>
      <c r="T212" s="370"/>
      <c r="U212" s="176">
        <f t="shared" si="164"/>
        <v>0</v>
      </c>
      <c r="V212" s="175">
        <f t="shared" si="175"/>
        <v>0</v>
      </c>
      <c r="W212" s="170">
        <v>0.35</v>
      </c>
      <c r="X212" s="179">
        <v>0.14000000000000001</v>
      </c>
      <c r="Y212" s="216">
        <f t="shared" si="165"/>
        <v>0.60760000000000003</v>
      </c>
      <c r="Z212" s="216">
        <f t="shared" si="166"/>
        <v>4.9475999999999996</v>
      </c>
      <c r="AA212" s="180">
        <f t="shared" si="167"/>
        <v>8905680</v>
      </c>
      <c r="AB212" s="180"/>
      <c r="AC212" s="180">
        <f t="shared" si="168"/>
        <v>0</v>
      </c>
      <c r="AD212" s="180">
        <f t="shared" si="177"/>
        <v>0</v>
      </c>
      <c r="AE212" s="180">
        <f t="shared" si="169"/>
        <v>8905680</v>
      </c>
      <c r="AF212" s="178">
        <f t="shared" si="178"/>
        <v>712454.4</v>
      </c>
      <c r="AG212" s="178">
        <f t="shared" si="179"/>
        <v>133585.19999999998</v>
      </c>
      <c r="AH212" s="178">
        <f t="shared" si="180"/>
        <v>89056.8</v>
      </c>
      <c r="AI212" s="178"/>
      <c r="AJ212" s="178">
        <f t="shared" si="170"/>
        <v>935096.4</v>
      </c>
      <c r="AK212" s="192"/>
      <c r="AL212" s="182">
        <f t="shared" si="176"/>
        <v>0</v>
      </c>
      <c r="AM212" s="182"/>
      <c r="AN212" s="182"/>
      <c r="AO212" s="193">
        <f t="shared" si="181"/>
        <v>4.34</v>
      </c>
      <c r="AP212" s="246">
        <v>0.25</v>
      </c>
      <c r="AQ212" s="194">
        <f t="shared" si="171"/>
        <v>1.085</v>
      </c>
      <c r="AR212" s="178">
        <f t="shared" si="172"/>
        <v>1953000</v>
      </c>
      <c r="AS212" s="178"/>
      <c r="AT212" s="178">
        <f t="shared" si="173"/>
        <v>9923584</v>
      </c>
      <c r="AU212" s="469">
        <f t="shared" si="174"/>
        <v>194</v>
      </c>
      <c r="AV212" s="186"/>
      <c r="AW212" s="187" t="s">
        <v>711</v>
      </c>
    </row>
    <row r="213" spans="1:49" s="189" customFormat="1" ht="32.25" customHeight="1" x14ac:dyDescent="0.25">
      <c r="A213" s="168">
        <f>_xlfn.AGGREGATE(4,7,A$13:A212)+1</f>
        <v>195</v>
      </c>
      <c r="B213" s="168" t="str">
        <f>VLOOKUP(D213,[1]LuongBC_T01!$B$9:$C$292,2,FALSE)</f>
        <v>0016100006798009</v>
      </c>
      <c r="C213" s="199" t="s">
        <v>981</v>
      </c>
      <c r="D213" s="169" t="s">
        <v>304</v>
      </c>
      <c r="E213" s="263" t="s">
        <v>1260</v>
      </c>
      <c r="F213" s="169" t="s">
        <v>549</v>
      </c>
      <c r="G213" s="200" t="s">
        <v>25</v>
      </c>
      <c r="H213" s="200" t="s">
        <v>283</v>
      </c>
      <c r="I213" s="170" t="s">
        <v>283</v>
      </c>
      <c r="J213" s="169" t="s">
        <v>533</v>
      </c>
      <c r="K213" s="170" t="str">
        <f>VLOOKUP(D213,[2]T3!$B$2:$D$328,3,FALSE)</f>
        <v>023228757</v>
      </c>
      <c r="L213" s="171" t="s">
        <v>342</v>
      </c>
      <c r="M213" s="171" t="s">
        <v>981</v>
      </c>
      <c r="N213" s="263" t="str">
        <f>VLOOKUP(D213,'[6]Bao cao So GDDT'!$D$14:$S$282,11,FALSE)</f>
        <v>Giảng viên GDNN LT (hạng III)</v>
      </c>
      <c r="O213" s="390" t="s">
        <v>1438</v>
      </c>
      <c r="P213" s="172" t="s">
        <v>692</v>
      </c>
      <c r="Q213" s="173">
        <v>3</v>
      </c>
      <c r="R213" s="174">
        <v>3.66</v>
      </c>
      <c r="S213" s="176">
        <f t="shared" si="154"/>
        <v>0.51239999999999997</v>
      </c>
      <c r="T213" s="370"/>
      <c r="U213" s="176">
        <f t="shared" si="164"/>
        <v>0</v>
      </c>
      <c r="V213" s="175">
        <f t="shared" si="175"/>
        <v>0</v>
      </c>
      <c r="W213" s="170"/>
      <c r="X213" s="179">
        <v>0.14000000000000001</v>
      </c>
      <c r="Y213" s="216">
        <f t="shared" si="165"/>
        <v>0.51239999999999997</v>
      </c>
      <c r="Z213" s="216">
        <f t="shared" si="166"/>
        <v>4.1723999999999997</v>
      </c>
      <c r="AA213" s="180">
        <f t="shared" si="167"/>
        <v>7510320</v>
      </c>
      <c r="AB213" s="180"/>
      <c r="AC213" s="180">
        <f t="shared" si="168"/>
        <v>0</v>
      </c>
      <c r="AD213" s="180">
        <f t="shared" si="177"/>
        <v>0</v>
      </c>
      <c r="AE213" s="180">
        <f t="shared" si="169"/>
        <v>7510320</v>
      </c>
      <c r="AF213" s="178">
        <f t="shared" si="178"/>
        <v>600825.59999999998</v>
      </c>
      <c r="AG213" s="178">
        <f t="shared" si="179"/>
        <v>112654.8</v>
      </c>
      <c r="AH213" s="178">
        <f t="shared" si="180"/>
        <v>75103.199999999997</v>
      </c>
      <c r="AI213" s="178"/>
      <c r="AJ213" s="178">
        <f t="shared" si="170"/>
        <v>788583.6</v>
      </c>
      <c r="AK213" s="192"/>
      <c r="AL213" s="182">
        <f t="shared" si="176"/>
        <v>0</v>
      </c>
      <c r="AM213" s="182"/>
      <c r="AN213" s="182"/>
      <c r="AO213" s="193">
        <f t="shared" si="181"/>
        <v>3.66</v>
      </c>
      <c r="AP213" s="246">
        <v>0.25</v>
      </c>
      <c r="AQ213" s="194">
        <f t="shared" si="171"/>
        <v>0.91500000000000004</v>
      </c>
      <c r="AR213" s="178">
        <f t="shared" si="172"/>
        <v>1647000</v>
      </c>
      <c r="AS213" s="178"/>
      <c r="AT213" s="178">
        <f t="shared" si="173"/>
        <v>8368736</v>
      </c>
      <c r="AU213" s="469">
        <f t="shared" si="174"/>
        <v>195</v>
      </c>
      <c r="AV213" s="195"/>
      <c r="AW213" s="198" t="s">
        <v>711</v>
      </c>
    </row>
    <row r="214" spans="1:49" s="189" customFormat="1" ht="32.25" customHeight="1" x14ac:dyDescent="0.25">
      <c r="A214" s="168">
        <f>_xlfn.AGGREGATE(4,7,A$13:A213)+1</f>
        <v>196</v>
      </c>
      <c r="B214" s="168" t="str">
        <f>VLOOKUP(D214,[1]LuongBC_T01!$B$9:$C$292,2,FALSE)</f>
        <v>0016100006795007</v>
      </c>
      <c r="C214" s="199" t="s">
        <v>983</v>
      </c>
      <c r="D214" s="169" t="s">
        <v>303</v>
      </c>
      <c r="E214" s="263" t="s">
        <v>1260</v>
      </c>
      <c r="F214" s="169" t="s">
        <v>549</v>
      </c>
      <c r="G214" s="200" t="s">
        <v>25</v>
      </c>
      <c r="H214" s="200" t="s">
        <v>283</v>
      </c>
      <c r="I214" s="170" t="s">
        <v>283</v>
      </c>
      <c r="J214" s="169" t="s">
        <v>532</v>
      </c>
      <c r="K214" s="170" t="str">
        <f>VLOOKUP(D214,[2]T3!$B$2:$D$328,3,FALSE)</f>
        <v>025627682</v>
      </c>
      <c r="L214" s="171" t="s">
        <v>332</v>
      </c>
      <c r="M214" s="171" t="s">
        <v>983</v>
      </c>
      <c r="N214" s="263" t="str">
        <f>VLOOKUP(D214,'[6]Bao cao So GDDT'!$D$14:$S$282,11,FALSE)</f>
        <v>Giảng viên GDNN LT (hạng III)</v>
      </c>
      <c r="O214" s="390" t="s">
        <v>1438</v>
      </c>
      <c r="P214" s="172" t="s">
        <v>692</v>
      </c>
      <c r="Q214" s="173">
        <v>3</v>
      </c>
      <c r="R214" s="174">
        <v>3.66</v>
      </c>
      <c r="S214" s="176">
        <f t="shared" si="154"/>
        <v>0.51239999999999997</v>
      </c>
      <c r="T214" s="370"/>
      <c r="U214" s="176">
        <f t="shared" si="164"/>
        <v>0</v>
      </c>
      <c r="V214" s="175">
        <f t="shared" si="175"/>
        <v>0</v>
      </c>
      <c r="W214" s="170"/>
      <c r="X214" s="179">
        <v>0.14000000000000001</v>
      </c>
      <c r="Y214" s="216">
        <f t="shared" si="165"/>
        <v>0.51239999999999997</v>
      </c>
      <c r="Z214" s="216">
        <f t="shared" si="166"/>
        <v>4.1723999999999997</v>
      </c>
      <c r="AA214" s="180">
        <f t="shared" si="167"/>
        <v>7510320</v>
      </c>
      <c r="AB214" s="180"/>
      <c r="AC214" s="180">
        <f t="shared" si="168"/>
        <v>0</v>
      </c>
      <c r="AD214" s="180">
        <v>0</v>
      </c>
      <c r="AE214" s="180">
        <f t="shared" si="169"/>
        <v>7510320</v>
      </c>
      <c r="AF214" s="178">
        <f t="shared" si="178"/>
        <v>600825.59999999998</v>
      </c>
      <c r="AG214" s="178">
        <f t="shared" si="179"/>
        <v>112654.8</v>
      </c>
      <c r="AH214" s="178">
        <f t="shared" si="180"/>
        <v>75103.199999999997</v>
      </c>
      <c r="AI214" s="178"/>
      <c r="AJ214" s="178">
        <f t="shared" si="170"/>
        <v>788583.6</v>
      </c>
      <c r="AK214" s="192"/>
      <c r="AL214" s="182">
        <f t="shared" si="176"/>
        <v>0</v>
      </c>
      <c r="AM214" s="182"/>
      <c r="AN214" s="182"/>
      <c r="AO214" s="193">
        <f t="shared" si="181"/>
        <v>3.66</v>
      </c>
      <c r="AP214" s="246">
        <v>0.25</v>
      </c>
      <c r="AQ214" s="194">
        <f t="shared" si="171"/>
        <v>0.91500000000000004</v>
      </c>
      <c r="AR214" s="178">
        <f t="shared" si="172"/>
        <v>1647000</v>
      </c>
      <c r="AS214" s="178"/>
      <c r="AT214" s="178">
        <f t="shared" si="173"/>
        <v>8368736</v>
      </c>
      <c r="AU214" s="469">
        <f t="shared" si="174"/>
        <v>196</v>
      </c>
      <c r="AV214" s="195"/>
      <c r="AW214" s="198" t="s">
        <v>711</v>
      </c>
    </row>
    <row r="215" spans="1:49" s="189" customFormat="1" ht="32.25" customHeight="1" x14ac:dyDescent="0.25">
      <c r="A215" s="168">
        <f>_xlfn.AGGREGATE(4,7,A$13:A214)+1</f>
        <v>197</v>
      </c>
      <c r="B215" s="168" t="str">
        <f>VLOOKUP(D215,[1]LuongBC_T01!$B$9:$C$292,2,FALSE)</f>
        <v>0016100006797002</v>
      </c>
      <c r="C215" s="199" t="s">
        <v>986</v>
      </c>
      <c r="D215" s="169" t="s">
        <v>297</v>
      </c>
      <c r="E215" s="263" t="s">
        <v>1260</v>
      </c>
      <c r="F215" s="169" t="s">
        <v>549</v>
      </c>
      <c r="G215" s="200"/>
      <c r="H215" s="200" t="s">
        <v>283</v>
      </c>
      <c r="I215" s="170" t="s">
        <v>283</v>
      </c>
      <c r="J215" s="169" t="s">
        <v>540</v>
      </c>
      <c r="K215" s="170" t="str">
        <f>VLOOKUP(D215,[2]T3!$B$2:$D$328,3,FALSE)</f>
        <v>023425372</v>
      </c>
      <c r="L215" s="171" t="s">
        <v>329</v>
      </c>
      <c r="M215" s="171" t="s">
        <v>986</v>
      </c>
      <c r="N215" s="263" t="str">
        <f>VLOOKUP(D215,'[6]Bao cao So GDDT'!$D$14:$S$282,11,FALSE)</f>
        <v>Giảng viên GDNN LT (hạng III)</v>
      </c>
      <c r="O215" s="390" t="s">
        <v>1438</v>
      </c>
      <c r="P215" s="172" t="s">
        <v>692</v>
      </c>
      <c r="Q215" s="173">
        <v>3</v>
      </c>
      <c r="R215" s="174">
        <v>3.66</v>
      </c>
      <c r="S215" s="176">
        <f t="shared" si="154"/>
        <v>0.51239999999999997</v>
      </c>
      <c r="T215" s="370"/>
      <c r="U215" s="176">
        <f t="shared" si="164"/>
        <v>0</v>
      </c>
      <c r="V215" s="175">
        <f t="shared" si="175"/>
        <v>0</v>
      </c>
      <c r="W215" s="170"/>
      <c r="X215" s="179">
        <v>0.14000000000000001</v>
      </c>
      <c r="Y215" s="216">
        <f t="shared" si="165"/>
        <v>0.51239999999999997</v>
      </c>
      <c r="Z215" s="216">
        <f t="shared" si="166"/>
        <v>4.1723999999999997</v>
      </c>
      <c r="AA215" s="180">
        <f t="shared" si="167"/>
        <v>7510320</v>
      </c>
      <c r="AB215" s="180"/>
      <c r="AC215" s="180">
        <f t="shared" si="168"/>
        <v>0</v>
      </c>
      <c r="AD215" s="180">
        <f t="shared" ref="AD215:AD233" si="182">AA215/24*AB215*75%</f>
        <v>0</v>
      </c>
      <c r="AE215" s="180">
        <f t="shared" si="169"/>
        <v>7510320</v>
      </c>
      <c r="AF215" s="178">
        <f t="shared" si="178"/>
        <v>600825.59999999998</v>
      </c>
      <c r="AG215" s="178">
        <f t="shared" si="179"/>
        <v>112654.8</v>
      </c>
      <c r="AH215" s="178">
        <f t="shared" si="180"/>
        <v>75103.199999999997</v>
      </c>
      <c r="AI215" s="178"/>
      <c r="AJ215" s="178">
        <f t="shared" si="170"/>
        <v>788583.6</v>
      </c>
      <c r="AK215" s="192"/>
      <c r="AL215" s="182">
        <f t="shared" si="176"/>
        <v>0</v>
      </c>
      <c r="AM215" s="182"/>
      <c r="AN215" s="182"/>
      <c r="AO215" s="193">
        <f t="shared" si="181"/>
        <v>3.66</v>
      </c>
      <c r="AP215" s="246">
        <v>0.25</v>
      </c>
      <c r="AQ215" s="194">
        <f t="shared" si="171"/>
        <v>0.91500000000000004</v>
      </c>
      <c r="AR215" s="178">
        <f t="shared" si="172"/>
        <v>1647000</v>
      </c>
      <c r="AS215" s="178"/>
      <c r="AT215" s="178">
        <f t="shared" si="173"/>
        <v>8368736</v>
      </c>
      <c r="AU215" s="469">
        <f t="shared" si="174"/>
        <v>197</v>
      </c>
      <c r="AV215" s="186"/>
      <c r="AW215" s="198" t="s">
        <v>711</v>
      </c>
    </row>
    <row r="216" spans="1:49" s="189" customFormat="1" ht="32.25" customHeight="1" x14ac:dyDescent="0.25">
      <c r="A216" s="168">
        <f>_xlfn.AGGREGATE(4,7,A$13:A215)+1</f>
        <v>198</v>
      </c>
      <c r="B216" s="168" t="str">
        <f>VLOOKUP(D216,[1]LuongBC_T01!$B$9:$C$292,2,FALSE)</f>
        <v>0016100006750006</v>
      </c>
      <c r="C216" s="199" t="s">
        <v>929</v>
      </c>
      <c r="D216" s="169" t="s">
        <v>1209</v>
      </c>
      <c r="E216" s="263" t="s">
        <v>1255</v>
      </c>
      <c r="F216" s="169" t="s">
        <v>549</v>
      </c>
      <c r="G216" s="200"/>
      <c r="H216" s="200" t="s">
        <v>283</v>
      </c>
      <c r="I216" s="200" t="s">
        <v>283</v>
      </c>
      <c r="J216" s="200" t="s">
        <v>581</v>
      </c>
      <c r="K216" s="170" t="str">
        <f>VLOOKUP(D216,[2]T3!$B$2:$D$328,3,FALSE)</f>
        <v>025187897</v>
      </c>
      <c r="L216" s="201" t="s">
        <v>603</v>
      </c>
      <c r="M216" s="201" t="s">
        <v>929</v>
      </c>
      <c r="N216" s="263" t="str">
        <f>VLOOKUP(D216,'[6]Bao cao So GDDT'!$D$14:$S$282,11,FALSE)</f>
        <v>Giảng viên GDNN LT (hạng III)</v>
      </c>
      <c r="O216" s="390" t="s">
        <v>1438</v>
      </c>
      <c r="P216" s="170" t="s">
        <v>692</v>
      </c>
      <c r="Q216" s="170">
        <v>3</v>
      </c>
      <c r="R216" s="177">
        <v>3.99</v>
      </c>
      <c r="S216" s="176">
        <f t="shared" si="154"/>
        <v>0.91420000000000001</v>
      </c>
      <c r="T216" s="220"/>
      <c r="U216" s="176">
        <f t="shared" si="164"/>
        <v>0</v>
      </c>
      <c r="V216" s="175">
        <f t="shared" si="175"/>
        <v>0</v>
      </c>
      <c r="W216" s="170">
        <v>0.35</v>
      </c>
      <c r="X216" s="179">
        <v>0.13</v>
      </c>
      <c r="Y216" s="216">
        <f t="shared" si="165"/>
        <v>0.56420000000000003</v>
      </c>
      <c r="Z216" s="216">
        <f t="shared" si="166"/>
        <v>4.9041999999999994</v>
      </c>
      <c r="AA216" s="180">
        <f t="shared" si="167"/>
        <v>8827560</v>
      </c>
      <c r="AB216" s="180"/>
      <c r="AC216" s="180">
        <f t="shared" si="168"/>
        <v>0</v>
      </c>
      <c r="AD216" s="180">
        <f t="shared" si="182"/>
        <v>0</v>
      </c>
      <c r="AE216" s="180">
        <f t="shared" si="169"/>
        <v>8827560</v>
      </c>
      <c r="AF216" s="178">
        <f t="shared" si="178"/>
        <v>706204.8</v>
      </c>
      <c r="AG216" s="178">
        <f t="shared" si="179"/>
        <v>132413.4</v>
      </c>
      <c r="AH216" s="178">
        <f t="shared" si="180"/>
        <v>88275.6</v>
      </c>
      <c r="AI216" s="178"/>
      <c r="AJ216" s="178">
        <f t="shared" si="170"/>
        <v>926893.8</v>
      </c>
      <c r="AK216" s="192"/>
      <c r="AL216" s="182">
        <f t="shared" si="176"/>
        <v>0</v>
      </c>
      <c r="AM216" s="182"/>
      <c r="AN216" s="182"/>
      <c r="AO216" s="193">
        <f t="shared" si="181"/>
        <v>4.34</v>
      </c>
      <c r="AP216" s="246">
        <v>0.25</v>
      </c>
      <c r="AQ216" s="194">
        <f t="shared" si="171"/>
        <v>1.085</v>
      </c>
      <c r="AR216" s="178">
        <f t="shared" si="172"/>
        <v>1953000</v>
      </c>
      <c r="AS216" s="178"/>
      <c r="AT216" s="178">
        <f t="shared" si="173"/>
        <v>9853666</v>
      </c>
      <c r="AU216" s="469">
        <f t="shared" si="174"/>
        <v>198</v>
      </c>
      <c r="AV216" s="186"/>
      <c r="AW216" s="198" t="s">
        <v>711</v>
      </c>
    </row>
    <row r="217" spans="1:49" s="189" customFormat="1" ht="32.25" customHeight="1" x14ac:dyDescent="0.25">
      <c r="A217" s="168">
        <f>_xlfn.AGGREGATE(4,7,A$13:A216)+1</f>
        <v>199</v>
      </c>
      <c r="B217" s="168" t="str">
        <f>VLOOKUP(D217,[1]LuongBC_T01!$B$9:$C$292,2,FALSE)</f>
        <v>0016100007758008</v>
      </c>
      <c r="C217" s="170" t="s">
        <v>1316</v>
      </c>
      <c r="D217" s="169" t="s">
        <v>1298</v>
      </c>
      <c r="E217" s="263" t="s">
        <v>1554</v>
      </c>
      <c r="F217" s="220"/>
      <c r="G217" s="220"/>
      <c r="H217" s="220"/>
      <c r="I217" s="220"/>
      <c r="J217" s="220"/>
      <c r="K217" s="168" t="s">
        <v>1461</v>
      </c>
      <c r="L217" s="220"/>
      <c r="M217" s="170"/>
      <c r="N217" s="263" t="str">
        <f>VLOOKUP(D217,'[6]Bao cao So GDDT'!$D$14:$S$282,11,FALSE)</f>
        <v>Giảng viên GDNN LT (hạng III)</v>
      </c>
      <c r="O217" s="390" t="s">
        <v>1438</v>
      </c>
      <c r="P217" s="251"/>
      <c r="Q217" s="251"/>
      <c r="R217" s="177">
        <v>3.33</v>
      </c>
      <c r="S217" s="176"/>
      <c r="T217" s="220"/>
      <c r="U217" s="176">
        <f t="shared" si="164"/>
        <v>0</v>
      </c>
      <c r="V217" s="175"/>
      <c r="W217" s="170"/>
      <c r="X217" s="179">
        <v>0.11</v>
      </c>
      <c r="Y217" s="216">
        <f t="shared" si="165"/>
        <v>0.36630000000000001</v>
      </c>
      <c r="Z217" s="216">
        <f t="shared" si="166"/>
        <v>3.6962999999999999</v>
      </c>
      <c r="AA217" s="180">
        <f t="shared" si="167"/>
        <v>6653340</v>
      </c>
      <c r="AB217" s="180"/>
      <c r="AC217" s="180">
        <f t="shared" si="168"/>
        <v>0</v>
      </c>
      <c r="AD217" s="180">
        <f t="shared" si="182"/>
        <v>0</v>
      </c>
      <c r="AE217" s="180">
        <f t="shared" si="169"/>
        <v>6653340</v>
      </c>
      <c r="AF217" s="178">
        <f t="shared" si="178"/>
        <v>532267.19999999995</v>
      </c>
      <c r="AG217" s="178">
        <f t="shared" si="179"/>
        <v>99800.099999999991</v>
      </c>
      <c r="AH217" s="178">
        <f t="shared" si="180"/>
        <v>66533.399999999994</v>
      </c>
      <c r="AI217" s="178"/>
      <c r="AJ217" s="178">
        <f t="shared" si="170"/>
        <v>698600.7</v>
      </c>
      <c r="AK217" s="192"/>
      <c r="AL217" s="182">
        <f t="shared" si="176"/>
        <v>0</v>
      </c>
      <c r="AM217" s="182"/>
      <c r="AN217" s="182"/>
      <c r="AO217" s="183">
        <f t="shared" si="181"/>
        <v>3.33</v>
      </c>
      <c r="AP217" s="246">
        <v>0.25</v>
      </c>
      <c r="AQ217" s="185">
        <f t="shared" si="171"/>
        <v>0.83250000000000002</v>
      </c>
      <c r="AR217" s="178">
        <f t="shared" si="172"/>
        <v>1498500</v>
      </c>
      <c r="AS217" s="178"/>
      <c r="AT217" s="178">
        <f t="shared" si="173"/>
        <v>7453239</v>
      </c>
      <c r="AU217" s="469">
        <f t="shared" si="174"/>
        <v>199</v>
      </c>
      <c r="AV217" s="195"/>
      <c r="AW217" s="485"/>
    </row>
    <row r="218" spans="1:49" s="189" customFormat="1" ht="32.25" customHeight="1" x14ac:dyDescent="0.25">
      <c r="A218" s="168">
        <f>_xlfn.AGGREGATE(4,7,A$13:A217)+1</f>
        <v>200</v>
      </c>
      <c r="B218" s="168" t="str">
        <f>VLOOKUP(D218,[1]LuongBC_T01!$B$9:$C$292,2,FALSE)</f>
        <v>0016100006749008</v>
      </c>
      <c r="C218" s="199" t="s">
        <v>977</v>
      </c>
      <c r="D218" s="169" t="s">
        <v>1223</v>
      </c>
      <c r="E218" s="263" t="s">
        <v>1260</v>
      </c>
      <c r="F218" s="169" t="s">
        <v>549</v>
      </c>
      <c r="G218" s="170"/>
      <c r="H218" s="170" t="s">
        <v>283</v>
      </c>
      <c r="I218" s="170" t="s">
        <v>284</v>
      </c>
      <c r="J218" s="169" t="s">
        <v>278</v>
      </c>
      <c r="K218" s="170" t="str">
        <f>VLOOKUP(D218,[2]T3!$B$2:$D$328,3,FALSE)</f>
        <v>024730162</v>
      </c>
      <c r="L218" s="171" t="s">
        <v>142</v>
      </c>
      <c r="M218" s="171" t="s">
        <v>977</v>
      </c>
      <c r="N218" s="263" t="str">
        <f>VLOOKUP(D218,'[6]Bao cao So GDDT'!$D$14:$S$282,11,FALSE)</f>
        <v>Giảng viên GDNN LT (hạng III)</v>
      </c>
      <c r="O218" s="390" t="s">
        <v>1438</v>
      </c>
      <c r="P218" s="222" t="s">
        <v>692</v>
      </c>
      <c r="Q218" s="172">
        <v>4</v>
      </c>
      <c r="R218" s="174">
        <v>3.99</v>
      </c>
      <c r="S218" s="176">
        <f t="shared" ref="S218:S237" si="183">U218+W218+Y218</f>
        <v>0.43890000000000001</v>
      </c>
      <c r="T218" s="370"/>
      <c r="U218" s="176">
        <f t="shared" si="164"/>
        <v>0</v>
      </c>
      <c r="V218" s="175">
        <f t="shared" ref="V218:V237" si="184">R218*T218*$D$8/100</f>
        <v>0</v>
      </c>
      <c r="W218" s="170"/>
      <c r="X218" s="179">
        <v>0.11</v>
      </c>
      <c r="Y218" s="216">
        <f t="shared" si="165"/>
        <v>0.43890000000000001</v>
      </c>
      <c r="Z218" s="216">
        <f t="shared" si="166"/>
        <v>4.4289000000000005</v>
      </c>
      <c r="AA218" s="180">
        <f t="shared" si="167"/>
        <v>7972020</v>
      </c>
      <c r="AB218" s="180"/>
      <c r="AC218" s="180">
        <f t="shared" si="168"/>
        <v>0</v>
      </c>
      <c r="AD218" s="180">
        <f t="shared" si="182"/>
        <v>0</v>
      </c>
      <c r="AE218" s="180">
        <f t="shared" si="169"/>
        <v>7972020</v>
      </c>
      <c r="AF218" s="178">
        <f t="shared" si="178"/>
        <v>637761.6</v>
      </c>
      <c r="AG218" s="178">
        <f t="shared" si="179"/>
        <v>119580.29999999999</v>
      </c>
      <c r="AH218" s="178">
        <f t="shared" si="180"/>
        <v>79720.2</v>
      </c>
      <c r="AI218" s="178"/>
      <c r="AJ218" s="178">
        <f t="shared" si="170"/>
        <v>837062.09999999986</v>
      </c>
      <c r="AK218" s="192"/>
      <c r="AL218" s="182">
        <f t="shared" si="176"/>
        <v>0</v>
      </c>
      <c r="AM218" s="182"/>
      <c r="AN218" s="182"/>
      <c r="AO218" s="193">
        <f t="shared" si="181"/>
        <v>3.99</v>
      </c>
      <c r="AP218" s="246">
        <v>0.25</v>
      </c>
      <c r="AQ218" s="194">
        <f t="shared" si="171"/>
        <v>0.99750000000000005</v>
      </c>
      <c r="AR218" s="178">
        <f t="shared" si="172"/>
        <v>1795500</v>
      </c>
      <c r="AS218" s="178"/>
      <c r="AT218" s="178">
        <f t="shared" si="173"/>
        <v>8930458</v>
      </c>
      <c r="AU218" s="469">
        <f t="shared" si="174"/>
        <v>200</v>
      </c>
      <c r="AV218" s="186"/>
      <c r="AW218" s="187" t="s">
        <v>711</v>
      </c>
    </row>
    <row r="219" spans="1:49" s="189" customFormat="1" ht="32.25" customHeight="1" x14ac:dyDescent="0.25">
      <c r="A219" s="168">
        <f>_xlfn.AGGREGATE(4,7,A$13:A218)+1</f>
        <v>201</v>
      </c>
      <c r="B219" s="168" t="str">
        <f>VLOOKUP(D219,[1]LuongBC_T01!$B$9:$C$292,2,FALSE)</f>
        <v>0016100006747005</v>
      </c>
      <c r="C219" s="199" t="s">
        <v>1010</v>
      </c>
      <c r="D219" s="230" t="s">
        <v>561</v>
      </c>
      <c r="E219" s="263" t="s">
        <v>1260</v>
      </c>
      <c r="F219" s="231"/>
      <c r="G219" s="231"/>
      <c r="H219" s="231"/>
      <c r="I219" s="231"/>
      <c r="J219" s="231"/>
      <c r="K219" s="170" t="str">
        <f>VLOOKUP(D219,[2]T3!$B$2:$D$328,3,FALSE)</f>
        <v>112163050</v>
      </c>
      <c r="L219" s="226">
        <v>1603205286594</v>
      </c>
      <c r="M219" s="226" t="s">
        <v>1010</v>
      </c>
      <c r="N219" s="263" t="str">
        <f>VLOOKUP(D219,'[6]Bao cao So GDDT'!$D$14:$S$282,11,FALSE)</f>
        <v>Giảng viên GDNN LT (hạng III)</v>
      </c>
      <c r="O219" s="393" t="s">
        <v>1438</v>
      </c>
      <c r="P219" s="170" t="s">
        <v>692</v>
      </c>
      <c r="Q219" s="170">
        <v>2</v>
      </c>
      <c r="R219" s="177">
        <v>3.33</v>
      </c>
      <c r="S219" s="176">
        <f t="shared" si="183"/>
        <v>0.33300000000000002</v>
      </c>
      <c r="T219" s="169"/>
      <c r="U219" s="176">
        <f t="shared" si="164"/>
        <v>0</v>
      </c>
      <c r="V219" s="175">
        <f t="shared" si="184"/>
        <v>0</v>
      </c>
      <c r="W219" s="170"/>
      <c r="X219" s="179">
        <v>0.1</v>
      </c>
      <c r="Y219" s="216">
        <f t="shared" si="165"/>
        <v>0.33300000000000002</v>
      </c>
      <c r="Z219" s="216">
        <f t="shared" si="166"/>
        <v>3.6630000000000003</v>
      </c>
      <c r="AA219" s="180">
        <f t="shared" si="167"/>
        <v>6593400</v>
      </c>
      <c r="AB219" s="180"/>
      <c r="AC219" s="180">
        <f t="shared" si="168"/>
        <v>0</v>
      </c>
      <c r="AD219" s="180">
        <f t="shared" si="182"/>
        <v>0</v>
      </c>
      <c r="AE219" s="180">
        <f t="shared" si="169"/>
        <v>6593400</v>
      </c>
      <c r="AF219" s="178">
        <f t="shared" si="178"/>
        <v>527472</v>
      </c>
      <c r="AG219" s="178">
        <f t="shared" si="179"/>
        <v>98901</v>
      </c>
      <c r="AH219" s="178">
        <f t="shared" si="180"/>
        <v>65934</v>
      </c>
      <c r="AI219" s="178"/>
      <c r="AJ219" s="178">
        <f t="shared" si="170"/>
        <v>692307</v>
      </c>
      <c r="AK219" s="192"/>
      <c r="AL219" s="182">
        <f t="shared" ref="AL219:AL244" si="185">AK219*$D$8</f>
        <v>0</v>
      </c>
      <c r="AM219" s="182"/>
      <c r="AN219" s="182"/>
      <c r="AO219" s="183">
        <f t="shared" si="181"/>
        <v>3.33</v>
      </c>
      <c r="AP219" s="246">
        <v>0.25</v>
      </c>
      <c r="AQ219" s="194">
        <f t="shared" si="171"/>
        <v>0.83250000000000002</v>
      </c>
      <c r="AR219" s="178">
        <f t="shared" si="172"/>
        <v>1498500</v>
      </c>
      <c r="AS219" s="178"/>
      <c r="AT219" s="178">
        <f t="shared" si="173"/>
        <v>7399593</v>
      </c>
      <c r="AU219" s="469">
        <f t="shared" si="174"/>
        <v>201</v>
      </c>
      <c r="AV219" s="186"/>
      <c r="AW219" s="198" t="s">
        <v>711</v>
      </c>
    </row>
    <row r="220" spans="1:49" s="189" customFormat="1" ht="32.25" customHeight="1" x14ac:dyDescent="0.25">
      <c r="A220" s="168">
        <f>_xlfn.AGGREGATE(4,7,A$13:A219)+1</f>
        <v>202</v>
      </c>
      <c r="B220" s="168" t="str">
        <f>VLOOKUP(D220,[1]LuongBC_T01!$B$9:$C$292,2,FALSE)</f>
        <v>0016100006774002</v>
      </c>
      <c r="C220" s="199" t="s">
        <v>972</v>
      </c>
      <c r="D220" s="169" t="s">
        <v>314</v>
      </c>
      <c r="E220" s="263" t="s">
        <v>1260</v>
      </c>
      <c r="F220" s="169" t="s">
        <v>549</v>
      </c>
      <c r="G220" s="200"/>
      <c r="H220" s="200"/>
      <c r="I220" s="170" t="s">
        <v>283</v>
      </c>
      <c r="J220" s="169" t="s">
        <v>543</v>
      </c>
      <c r="K220" s="170" t="str">
        <f>VLOOKUP(D220,[2]T3!$B$2:$D$328,3,FALSE)</f>
        <v>023730236</v>
      </c>
      <c r="L220" s="171" t="s">
        <v>327</v>
      </c>
      <c r="M220" s="171" t="s">
        <v>972</v>
      </c>
      <c r="N220" s="263" t="str">
        <f>VLOOKUP(D220,'[6]Bao cao So GDDT'!$D$14:$S$282,11,FALSE)</f>
        <v>Giảng viên GDNN LT (hạng III)</v>
      </c>
      <c r="O220" s="390" t="s">
        <v>1438</v>
      </c>
      <c r="P220" s="172" t="s">
        <v>692</v>
      </c>
      <c r="Q220" s="173">
        <v>4</v>
      </c>
      <c r="R220" s="174">
        <v>3.99</v>
      </c>
      <c r="S220" s="176">
        <f t="shared" si="183"/>
        <v>0.59850000000000003</v>
      </c>
      <c r="T220" s="370"/>
      <c r="U220" s="176">
        <f t="shared" si="164"/>
        <v>0</v>
      </c>
      <c r="V220" s="175">
        <f t="shared" si="184"/>
        <v>0</v>
      </c>
      <c r="W220" s="170"/>
      <c r="X220" s="179">
        <v>0.15</v>
      </c>
      <c r="Y220" s="216">
        <f t="shared" si="165"/>
        <v>0.59850000000000003</v>
      </c>
      <c r="Z220" s="216">
        <f t="shared" si="166"/>
        <v>4.5884999999999998</v>
      </c>
      <c r="AA220" s="180">
        <f t="shared" si="167"/>
        <v>8259300</v>
      </c>
      <c r="AB220" s="180"/>
      <c r="AC220" s="180">
        <f t="shared" si="168"/>
        <v>0</v>
      </c>
      <c r="AD220" s="180">
        <f t="shared" si="182"/>
        <v>0</v>
      </c>
      <c r="AE220" s="180">
        <f t="shared" si="169"/>
        <v>8259300</v>
      </c>
      <c r="AF220" s="178">
        <f t="shared" si="178"/>
        <v>660744</v>
      </c>
      <c r="AG220" s="178">
        <f t="shared" si="179"/>
        <v>123889.5</v>
      </c>
      <c r="AH220" s="178">
        <f t="shared" si="180"/>
        <v>82593</v>
      </c>
      <c r="AI220" s="178"/>
      <c r="AJ220" s="178">
        <f t="shared" si="170"/>
        <v>867226.5</v>
      </c>
      <c r="AK220" s="192"/>
      <c r="AL220" s="182">
        <f t="shared" si="185"/>
        <v>0</v>
      </c>
      <c r="AM220" s="182"/>
      <c r="AN220" s="182"/>
      <c r="AO220" s="193">
        <f t="shared" si="181"/>
        <v>3.99</v>
      </c>
      <c r="AP220" s="246">
        <v>0.25</v>
      </c>
      <c r="AQ220" s="194">
        <f t="shared" si="171"/>
        <v>0.99750000000000005</v>
      </c>
      <c r="AR220" s="178">
        <f t="shared" si="172"/>
        <v>1795500</v>
      </c>
      <c r="AS220" s="178"/>
      <c r="AT220" s="178">
        <f t="shared" si="173"/>
        <v>9187574</v>
      </c>
      <c r="AU220" s="469">
        <f t="shared" si="174"/>
        <v>202</v>
      </c>
      <c r="AV220" s="195"/>
      <c r="AW220" s="198" t="s">
        <v>707</v>
      </c>
    </row>
    <row r="221" spans="1:49" s="189" customFormat="1" ht="32.25" customHeight="1" x14ac:dyDescent="0.25">
      <c r="A221" s="168">
        <f>_xlfn.AGGREGATE(4,7,A$13:A220)+1</f>
        <v>203</v>
      </c>
      <c r="B221" s="168" t="str">
        <f>VLOOKUP(D221,[1]LuongBC_T01!$B$9:$C$292,2,FALSE)</f>
        <v>0016100006762004</v>
      </c>
      <c r="C221" s="199" t="s">
        <v>944</v>
      </c>
      <c r="D221" s="169" t="s">
        <v>822</v>
      </c>
      <c r="E221" s="263" t="s">
        <v>1260</v>
      </c>
      <c r="F221" s="169"/>
      <c r="G221" s="170"/>
      <c r="H221" s="170"/>
      <c r="I221" s="170"/>
      <c r="J221" s="169"/>
      <c r="K221" s="170" t="str">
        <f>VLOOKUP(D221,[2]T3!$B$2:$D$328,3,FALSE)</f>
        <v>024999755</v>
      </c>
      <c r="L221" s="249"/>
      <c r="M221" s="249" t="s">
        <v>944</v>
      </c>
      <c r="N221" s="263" t="str">
        <f>VLOOKUP(D221,'[6]Bao cao So GDDT'!$D$14:$S$282,11,FALSE)</f>
        <v>Giảng viên GDNN LT (hạng III)</v>
      </c>
      <c r="O221" s="390" t="s">
        <v>1438</v>
      </c>
      <c r="P221" s="222" t="s">
        <v>692</v>
      </c>
      <c r="Q221" s="172">
        <v>3</v>
      </c>
      <c r="R221" s="174">
        <v>3.99</v>
      </c>
      <c r="S221" s="176">
        <f t="shared" si="183"/>
        <v>0.55859999999999999</v>
      </c>
      <c r="T221" s="370"/>
      <c r="U221" s="176">
        <f t="shared" si="164"/>
        <v>0</v>
      </c>
      <c r="V221" s="175">
        <f t="shared" si="184"/>
        <v>0</v>
      </c>
      <c r="W221" s="170"/>
      <c r="X221" s="179">
        <v>0.14000000000000001</v>
      </c>
      <c r="Y221" s="216">
        <f t="shared" si="165"/>
        <v>0.55859999999999999</v>
      </c>
      <c r="Z221" s="216">
        <f t="shared" si="166"/>
        <v>4.5486000000000004</v>
      </c>
      <c r="AA221" s="180">
        <f t="shared" si="167"/>
        <v>8187480</v>
      </c>
      <c r="AB221" s="180"/>
      <c r="AC221" s="180">
        <f t="shared" si="168"/>
        <v>0</v>
      </c>
      <c r="AD221" s="180">
        <f t="shared" si="182"/>
        <v>0</v>
      </c>
      <c r="AE221" s="180">
        <f t="shared" si="169"/>
        <v>8187480</v>
      </c>
      <c r="AF221" s="178">
        <f t="shared" si="178"/>
        <v>654998.4</v>
      </c>
      <c r="AG221" s="178">
        <f t="shared" si="179"/>
        <v>122812.2</v>
      </c>
      <c r="AH221" s="178">
        <f t="shared" si="180"/>
        <v>81874.8</v>
      </c>
      <c r="AI221" s="178"/>
      <c r="AJ221" s="178">
        <f t="shared" si="170"/>
        <v>859685.4</v>
      </c>
      <c r="AK221" s="192"/>
      <c r="AL221" s="182">
        <f t="shared" si="185"/>
        <v>0</v>
      </c>
      <c r="AM221" s="182"/>
      <c r="AN221" s="182"/>
      <c r="AO221" s="193">
        <f t="shared" si="181"/>
        <v>3.99</v>
      </c>
      <c r="AP221" s="246">
        <v>0.25</v>
      </c>
      <c r="AQ221" s="194">
        <f t="shared" si="171"/>
        <v>0.99750000000000005</v>
      </c>
      <c r="AR221" s="178">
        <f t="shared" si="172"/>
        <v>1795500</v>
      </c>
      <c r="AS221" s="178"/>
      <c r="AT221" s="178">
        <f t="shared" si="173"/>
        <v>9123295</v>
      </c>
      <c r="AU221" s="469">
        <f t="shared" si="174"/>
        <v>203</v>
      </c>
      <c r="AV221" s="244"/>
      <c r="AW221" s="242"/>
    </row>
    <row r="222" spans="1:49" s="189" customFormat="1" ht="32.25" customHeight="1" x14ac:dyDescent="0.25">
      <c r="A222" s="726">
        <f>_xlfn.AGGREGATE(4,7,A$13:A221)+1</f>
        <v>204</v>
      </c>
      <c r="B222" s="726" t="str">
        <f>VLOOKUP(D222,[1]LuongBC_T01!$B$9:$C$292,2,FALSE)</f>
        <v>0016100006500007</v>
      </c>
      <c r="C222" s="750" t="s">
        <v>909</v>
      </c>
      <c r="D222" s="728" t="s">
        <v>61</v>
      </c>
      <c r="E222" s="729" t="s">
        <v>1260</v>
      </c>
      <c r="F222" s="728" t="s">
        <v>549</v>
      </c>
      <c r="G222" s="751"/>
      <c r="H222" s="751"/>
      <c r="I222" s="730" t="s">
        <v>283</v>
      </c>
      <c r="J222" s="728" t="s">
        <v>243</v>
      </c>
      <c r="K222" s="730" t="str">
        <f>VLOOKUP(D222,[2]T3!$B$2:$D$328,3,FALSE)</f>
        <v>025408856</v>
      </c>
      <c r="L222" s="731" t="s">
        <v>140</v>
      </c>
      <c r="M222" s="731" t="s">
        <v>909</v>
      </c>
      <c r="N222" s="729" t="str">
        <f>VLOOKUP(D222,'[6]Bao cao So GDDT'!$D$14:$S$282,11,FALSE)</f>
        <v>Giảng viên GDNN LT (hạng III)</v>
      </c>
      <c r="O222" s="732" t="s">
        <v>1438</v>
      </c>
      <c r="P222" s="733" t="s">
        <v>692</v>
      </c>
      <c r="Q222" s="734">
        <v>4</v>
      </c>
      <c r="R222" s="735">
        <v>4.32</v>
      </c>
      <c r="S222" s="736">
        <f t="shared" si="183"/>
        <v>0.64800000000000002</v>
      </c>
      <c r="T222" s="737"/>
      <c r="U222" s="736">
        <f t="shared" si="164"/>
        <v>0</v>
      </c>
      <c r="V222" s="738">
        <f t="shared" si="184"/>
        <v>0</v>
      </c>
      <c r="W222" s="730"/>
      <c r="X222" s="739">
        <v>0.15</v>
      </c>
      <c r="Y222" s="740">
        <f t="shared" si="165"/>
        <v>0.64800000000000002</v>
      </c>
      <c r="Z222" s="740">
        <f t="shared" si="166"/>
        <v>4.968</v>
      </c>
      <c r="AA222" s="741">
        <f t="shared" si="167"/>
        <v>8942400</v>
      </c>
      <c r="AB222" s="741"/>
      <c r="AC222" s="741">
        <f t="shared" si="168"/>
        <v>0</v>
      </c>
      <c r="AD222" s="741">
        <f t="shared" si="182"/>
        <v>0</v>
      </c>
      <c r="AE222" s="741">
        <f t="shared" si="169"/>
        <v>8942400</v>
      </c>
      <c r="AF222" s="742">
        <f t="shared" si="178"/>
        <v>715392</v>
      </c>
      <c r="AG222" s="742">
        <f t="shared" si="179"/>
        <v>134136</v>
      </c>
      <c r="AH222" s="742">
        <f t="shared" si="180"/>
        <v>89424</v>
      </c>
      <c r="AI222" s="742"/>
      <c r="AJ222" s="742">
        <f t="shared" si="170"/>
        <v>938952</v>
      </c>
      <c r="AK222" s="743"/>
      <c r="AL222" s="744">
        <f t="shared" si="185"/>
        <v>0</v>
      </c>
      <c r="AM222" s="744"/>
      <c r="AN222" s="744"/>
      <c r="AO222" s="756">
        <f t="shared" si="181"/>
        <v>4.32</v>
      </c>
      <c r="AP222" s="757">
        <v>0.25</v>
      </c>
      <c r="AQ222" s="758">
        <f t="shared" si="171"/>
        <v>1.08</v>
      </c>
      <c r="AR222" s="742">
        <f t="shared" si="172"/>
        <v>1944000</v>
      </c>
      <c r="AS222" s="742"/>
      <c r="AT222" s="742">
        <f t="shared" si="173"/>
        <v>9947448</v>
      </c>
      <c r="AU222" s="748">
        <f t="shared" si="174"/>
        <v>204</v>
      </c>
      <c r="AV222" s="749"/>
      <c r="AW222" s="198" t="s">
        <v>715</v>
      </c>
    </row>
    <row r="223" spans="1:49" s="189" customFormat="1" ht="32.25" customHeight="1" x14ac:dyDescent="0.25">
      <c r="A223" s="168">
        <f>_xlfn.AGGREGATE(4,7,A$13:A222)+1</f>
        <v>205</v>
      </c>
      <c r="B223" s="168" t="str">
        <f>VLOOKUP(D223,[1]LuongBC_T01!$B$9:$C$292,2,FALSE)</f>
        <v>0008100002629007</v>
      </c>
      <c r="C223" s="199" t="s">
        <v>1000</v>
      </c>
      <c r="D223" s="230" t="s">
        <v>557</v>
      </c>
      <c r="E223" s="263" t="s">
        <v>1260</v>
      </c>
      <c r="F223" s="231"/>
      <c r="G223" s="231"/>
      <c r="H223" s="200" t="s">
        <v>283</v>
      </c>
      <c r="I223" s="200" t="s">
        <v>283</v>
      </c>
      <c r="J223" s="231"/>
      <c r="K223" s="170" t="str">
        <f>VLOOKUP(D223,[2]T3!$B$2:$D$328,3,FALSE)</f>
        <v>025624118</v>
      </c>
      <c r="L223" s="231"/>
      <c r="M223" s="231" t="s">
        <v>1000</v>
      </c>
      <c r="N223" s="263" t="str">
        <f>VLOOKUP(D223,'[6]Bao cao So GDDT'!$D$14:$S$282,11,FALSE)</f>
        <v>Giảng viên GDNN LT (hạng III)</v>
      </c>
      <c r="O223" s="390" t="s">
        <v>1438</v>
      </c>
      <c r="P223" s="170" t="s">
        <v>692</v>
      </c>
      <c r="Q223" s="170">
        <v>3</v>
      </c>
      <c r="R223" s="177">
        <v>3.66</v>
      </c>
      <c r="S223" s="176">
        <f t="shared" si="183"/>
        <v>0.36599999999999999</v>
      </c>
      <c r="T223" s="169"/>
      <c r="U223" s="176">
        <f t="shared" ref="U223:U257" si="186">ROUND(R223*T223/100,4)</f>
        <v>0</v>
      </c>
      <c r="V223" s="175">
        <f t="shared" si="184"/>
        <v>0</v>
      </c>
      <c r="W223" s="170"/>
      <c r="X223" s="179">
        <v>0.1</v>
      </c>
      <c r="Y223" s="216">
        <f t="shared" ref="Y223:Y257" si="187">ROUND((R223+U223+W223)*X223,4)</f>
        <v>0.36599999999999999</v>
      </c>
      <c r="Z223" s="216">
        <f t="shared" ref="Z223:Z257" si="188">R223+U223+W223+Y223</f>
        <v>4.0259999999999998</v>
      </c>
      <c r="AA223" s="180">
        <f t="shared" ref="AA223:AA257" si="189">ROUND(Z223*$D$8,0)</f>
        <v>7246800</v>
      </c>
      <c r="AB223" s="180"/>
      <c r="AC223" s="180">
        <f t="shared" ref="AC223:AC257" si="190">AA223/24*AB223</f>
        <v>0</v>
      </c>
      <c r="AD223" s="180">
        <f t="shared" si="182"/>
        <v>0</v>
      </c>
      <c r="AE223" s="180">
        <f t="shared" ref="AE223:AE257" si="191">ROUND(AA223-AC223+AD223,0)</f>
        <v>7246800</v>
      </c>
      <c r="AF223" s="178">
        <f t="shared" si="178"/>
        <v>579744</v>
      </c>
      <c r="AG223" s="178">
        <f t="shared" si="179"/>
        <v>108702</v>
      </c>
      <c r="AH223" s="178">
        <f t="shared" si="180"/>
        <v>72468</v>
      </c>
      <c r="AI223" s="178"/>
      <c r="AJ223" s="178">
        <f t="shared" ref="AJ223:AJ257" si="192">SUM(AF223:AI223)</f>
        <v>760914</v>
      </c>
      <c r="AK223" s="192"/>
      <c r="AL223" s="182">
        <f t="shared" si="185"/>
        <v>0</v>
      </c>
      <c r="AM223" s="182"/>
      <c r="AN223" s="182"/>
      <c r="AO223" s="183">
        <f t="shared" si="181"/>
        <v>3.66</v>
      </c>
      <c r="AP223" s="246">
        <v>0.25</v>
      </c>
      <c r="AQ223" s="194">
        <f t="shared" ref="AQ223:AQ257" si="193">ROUND(AO223*AP223,4)</f>
        <v>0.91500000000000004</v>
      </c>
      <c r="AR223" s="178">
        <f t="shared" ref="AR223:AR257" si="194">ROUND(AQ223*$D$8,0)</f>
        <v>1647000</v>
      </c>
      <c r="AS223" s="178"/>
      <c r="AT223" s="178">
        <f t="shared" ref="AT223:AT257" si="195">ROUND(AE223-AJ223+AL223+AN223+AR223,0)</f>
        <v>8132886</v>
      </c>
      <c r="AU223" s="469">
        <f t="shared" ref="AU223:AU257" si="196">A223</f>
        <v>205</v>
      </c>
      <c r="AV223" s="195"/>
      <c r="AW223" s="198" t="s">
        <v>711</v>
      </c>
    </row>
    <row r="224" spans="1:49" s="191" customFormat="1" ht="30.75" customHeight="1" x14ac:dyDescent="0.25">
      <c r="A224" s="168">
        <f>_xlfn.AGGREGATE(4,7,A$13:A223)+1</f>
        <v>206</v>
      </c>
      <c r="B224" s="168" t="str">
        <f>VLOOKUP(D224,[1]LuongBC_T01!$B$9:$C$292,2,FALSE)</f>
        <v>0016100006787007</v>
      </c>
      <c r="C224" s="199" t="s">
        <v>908</v>
      </c>
      <c r="D224" s="169" t="s">
        <v>1199</v>
      </c>
      <c r="E224" s="263" t="s">
        <v>1389</v>
      </c>
      <c r="F224" s="169" t="s">
        <v>549</v>
      </c>
      <c r="G224" s="170"/>
      <c r="H224" s="170" t="s">
        <v>283</v>
      </c>
      <c r="I224" s="170" t="s">
        <v>283</v>
      </c>
      <c r="J224" s="169" t="s">
        <v>252</v>
      </c>
      <c r="K224" s="170" t="str">
        <f>VLOOKUP(D224,[2]T3!$B$2:$D$328,3,FALSE)</f>
        <v>023353491</v>
      </c>
      <c r="L224" s="171" t="s">
        <v>118</v>
      </c>
      <c r="M224" s="171" t="s">
        <v>908</v>
      </c>
      <c r="N224" s="263" t="str">
        <f>VLOOKUP(D224,'[6]Bao cao So GDDT'!$D$14:$S$282,11,FALSE)</f>
        <v>Giảng viên GDNN LT (hạng III)</v>
      </c>
      <c r="O224" s="390" t="s">
        <v>1438</v>
      </c>
      <c r="P224" s="172" t="s">
        <v>692</v>
      </c>
      <c r="Q224" s="173">
        <v>5</v>
      </c>
      <c r="R224" s="174">
        <v>4.6500000000000004</v>
      </c>
      <c r="S224" s="176">
        <f t="shared" si="183"/>
        <v>1.3680000000000001</v>
      </c>
      <c r="T224" s="370"/>
      <c r="U224" s="176">
        <f t="shared" si="186"/>
        <v>0</v>
      </c>
      <c r="V224" s="175">
        <f t="shared" si="184"/>
        <v>0</v>
      </c>
      <c r="W224" s="170">
        <v>0.45</v>
      </c>
      <c r="X224" s="179">
        <v>0.18</v>
      </c>
      <c r="Y224" s="216">
        <f t="shared" si="187"/>
        <v>0.91800000000000004</v>
      </c>
      <c r="Z224" s="216">
        <f t="shared" si="188"/>
        <v>6.0180000000000007</v>
      </c>
      <c r="AA224" s="180">
        <f t="shared" si="189"/>
        <v>10832400</v>
      </c>
      <c r="AB224" s="180"/>
      <c r="AC224" s="180">
        <f t="shared" si="190"/>
        <v>0</v>
      </c>
      <c r="AD224" s="180">
        <f t="shared" si="182"/>
        <v>0</v>
      </c>
      <c r="AE224" s="180">
        <f t="shared" si="191"/>
        <v>10832400</v>
      </c>
      <c r="AF224" s="178">
        <f t="shared" si="178"/>
        <v>866592</v>
      </c>
      <c r="AG224" s="178">
        <f t="shared" si="179"/>
        <v>162486</v>
      </c>
      <c r="AH224" s="178">
        <f t="shared" si="180"/>
        <v>108324</v>
      </c>
      <c r="AI224" s="178"/>
      <c r="AJ224" s="178">
        <f t="shared" si="192"/>
        <v>1137402</v>
      </c>
      <c r="AK224" s="671"/>
      <c r="AL224" s="182">
        <f t="shared" si="185"/>
        <v>0</v>
      </c>
      <c r="AM224" s="182"/>
      <c r="AN224" s="182"/>
      <c r="AO224" s="193">
        <f t="shared" si="181"/>
        <v>5.1000000000000005</v>
      </c>
      <c r="AP224" s="246">
        <v>0.25</v>
      </c>
      <c r="AQ224" s="194">
        <f t="shared" si="193"/>
        <v>1.2749999999999999</v>
      </c>
      <c r="AR224" s="178">
        <f t="shared" si="194"/>
        <v>2295000</v>
      </c>
      <c r="AS224" s="178"/>
      <c r="AT224" s="178">
        <f t="shared" si="195"/>
        <v>11989998</v>
      </c>
      <c r="AU224" s="469">
        <f t="shared" si="196"/>
        <v>206</v>
      </c>
      <c r="AV224" s="195"/>
      <c r="AW224" s="187" t="s">
        <v>709</v>
      </c>
    </row>
    <row r="225" spans="1:51" s="189" customFormat="1" ht="30.75" customHeight="1" x14ac:dyDescent="0.25">
      <c r="A225" s="168">
        <f>_xlfn.AGGREGATE(4,7,A$13:A224)+1</f>
        <v>207</v>
      </c>
      <c r="B225" s="168" t="str">
        <f>VLOOKUP(D225,[1]LuongBC_T01!$B$9:$C$292,2,FALSE)</f>
        <v>0016100006761008</v>
      </c>
      <c r="C225" s="199" t="s">
        <v>914</v>
      </c>
      <c r="D225" s="169" t="s">
        <v>307</v>
      </c>
      <c r="E225" s="263" t="s">
        <v>1388</v>
      </c>
      <c r="F225" s="169" t="s">
        <v>549</v>
      </c>
      <c r="G225" s="200"/>
      <c r="H225" s="200" t="s">
        <v>283</v>
      </c>
      <c r="I225" s="170" t="s">
        <v>283</v>
      </c>
      <c r="J225" s="169" t="s">
        <v>536</v>
      </c>
      <c r="K225" s="168" t="s">
        <v>1359</v>
      </c>
      <c r="L225" s="201" t="s">
        <v>686</v>
      </c>
      <c r="M225" s="201" t="s">
        <v>914</v>
      </c>
      <c r="N225" s="263" t="str">
        <f>VLOOKUP(D225,'[6]Bao cao So GDDT'!$D$14:$S$282,11,FALSE)</f>
        <v>Giảng viên GDNN LT (hạng III)</v>
      </c>
      <c r="O225" s="390" t="s">
        <v>1438</v>
      </c>
      <c r="P225" s="172" t="s">
        <v>692</v>
      </c>
      <c r="Q225" s="173">
        <v>3</v>
      </c>
      <c r="R225" s="174">
        <v>3.66</v>
      </c>
      <c r="S225" s="176">
        <f t="shared" si="183"/>
        <v>0.91139999999999999</v>
      </c>
      <c r="T225" s="370"/>
      <c r="U225" s="176">
        <f t="shared" si="186"/>
        <v>0</v>
      </c>
      <c r="V225" s="175">
        <f t="shared" si="184"/>
        <v>0</v>
      </c>
      <c r="W225" s="170">
        <v>0.35</v>
      </c>
      <c r="X225" s="179">
        <v>0.14000000000000001</v>
      </c>
      <c r="Y225" s="216">
        <f t="shared" si="187"/>
        <v>0.56140000000000001</v>
      </c>
      <c r="Z225" s="216">
        <f t="shared" si="188"/>
        <v>4.5713999999999997</v>
      </c>
      <c r="AA225" s="180">
        <f t="shared" si="189"/>
        <v>8228520</v>
      </c>
      <c r="AB225" s="180"/>
      <c r="AC225" s="180">
        <f t="shared" si="190"/>
        <v>0</v>
      </c>
      <c r="AD225" s="180">
        <f t="shared" si="182"/>
        <v>0</v>
      </c>
      <c r="AE225" s="180">
        <f t="shared" si="191"/>
        <v>8228520</v>
      </c>
      <c r="AF225" s="178">
        <f t="shared" si="178"/>
        <v>658281.6</v>
      </c>
      <c r="AG225" s="178">
        <f t="shared" si="179"/>
        <v>123427.79999999999</v>
      </c>
      <c r="AH225" s="178">
        <f t="shared" si="180"/>
        <v>82285.2</v>
      </c>
      <c r="AI225" s="178"/>
      <c r="AJ225" s="178">
        <f t="shared" si="192"/>
        <v>863994.59999999986</v>
      </c>
      <c r="AK225" s="192"/>
      <c r="AL225" s="182">
        <f t="shared" si="185"/>
        <v>0</v>
      </c>
      <c r="AM225" s="182"/>
      <c r="AN225" s="182"/>
      <c r="AO225" s="193">
        <f t="shared" si="181"/>
        <v>4.01</v>
      </c>
      <c r="AP225" s="246">
        <v>0.25</v>
      </c>
      <c r="AQ225" s="194">
        <f t="shared" si="193"/>
        <v>1.0024999999999999</v>
      </c>
      <c r="AR225" s="178">
        <f t="shared" si="194"/>
        <v>1804500</v>
      </c>
      <c r="AS225" s="178"/>
      <c r="AT225" s="178">
        <f t="shared" si="195"/>
        <v>9169025</v>
      </c>
      <c r="AU225" s="469">
        <f t="shared" si="196"/>
        <v>207</v>
      </c>
      <c r="AV225" s="195"/>
      <c r="AW225" s="198" t="s">
        <v>709</v>
      </c>
      <c r="AY225" s="670"/>
    </row>
    <row r="226" spans="1:51" s="191" customFormat="1" ht="30.75" customHeight="1" x14ac:dyDescent="0.25">
      <c r="A226" s="168">
        <f>_xlfn.AGGREGATE(4,7,A$13:A225)+1</f>
        <v>208</v>
      </c>
      <c r="B226" s="168" t="str">
        <f>VLOOKUP(D226,[1]LuongBC_T01!$B$9:$C$292,2,FALSE)</f>
        <v>0016100006779004</v>
      </c>
      <c r="C226" s="199" t="s">
        <v>919</v>
      </c>
      <c r="D226" s="169" t="s">
        <v>1204</v>
      </c>
      <c r="E226" s="263" t="s">
        <v>1555</v>
      </c>
      <c r="F226" s="169" t="s">
        <v>549</v>
      </c>
      <c r="G226" s="170"/>
      <c r="H226" s="170"/>
      <c r="I226" s="170" t="s">
        <v>283</v>
      </c>
      <c r="J226" s="169" t="s">
        <v>254</v>
      </c>
      <c r="K226" s="170" t="str">
        <f>VLOOKUP(D226,[2]T3!$B$2:$D$328,3,FALSE)</f>
        <v>023172992</v>
      </c>
      <c r="L226" s="171" t="s">
        <v>120</v>
      </c>
      <c r="M226" s="171" t="s">
        <v>919</v>
      </c>
      <c r="N226" s="263" t="str">
        <f>VLOOKUP(D226,'[6]Bao cao So GDDT'!$D$14:$S$282,11,FALSE)</f>
        <v>Giảng viên GDNN LT (hạng III)</v>
      </c>
      <c r="O226" s="390" t="s">
        <v>1438</v>
      </c>
      <c r="P226" s="172" t="s">
        <v>692</v>
      </c>
      <c r="Q226" s="173">
        <v>5</v>
      </c>
      <c r="R226" s="174">
        <v>4.6500000000000004</v>
      </c>
      <c r="S226" s="176">
        <f t="shared" si="183"/>
        <v>1.1320000000000001</v>
      </c>
      <c r="T226" s="370"/>
      <c r="U226" s="176">
        <f t="shared" si="186"/>
        <v>0</v>
      </c>
      <c r="V226" s="175">
        <f t="shared" si="184"/>
        <v>0</v>
      </c>
      <c r="W226" s="170">
        <v>0.25</v>
      </c>
      <c r="X226" s="179">
        <v>0.18</v>
      </c>
      <c r="Y226" s="216">
        <f t="shared" si="187"/>
        <v>0.88200000000000001</v>
      </c>
      <c r="Z226" s="216">
        <f t="shared" si="188"/>
        <v>5.782</v>
      </c>
      <c r="AA226" s="180">
        <f t="shared" si="189"/>
        <v>10407600</v>
      </c>
      <c r="AB226" s="180"/>
      <c r="AC226" s="180">
        <f t="shared" si="190"/>
        <v>0</v>
      </c>
      <c r="AD226" s="180">
        <f t="shared" si="182"/>
        <v>0</v>
      </c>
      <c r="AE226" s="180">
        <f t="shared" si="191"/>
        <v>10407600</v>
      </c>
      <c r="AF226" s="178">
        <f t="shared" si="178"/>
        <v>832608</v>
      </c>
      <c r="AG226" s="178">
        <f t="shared" si="179"/>
        <v>156114</v>
      </c>
      <c r="AH226" s="178">
        <f t="shared" si="180"/>
        <v>104076</v>
      </c>
      <c r="AI226" s="178"/>
      <c r="AJ226" s="178">
        <f t="shared" si="192"/>
        <v>1092798</v>
      </c>
      <c r="AK226" s="181"/>
      <c r="AL226" s="182">
        <f t="shared" si="185"/>
        <v>0</v>
      </c>
      <c r="AM226" s="182"/>
      <c r="AN226" s="182"/>
      <c r="AO226" s="193">
        <f t="shared" si="181"/>
        <v>4.9000000000000004</v>
      </c>
      <c r="AP226" s="246">
        <v>0.25</v>
      </c>
      <c r="AQ226" s="194">
        <f t="shared" si="193"/>
        <v>1.2250000000000001</v>
      </c>
      <c r="AR226" s="178">
        <f t="shared" si="194"/>
        <v>2205000</v>
      </c>
      <c r="AS226" s="178"/>
      <c r="AT226" s="178">
        <f t="shared" si="195"/>
        <v>11519802</v>
      </c>
      <c r="AU226" s="469">
        <f t="shared" si="196"/>
        <v>208</v>
      </c>
      <c r="AV226" s="195"/>
      <c r="AW226" s="223" t="s">
        <v>709</v>
      </c>
    </row>
    <row r="227" spans="1:51" s="189" customFormat="1" ht="30.75" customHeight="1" x14ac:dyDescent="0.25">
      <c r="A227" s="168">
        <f>_xlfn.AGGREGATE(4,7,A$13:A226)+1</f>
        <v>209</v>
      </c>
      <c r="B227" s="168" t="str">
        <f>VLOOKUP(D227,[1]LuongBC_T01!$B$9:$C$292,2,FALSE)</f>
        <v>0016100006800003</v>
      </c>
      <c r="C227" s="199" t="s">
        <v>928</v>
      </c>
      <c r="D227" s="230" t="s">
        <v>1063</v>
      </c>
      <c r="E227" s="263" t="s">
        <v>1424</v>
      </c>
      <c r="F227" s="231"/>
      <c r="G227" s="231"/>
      <c r="H227" s="231"/>
      <c r="I227" s="231"/>
      <c r="J227" s="231"/>
      <c r="K227" s="168" t="s">
        <v>1360</v>
      </c>
      <c r="L227" s="543" t="s">
        <v>742</v>
      </c>
      <c r="M227" s="543" t="s">
        <v>928</v>
      </c>
      <c r="N227" s="263" t="str">
        <f>VLOOKUP(D227,'[6]Bao cao So GDDT'!$D$14:$S$282,11,FALSE)</f>
        <v>Giảng viên GDNN LT (hạng III)</v>
      </c>
      <c r="O227" s="390" t="s">
        <v>1438</v>
      </c>
      <c r="P227" s="170" t="s">
        <v>692</v>
      </c>
      <c r="Q227" s="170">
        <v>2</v>
      </c>
      <c r="R227" s="177">
        <v>3.33</v>
      </c>
      <c r="S227" s="176">
        <f t="shared" si="183"/>
        <v>0.60799999999999998</v>
      </c>
      <c r="T227" s="169"/>
      <c r="U227" s="176">
        <f t="shared" si="186"/>
        <v>0</v>
      </c>
      <c r="V227" s="175">
        <f t="shared" si="184"/>
        <v>0</v>
      </c>
      <c r="W227" s="170">
        <v>0.25</v>
      </c>
      <c r="X227" s="179">
        <v>0.1</v>
      </c>
      <c r="Y227" s="216">
        <f t="shared" si="187"/>
        <v>0.35799999999999998</v>
      </c>
      <c r="Z227" s="216">
        <f t="shared" si="188"/>
        <v>3.9380000000000002</v>
      </c>
      <c r="AA227" s="180">
        <f t="shared" si="189"/>
        <v>7088400</v>
      </c>
      <c r="AB227" s="180"/>
      <c r="AC227" s="180">
        <f t="shared" si="190"/>
        <v>0</v>
      </c>
      <c r="AD227" s="180">
        <f t="shared" si="182"/>
        <v>0</v>
      </c>
      <c r="AE227" s="180">
        <f t="shared" si="191"/>
        <v>7088400</v>
      </c>
      <c r="AF227" s="178">
        <f t="shared" si="178"/>
        <v>567072</v>
      </c>
      <c r="AG227" s="178">
        <f t="shared" si="179"/>
        <v>106326</v>
      </c>
      <c r="AH227" s="178">
        <f t="shared" si="180"/>
        <v>70884</v>
      </c>
      <c r="AI227" s="178"/>
      <c r="AJ227" s="178">
        <f t="shared" si="192"/>
        <v>744282</v>
      </c>
      <c r="AK227" s="192"/>
      <c r="AL227" s="182">
        <f t="shared" si="185"/>
        <v>0</v>
      </c>
      <c r="AM227" s="182"/>
      <c r="AN227" s="182"/>
      <c r="AO227" s="183">
        <f t="shared" si="181"/>
        <v>3.58</v>
      </c>
      <c r="AP227" s="246">
        <v>0.25</v>
      </c>
      <c r="AQ227" s="194">
        <f t="shared" si="193"/>
        <v>0.89500000000000002</v>
      </c>
      <c r="AR227" s="178">
        <f t="shared" si="194"/>
        <v>1611000</v>
      </c>
      <c r="AS227" s="178"/>
      <c r="AT227" s="178">
        <f t="shared" si="195"/>
        <v>7955118</v>
      </c>
      <c r="AU227" s="469">
        <f t="shared" si="196"/>
        <v>209</v>
      </c>
      <c r="AV227" s="186"/>
      <c r="AW227" s="198" t="s">
        <v>709</v>
      </c>
    </row>
    <row r="228" spans="1:51" s="191" customFormat="1" ht="30.75" customHeight="1" x14ac:dyDescent="0.25">
      <c r="A228" s="168">
        <f>_xlfn.AGGREGATE(4,7,A$13:A227)+1</f>
        <v>210</v>
      </c>
      <c r="B228" s="168" t="str">
        <f>VLOOKUP(D228,[1]LuongBC_T01!$B$9:$C$292,2,FALSE)</f>
        <v>0016100006794003</v>
      </c>
      <c r="C228" s="199" t="s">
        <v>954</v>
      </c>
      <c r="D228" s="169" t="s">
        <v>1218</v>
      </c>
      <c r="E228" s="263" t="s">
        <v>1374</v>
      </c>
      <c r="F228" s="169" t="s">
        <v>549</v>
      </c>
      <c r="G228" s="170"/>
      <c r="H228" s="170" t="s">
        <v>283</v>
      </c>
      <c r="I228" s="170" t="s">
        <v>283</v>
      </c>
      <c r="J228" s="169" t="s">
        <v>253</v>
      </c>
      <c r="K228" s="170" t="str">
        <f>VLOOKUP(D228,[2]T3!$B$2:$D$328,3,FALSE)</f>
        <v>024252246</v>
      </c>
      <c r="L228" s="171" t="s">
        <v>119</v>
      </c>
      <c r="M228" s="171" t="s">
        <v>954</v>
      </c>
      <c r="N228" s="263" t="str">
        <f>VLOOKUP(D228,'[6]Bao cao So GDDT'!$D$14:$S$282,11,FALSE)</f>
        <v>Giảng viên GDNN LT (hạng III)</v>
      </c>
      <c r="O228" s="390" t="s">
        <v>1438</v>
      </c>
      <c r="P228" s="172" t="s">
        <v>692</v>
      </c>
      <c r="Q228" s="173">
        <v>5</v>
      </c>
      <c r="R228" s="174">
        <v>4.32</v>
      </c>
      <c r="S228" s="176">
        <f t="shared" si="183"/>
        <v>0.77759999999999996</v>
      </c>
      <c r="T228" s="370"/>
      <c r="U228" s="176">
        <f t="shared" si="186"/>
        <v>0</v>
      </c>
      <c r="V228" s="175">
        <f t="shared" si="184"/>
        <v>0</v>
      </c>
      <c r="W228" s="200"/>
      <c r="X228" s="179">
        <v>0.18</v>
      </c>
      <c r="Y228" s="216">
        <f t="shared" si="187"/>
        <v>0.77759999999999996</v>
      </c>
      <c r="Z228" s="216">
        <f t="shared" si="188"/>
        <v>5.0975999999999999</v>
      </c>
      <c r="AA228" s="180">
        <f t="shared" si="189"/>
        <v>9175680</v>
      </c>
      <c r="AB228" s="180"/>
      <c r="AC228" s="180">
        <f t="shared" si="190"/>
        <v>0</v>
      </c>
      <c r="AD228" s="180">
        <f t="shared" si="182"/>
        <v>0</v>
      </c>
      <c r="AE228" s="180">
        <f t="shared" si="191"/>
        <v>9175680</v>
      </c>
      <c r="AF228" s="178">
        <f t="shared" si="178"/>
        <v>734054.40000000002</v>
      </c>
      <c r="AG228" s="178">
        <f t="shared" si="179"/>
        <v>137635.19999999998</v>
      </c>
      <c r="AH228" s="178">
        <f t="shared" si="180"/>
        <v>91756.800000000003</v>
      </c>
      <c r="AI228" s="178"/>
      <c r="AJ228" s="178">
        <f t="shared" si="192"/>
        <v>963446.4</v>
      </c>
      <c r="AK228" s="181"/>
      <c r="AL228" s="182">
        <f t="shared" si="185"/>
        <v>0</v>
      </c>
      <c r="AM228" s="182"/>
      <c r="AN228" s="182"/>
      <c r="AO228" s="193">
        <f t="shared" si="181"/>
        <v>4.32</v>
      </c>
      <c r="AP228" s="246">
        <v>0.25</v>
      </c>
      <c r="AQ228" s="194">
        <f t="shared" si="193"/>
        <v>1.08</v>
      </c>
      <c r="AR228" s="178">
        <f t="shared" si="194"/>
        <v>1944000</v>
      </c>
      <c r="AS228" s="178"/>
      <c r="AT228" s="178">
        <f t="shared" si="195"/>
        <v>10156234</v>
      </c>
      <c r="AU228" s="469">
        <f t="shared" si="196"/>
        <v>210</v>
      </c>
      <c r="AV228" s="186"/>
      <c r="AW228" s="187" t="s">
        <v>709</v>
      </c>
    </row>
    <row r="229" spans="1:51" s="189" customFormat="1" ht="30.75" customHeight="1" x14ac:dyDescent="0.25">
      <c r="A229" s="168">
        <f>_xlfn.AGGREGATE(4,7,A$13:A228)+1</f>
        <v>211</v>
      </c>
      <c r="B229" s="168" t="str">
        <f>VLOOKUP(D229,[1]LuongBC_T01!$B$9:$C$292,2,FALSE)</f>
        <v>0016100006752009</v>
      </c>
      <c r="C229" s="199" t="s">
        <v>863</v>
      </c>
      <c r="D229" s="169" t="s">
        <v>64</v>
      </c>
      <c r="E229" s="263" t="s">
        <v>1374</v>
      </c>
      <c r="F229" s="169" t="s">
        <v>549</v>
      </c>
      <c r="G229" s="200"/>
      <c r="H229" s="200" t="s">
        <v>283</v>
      </c>
      <c r="I229" s="170" t="s">
        <v>283</v>
      </c>
      <c r="J229" s="169" t="s">
        <v>247</v>
      </c>
      <c r="K229" s="168" t="s">
        <v>1364</v>
      </c>
      <c r="L229" s="171" t="s">
        <v>147</v>
      </c>
      <c r="M229" s="171" t="s">
        <v>863</v>
      </c>
      <c r="N229" s="263" t="str">
        <f>VLOOKUP(D229,'[6]Bao cao So GDDT'!$D$14:$S$282,11,FALSE)</f>
        <v>Giảng viên GDNN LT (hạng III)</v>
      </c>
      <c r="O229" s="390" t="s">
        <v>1438</v>
      </c>
      <c r="P229" s="172" t="s">
        <v>692</v>
      </c>
      <c r="Q229" s="173">
        <v>4</v>
      </c>
      <c r="R229" s="174">
        <v>3.99</v>
      </c>
      <c r="S229" s="176">
        <f t="shared" si="183"/>
        <v>0.59850000000000003</v>
      </c>
      <c r="T229" s="370"/>
      <c r="U229" s="176">
        <f t="shared" si="186"/>
        <v>0</v>
      </c>
      <c r="V229" s="175">
        <f t="shared" si="184"/>
        <v>0</v>
      </c>
      <c r="W229" s="170"/>
      <c r="X229" s="179">
        <v>0.15</v>
      </c>
      <c r="Y229" s="216">
        <f t="shared" si="187"/>
        <v>0.59850000000000003</v>
      </c>
      <c r="Z229" s="216">
        <f t="shared" si="188"/>
        <v>4.5884999999999998</v>
      </c>
      <c r="AA229" s="180">
        <f t="shared" si="189"/>
        <v>8259300</v>
      </c>
      <c r="AB229" s="180"/>
      <c r="AC229" s="180">
        <f t="shared" si="190"/>
        <v>0</v>
      </c>
      <c r="AD229" s="180">
        <f t="shared" si="182"/>
        <v>0</v>
      </c>
      <c r="AE229" s="180">
        <f t="shared" si="191"/>
        <v>8259300</v>
      </c>
      <c r="AF229" s="178">
        <f t="shared" si="178"/>
        <v>660744</v>
      </c>
      <c r="AG229" s="178">
        <f t="shared" si="179"/>
        <v>123889.5</v>
      </c>
      <c r="AH229" s="178">
        <f t="shared" si="180"/>
        <v>82593</v>
      </c>
      <c r="AI229" s="178"/>
      <c r="AJ229" s="178">
        <f t="shared" si="192"/>
        <v>867226.5</v>
      </c>
      <c r="AK229" s="192"/>
      <c r="AL229" s="182">
        <f t="shared" si="185"/>
        <v>0</v>
      </c>
      <c r="AM229" s="182"/>
      <c r="AN229" s="182"/>
      <c r="AO229" s="193">
        <f t="shared" si="181"/>
        <v>3.99</v>
      </c>
      <c r="AP229" s="246">
        <v>0.25</v>
      </c>
      <c r="AQ229" s="194">
        <f t="shared" si="193"/>
        <v>0.99750000000000005</v>
      </c>
      <c r="AR229" s="178">
        <f t="shared" si="194"/>
        <v>1795500</v>
      </c>
      <c r="AS229" s="178"/>
      <c r="AT229" s="178">
        <f t="shared" si="195"/>
        <v>9187574</v>
      </c>
      <c r="AU229" s="469">
        <f t="shared" si="196"/>
        <v>211</v>
      </c>
      <c r="AV229" s="186"/>
      <c r="AW229" s="187" t="s">
        <v>709</v>
      </c>
    </row>
    <row r="230" spans="1:51" s="189" customFormat="1" ht="30.75" customHeight="1" x14ac:dyDescent="0.25">
      <c r="A230" s="168">
        <f>_xlfn.AGGREGATE(4,7,A$13:A229)+1</f>
        <v>212</v>
      </c>
      <c r="B230" s="168" t="str">
        <f>VLOOKUP(D230,[1]LuongBC_T01!$B$9:$C$292,2,FALSE)</f>
        <v>0016100006793007</v>
      </c>
      <c r="C230" s="199" t="s">
        <v>978</v>
      </c>
      <c r="D230" s="169" t="s">
        <v>300</v>
      </c>
      <c r="E230" s="263" t="s">
        <v>1374</v>
      </c>
      <c r="F230" s="169" t="s">
        <v>549</v>
      </c>
      <c r="G230" s="200" t="s">
        <v>25</v>
      </c>
      <c r="H230" s="200" t="s">
        <v>283</v>
      </c>
      <c r="I230" s="170" t="s">
        <v>283</v>
      </c>
      <c r="J230" s="169" t="s">
        <v>530</v>
      </c>
      <c r="K230" s="170" t="str">
        <f>VLOOKUP(D230,[2]T3!$B$2:$D$328,3,FALSE)</f>
        <v>024799248</v>
      </c>
      <c r="L230" s="171" t="s">
        <v>330</v>
      </c>
      <c r="M230" s="171" t="s">
        <v>978</v>
      </c>
      <c r="N230" s="263" t="str">
        <f>VLOOKUP(D230,'[6]Bao cao So GDDT'!$D$14:$S$282,11,FALSE)</f>
        <v>Giảng viên GDNN LT (hạng III)</v>
      </c>
      <c r="O230" s="390" t="s">
        <v>1438</v>
      </c>
      <c r="P230" s="172" t="s">
        <v>692</v>
      </c>
      <c r="Q230" s="173">
        <v>3</v>
      </c>
      <c r="R230" s="174">
        <v>3.66</v>
      </c>
      <c r="S230" s="176">
        <f t="shared" si="183"/>
        <v>0.51239999999999997</v>
      </c>
      <c r="T230" s="370"/>
      <c r="U230" s="176">
        <f t="shared" si="186"/>
        <v>0</v>
      </c>
      <c r="V230" s="175">
        <f t="shared" si="184"/>
        <v>0</v>
      </c>
      <c r="W230" s="170"/>
      <c r="X230" s="179">
        <v>0.14000000000000001</v>
      </c>
      <c r="Y230" s="216">
        <f t="shared" si="187"/>
        <v>0.51239999999999997</v>
      </c>
      <c r="Z230" s="216">
        <f t="shared" si="188"/>
        <v>4.1723999999999997</v>
      </c>
      <c r="AA230" s="180">
        <f t="shared" si="189"/>
        <v>7510320</v>
      </c>
      <c r="AB230" s="180"/>
      <c r="AC230" s="180">
        <f t="shared" si="190"/>
        <v>0</v>
      </c>
      <c r="AD230" s="180">
        <f t="shared" si="182"/>
        <v>0</v>
      </c>
      <c r="AE230" s="180">
        <f t="shared" si="191"/>
        <v>7510320</v>
      </c>
      <c r="AF230" s="178">
        <f t="shared" si="178"/>
        <v>600825.59999999998</v>
      </c>
      <c r="AG230" s="178">
        <f t="shared" si="179"/>
        <v>112654.8</v>
      </c>
      <c r="AH230" s="178">
        <f t="shared" si="180"/>
        <v>75103.199999999997</v>
      </c>
      <c r="AI230" s="178"/>
      <c r="AJ230" s="178">
        <f t="shared" si="192"/>
        <v>788583.6</v>
      </c>
      <c r="AK230" s="192"/>
      <c r="AL230" s="182">
        <f t="shared" si="185"/>
        <v>0</v>
      </c>
      <c r="AM230" s="182"/>
      <c r="AN230" s="182"/>
      <c r="AO230" s="193">
        <f t="shared" si="181"/>
        <v>3.66</v>
      </c>
      <c r="AP230" s="246">
        <v>0.25</v>
      </c>
      <c r="AQ230" s="194">
        <f t="shared" si="193"/>
        <v>0.91500000000000004</v>
      </c>
      <c r="AR230" s="178">
        <f t="shared" si="194"/>
        <v>1647000</v>
      </c>
      <c r="AS230" s="178"/>
      <c r="AT230" s="178">
        <f t="shared" si="195"/>
        <v>8368736</v>
      </c>
      <c r="AU230" s="469">
        <f t="shared" si="196"/>
        <v>212</v>
      </c>
      <c r="AV230" s="195"/>
      <c r="AW230" s="198" t="s">
        <v>709</v>
      </c>
    </row>
    <row r="231" spans="1:51" s="189" customFormat="1" ht="30.75" customHeight="1" x14ac:dyDescent="0.25">
      <c r="A231" s="168">
        <f>_xlfn.AGGREGATE(4,7,A$13:A230)+1</f>
        <v>213</v>
      </c>
      <c r="B231" s="168" t="str">
        <f>VLOOKUP(D231,[1]LuongBC_T01!$B$9:$C$292,2,FALSE)</f>
        <v>0016100006786008</v>
      </c>
      <c r="C231" s="199" t="s">
        <v>991</v>
      </c>
      <c r="D231" s="169" t="s">
        <v>1225</v>
      </c>
      <c r="E231" s="263" t="s">
        <v>1374</v>
      </c>
      <c r="F231" s="169" t="s">
        <v>549</v>
      </c>
      <c r="G231" s="200"/>
      <c r="H231" s="200" t="s">
        <v>283</v>
      </c>
      <c r="I231" s="200" t="s">
        <v>283</v>
      </c>
      <c r="J231" s="200" t="s">
        <v>583</v>
      </c>
      <c r="K231" s="170" t="str">
        <f>VLOOKUP(D231,[2]T3!$B$2:$D$328,3,FALSE)</f>
        <v>024436109</v>
      </c>
      <c r="L231" s="201" t="s">
        <v>605</v>
      </c>
      <c r="M231" s="201" t="s">
        <v>991</v>
      </c>
      <c r="N231" s="263" t="str">
        <f>VLOOKUP(D231,'[6]Bao cao So GDDT'!$D$14:$S$282,11,FALSE)</f>
        <v>Giảng viên GDNN LT (hạng III)</v>
      </c>
      <c r="O231" s="392" t="s">
        <v>1438</v>
      </c>
      <c r="P231" s="170" t="s">
        <v>692</v>
      </c>
      <c r="Q231" s="170">
        <v>3</v>
      </c>
      <c r="R231" s="177">
        <v>3.66</v>
      </c>
      <c r="S231" s="176">
        <f t="shared" si="183"/>
        <v>0.4758</v>
      </c>
      <c r="T231" s="220"/>
      <c r="U231" s="176">
        <f t="shared" si="186"/>
        <v>0</v>
      </c>
      <c r="V231" s="175">
        <f t="shared" si="184"/>
        <v>0</v>
      </c>
      <c r="W231" s="170"/>
      <c r="X231" s="179">
        <v>0.13</v>
      </c>
      <c r="Y231" s="216">
        <f t="shared" si="187"/>
        <v>0.4758</v>
      </c>
      <c r="Z231" s="216">
        <f t="shared" si="188"/>
        <v>4.1357999999999997</v>
      </c>
      <c r="AA231" s="180">
        <f t="shared" si="189"/>
        <v>7444440</v>
      </c>
      <c r="AB231" s="180"/>
      <c r="AC231" s="180">
        <f t="shared" si="190"/>
        <v>0</v>
      </c>
      <c r="AD231" s="180">
        <f t="shared" si="182"/>
        <v>0</v>
      </c>
      <c r="AE231" s="180">
        <f t="shared" si="191"/>
        <v>7444440</v>
      </c>
      <c r="AF231" s="178">
        <f t="shared" si="178"/>
        <v>595555.20000000007</v>
      </c>
      <c r="AG231" s="178">
        <f t="shared" si="179"/>
        <v>111666.59999999999</v>
      </c>
      <c r="AH231" s="178">
        <f t="shared" si="180"/>
        <v>74444.400000000009</v>
      </c>
      <c r="AI231" s="178"/>
      <c r="AJ231" s="178">
        <f t="shared" si="192"/>
        <v>781666.20000000007</v>
      </c>
      <c r="AK231" s="192"/>
      <c r="AL231" s="182">
        <f t="shared" si="185"/>
        <v>0</v>
      </c>
      <c r="AM231" s="182"/>
      <c r="AN231" s="182"/>
      <c r="AO231" s="193">
        <f t="shared" si="181"/>
        <v>3.66</v>
      </c>
      <c r="AP231" s="246">
        <v>0.25</v>
      </c>
      <c r="AQ231" s="194">
        <f t="shared" si="193"/>
        <v>0.91500000000000004</v>
      </c>
      <c r="AR231" s="178">
        <f t="shared" si="194"/>
        <v>1647000</v>
      </c>
      <c r="AS231" s="178"/>
      <c r="AT231" s="178">
        <f t="shared" si="195"/>
        <v>8309774</v>
      </c>
      <c r="AU231" s="469">
        <f t="shared" si="196"/>
        <v>213</v>
      </c>
      <c r="AV231" s="186"/>
      <c r="AW231" s="198" t="s">
        <v>709</v>
      </c>
    </row>
    <row r="232" spans="1:51" s="189" customFormat="1" ht="30.75" customHeight="1" x14ac:dyDescent="0.25">
      <c r="A232" s="168">
        <f>_xlfn.AGGREGATE(4,7,A$13:A231)+1</f>
        <v>214</v>
      </c>
      <c r="B232" s="168" t="str">
        <f>VLOOKUP(D232,[1]LuongBC_T01!$B$9:$C$292,2,FALSE)</f>
        <v>0016100006788003</v>
      </c>
      <c r="C232" s="199" t="s">
        <v>997</v>
      </c>
      <c r="D232" s="169" t="s">
        <v>1229</v>
      </c>
      <c r="E232" s="263" t="s">
        <v>1374</v>
      </c>
      <c r="F232" s="169" t="s">
        <v>549</v>
      </c>
      <c r="G232" s="200"/>
      <c r="H232" s="200" t="s">
        <v>283</v>
      </c>
      <c r="I232" s="200" t="s">
        <v>283</v>
      </c>
      <c r="J232" s="200" t="s">
        <v>591</v>
      </c>
      <c r="K232" s="170" t="str">
        <f>VLOOKUP(D232,[2]T3!$B$2:$D$328,3,FALSE)</f>
        <v>022939793</v>
      </c>
      <c r="L232" s="201" t="s">
        <v>613</v>
      </c>
      <c r="M232" s="201" t="s">
        <v>997</v>
      </c>
      <c r="N232" s="263" t="str">
        <f>VLOOKUP(D232,'[6]Bao cao So GDDT'!$D$14:$S$282,11,FALSE)</f>
        <v>Giảng viên GDNN LT (hạng III)</v>
      </c>
      <c r="O232" s="392" t="s">
        <v>1438</v>
      </c>
      <c r="P232" s="170" t="s">
        <v>692</v>
      </c>
      <c r="Q232" s="170">
        <v>3</v>
      </c>
      <c r="R232" s="177">
        <v>3.66</v>
      </c>
      <c r="S232" s="176">
        <f t="shared" si="183"/>
        <v>0.4758</v>
      </c>
      <c r="T232" s="220"/>
      <c r="U232" s="176">
        <f t="shared" si="186"/>
        <v>0</v>
      </c>
      <c r="V232" s="175">
        <f t="shared" si="184"/>
        <v>0</v>
      </c>
      <c r="W232" s="170"/>
      <c r="X232" s="179">
        <v>0.13</v>
      </c>
      <c r="Y232" s="216">
        <f t="shared" si="187"/>
        <v>0.4758</v>
      </c>
      <c r="Z232" s="216">
        <f t="shared" si="188"/>
        <v>4.1357999999999997</v>
      </c>
      <c r="AA232" s="180">
        <f t="shared" si="189"/>
        <v>7444440</v>
      </c>
      <c r="AB232" s="180"/>
      <c r="AC232" s="180">
        <f t="shared" si="190"/>
        <v>0</v>
      </c>
      <c r="AD232" s="180">
        <f t="shared" si="182"/>
        <v>0</v>
      </c>
      <c r="AE232" s="180">
        <f t="shared" si="191"/>
        <v>7444440</v>
      </c>
      <c r="AF232" s="178">
        <f t="shared" si="178"/>
        <v>595555.20000000007</v>
      </c>
      <c r="AG232" s="178">
        <f t="shared" si="179"/>
        <v>111666.59999999999</v>
      </c>
      <c r="AH232" s="178">
        <f t="shared" si="180"/>
        <v>74444.400000000009</v>
      </c>
      <c r="AI232" s="178"/>
      <c r="AJ232" s="178">
        <f t="shared" si="192"/>
        <v>781666.20000000007</v>
      </c>
      <c r="AK232" s="192"/>
      <c r="AL232" s="182">
        <f t="shared" si="185"/>
        <v>0</v>
      </c>
      <c r="AM232" s="182"/>
      <c r="AN232" s="182"/>
      <c r="AO232" s="193">
        <f t="shared" si="181"/>
        <v>3.66</v>
      </c>
      <c r="AP232" s="246">
        <v>0.25</v>
      </c>
      <c r="AQ232" s="194">
        <f t="shared" si="193"/>
        <v>0.91500000000000004</v>
      </c>
      <c r="AR232" s="178">
        <f t="shared" si="194"/>
        <v>1647000</v>
      </c>
      <c r="AS232" s="178"/>
      <c r="AT232" s="178">
        <f t="shared" si="195"/>
        <v>8309774</v>
      </c>
      <c r="AU232" s="469">
        <f t="shared" si="196"/>
        <v>214</v>
      </c>
      <c r="AV232" s="186"/>
      <c r="AW232" s="187" t="s">
        <v>709</v>
      </c>
    </row>
    <row r="233" spans="1:51" s="189" customFormat="1" ht="30.75" customHeight="1" x14ac:dyDescent="0.25">
      <c r="A233" s="168">
        <f>_xlfn.AGGREGATE(4,7,A$13:A232)+1</f>
        <v>215</v>
      </c>
      <c r="B233" s="168" t="s">
        <v>1428</v>
      </c>
      <c r="C233" s="199" t="s">
        <v>990</v>
      </c>
      <c r="D233" s="875" t="s">
        <v>1653</v>
      </c>
      <c r="E233" s="263" t="s">
        <v>1374</v>
      </c>
      <c r="F233" s="169" t="s">
        <v>549</v>
      </c>
      <c r="G233" s="200"/>
      <c r="H233" s="200" t="s">
        <v>283</v>
      </c>
      <c r="I233" s="200" t="s">
        <v>283</v>
      </c>
      <c r="J233" s="200" t="s">
        <v>582</v>
      </c>
      <c r="K233" s="168" t="s">
        <v>1363</v>
      </c>
      <c r="L233" s="201" t="s">
        <v>604</v>
      </c>
      <c r="M233" s="201" t="s">
        <v>990</v>
      </c>
      <c r="N233" s="263" t="e">
        <f>VLOOKUP(D233,'[6]Bao cao So GDDT'!$D$14:$S$282,11,FALSE)</f>
        <v>#N/A</v>
      </c>
      <c r="O233" s="392" t="s">
        <v>1438</v>
      </c>
      <c r="P233" s="170" t="s">
        <v>692</v>
      </c>
      <c r="Q233" s="170">
        <v>3</v>
      </c>
      <c r="R233" s="177">
        <v>3.66</v>
      </c>
      <c r="S233" s="176">
        <f t="shared" si="183"/>
        <v>0.4758</v>
      </c>
      <c r="T233" s="220"/>
      <c r="U233" s="176">
        <f t="shared" si="186"/>
        <v>0</v>
      </c>
      <c r="V233" s="175">
        <f t="shared" si="184"/>
        <v>0</v>
      </c>
      <c r="W233" s="170"/>
      <c r="X233" s="179">
        <v>0.13</v>
      </c>
      <c r="Y233" s="216">
        <f t="shared" si="187"/>
        <v>0.4758</v>
      </c>
      <c r="Z233" s="216">
        <f t="shared" si="188"/>
        <v>4.1357999999999997</v>
      </c>
      <c r="AA233" s="180">
        <f t="shared" si="189"/>
        <v>7444440</v>
      </c>
      <c r="AB233" s="180"/>
      <c r="AC233" s="180">
        <f t="shared" si="190"/>
        <v>0</v>
      </c>
      <c r="AD233" s="180">
        <f t="shared" si="182"/>
        <v>0</v>
      </c>
      <c r="AE233" s="180">
        <f t="shared" si="191"/>
        <v>7444440</v>
      </c>
      <c r="AF233" s="178">
        <f t="shared" si="178"/>
        <v>595555.20000000007</v>
      </c>
      <c r="AG233" s="178">
        <f t="shared" si="179"/>
        <v>111666.59999999999</v>
      </c>
      <c r="AH233" s="178">
        <f t="shared" si="180"/>
        <v>74444.400000000009</v>
      </c>
      <c r="AI233" s="178"/>
      <c r="AJ233" s="178">
        <f t="shared" si="192"/>
        <v>781666.20000000007</v>
      </c>
      <c r="AK233" s="192"/>
      <c r="AL233" s="182">
        <f t="shared" si="185"/>
        <v>0</v>
      </c>
      <c r="AM233" s="182"/>
      <c r="AN233" s="182"/>
      <c r="AO233" s="193">
        <f t="shared" si="181"/>
        <v>3.66</v>
      </c>
      <c r="AP233" s="246">
        <v>0.25</v>
      </c>
      <c r="AQ233" s="194">
        <f t="shared" si="193"/>
        <v>0.91500000000000004</v>
      </c>
      <c r="AR233" s="178">
        <f t="shared" si="194"/>
        <v>1647000</v>
      </c>
      <c r="AS233" s="178"/>
      <c r="AT233" s="178">
        <f t="shared" si="195"/>
        <v>8309774</v>
      </c>
      <c r="AU233" s="469">
        <f t="shared" si="196"/>
        <v>215</v>
      </c>
      <c r="AV233" s="186"/>
      <c r="AW233" s="198" t="s">
        <v>709</v>
      </c>
    </row>
    <row r="234" spans="1:51" s="189" customFormat="1" ht="30.75" customHeight="1" x14ac:dyDescent="0.25">
      <c r="A234" s="168">
        <f>_xlfn.AGGREGATE(4,7,A$13:A233)+1</f>
        <v>216</v>
      </c>
      <c r="B234" s="168" t="str">
        <f>VLOOKUP(D234,[1]LuongBC_T01!$B$9:$C$292,2,FALSE)</f>
        <v>0016100006813008</v>
      </c>
      <c r="C234" s="199" t="s">
        <v>927</v>
      </c>
      <c r="D234" s="169" t="s">
        <v>554</v>
      </c>
      <c r="E234" s="263" t="s">
        <v>1374</v>
      </c>
      <c r="F234" s="169" t="s">
        <v>549</v>
      </c>
      <c r="G234" s="200"/>
      <c r="H234" s="200" t="s">
        <v>283</v>
      </c>
      <c r="I234" s="200" t="s">
        <v>283</v>
      </c>
      <c r="J234" s="200"/>
      <c r="K234" s="168" t="s">
        <v>1362</v>
      </c>
      <c r="L234" s="201" t="s">
        <v>677</v>
      </c>
      <c r="M234" s="201" t="s">
        <v>927</v>
      </c>
      <c r="N234" s="263" t="str">
        <f>VLOOKUP(D234,'[6]Bao cao So GDDT'!$D$14:$S$282,11,FALSE)</f>
        <v>Giảng viên GDNN LT (hạng III)</v>
      </c>
      <c r="O234" s="390" t="s">
        <v>1438</v>
      </c>
      <c r="P234" s="222" t="s">
        <v>692</v>
      </c>
      <c r="Q234" s="172">
        <v>3</v>
      </c>
      <c r="R234" s="430">
        <v>3.66</v>
      </c>
      <c r="S234" s="176">
        <f t="shared" si="183"/>
        <v>0.43919999999999998</v>
      </c>
      <c r="T234" s="220"/>
      <c r="U234" s="176">
        <f t="shared" si="186"/>
        <v>0</v>
      </c>
      <c r="V234" s="175">
        <f t="shared" si="184"/>
        <v>0</v>
      </c>
      <c r="W234" s="170"/>
      <c r="X234" s="179">
        <v>0.12</v>
      </c>
      <c r="Y234" s="216">
        <f t="shared" si="187"/>
        <v>0.43919999999999998</v>
      </c>
      <c r="Z234" s="216">
        <f t="shared" si="188"/>
        <v>4.0991999999999997</v>
      </c>
      <c r="AA234" s="180">
        <f t="shared" si="189"/>
        <v>7378560</v>
      </c>
      <c r="AB234" s="180"/>
      <c r="AC234" s="180">
        <f t="shared" si="190"/>
        <v>0</v>
      </c>
      <c r="AD234" s="180">
        <v>0</v>
      </c>
      <c r="AE234" s="180">
        <f t="shared" si="191"/>
        <v>7378560</v>
      </c>
      <c r="AF234" s="178">
        <f t="shared" si="178"/>
        <v>590284.80000000005</v>
      </c>
      <c r="AG234" s="178">
        <f t="shared" si="179"/>
        <v>110678.39999999999</v>
      </c>
      <c r="AH234" s="178">
        <f t="shared" si="180"/>
        <v>73785.600000000006</v>
      </c>
      <c r="AI234" s="178"/>
      <c r="AJ234" s="178">
        <f t="shared" si="192"/>
        <v>774748.8</v>
      </c>
      <c r="AK234" s="192"/>
      <c r="AL234" s="182">
        <f t="shared" si="185"/>
        <v>0</v>
      </c>
      <c r="AM234" s="182"/>
      <c r="AN234" s="182"/>
      <c r="AO234" s="193">
        <f t="shared" si="181"/>
        <v>3.66</v>
      </c>
      <c r="AP234" s="246">
        <v>0.25</v>
      </c>
      <c r="AQ234" s="194">
        <f t="shared" si="193"/>
        <v>0.91500000000000004</v>
      </c>
      <c r="AR234" s="178">
        <f t="shared" si="194"/>
        <v>1647000</v>
      </c>
      <c r="AS234" s="178"/>
      <c r="AT234" s="178">
        <f t="shared" si="195"/>
        <v>8250811</v>
      </c>
      <c r="AU234" s="469">
        <f t="shared" si="196"/>
        <v>216</v>
      </c>
      <c r="AV234" s="195"/>
      <c r="AW234" s="252" t="s">
        <v>709</v>
      </c>
    </row>
    <row r="235" spans="1:51" s="189" customFormat="1" ht="30.75" customHeight="1" x14ac:dyDescent="0.25">
      <c r="A235" s="168">
        <f>_xlfn.AGGREGATE(4,7,A$13:A234)+1</f>
        <v>217</v>
      </c>
      <c r="B235" s="168" t="str">
        <f>VLOOKUP(D235,[1]LuongBC_T01!$B$9:$C$292,2,FALSE)</f>
        <v>0016100006757008</v>
      </c>
      <c r="C235" s="199" t="s">
        <v>999</v>
      </c>
      <c r="D235" s="230" t="s">
        <v>558</v>
      </c>
      <c r="E235" s="263" t="s">
        <v>1374</v>
      </c>
      <c r="F235" s="231"/>
      <c r="G235" s="251" t="s">
        <v>25</v>
      </c>
      <c r="H235" s="200" t="s">
        <v>283</v>
      </c>
      <c r="I235" s="200" t="s">
        <v>283</v>
      </c>
      <c r="J235" s="231"/>
      <c r="K235" s="168" t="s">
        <v>1365</v>
      </c>
      <c r="L235" s="386">
        <v>1603205357641</v>
      </c>
      <c r="M235" s="386" t="s">
        <v>999</v>
      </c>
      <c r="N235" s="263" t="str">
        <f>VLOOKUP(D235,'[6]Bao cao So GDDT'!$D$14:$S$282,11,FALSE)</f>
        <v>Giảng viên GDNN LT (hạng III)</v>
      </c>
      <c r="O235" s="393" t="s">
        <v>1438</v>
      </c>
      <c r="P235" s="170" t="s">
        <v>692</v>
      </c>
      <c r="Q235" s="170">
        <v>3</v>
      </c>
      <c r="R235" s="177">
        <v>3.66</v>
      </c>
      <c r="S235" s="176">
        <f t="shared" si="183"/>
        <v>0.4758</v>
      </c>
      <c r="T235" s="169"/>
      <c r="U235" s="176">
        <f t="shared" si="186"/>
        <v>0</v>
      </c>
      <c r="V235" s="175">
        <f t="shared" si="184"/>
        <v>0</v>
      </c>
      <c r="W235" s="170"/>
      <c r="X235" s="179">
        <v>0.13</v>
      </c>
      <c r="Y235" s="216">
        <f t="shared" si="187"/>
        <v>0.4758</v>
      </c>
      <c r="Z235" s="216">
        <f t="shared" si="188"/>
        <v>4.1357999999999997</v>
      </c>
      <c r="AA235" s="180">
        <f t="shared" si="189"/>
        <v>7444440</v>
      </c>
      <c r="AB235" s="180"/>
      <c r="AC235" s="180">
        <f t="shared" si="190"/>
        <v>0</v>
      </c>
      <c r="AD235" s="180">
        <f t="shared" ref="AD235:AD244" si="197">AA235/24*AB235*75%</f>
        <v>0</v>
      </c>
      <c r="AE235" s="180">
        <f t="shared" si="191"/>
        <v>7444440</v>
      </c>
      <c r="AF235" s="178">
        <f t="shared" si="178"/>
        <v>595555.20000000007</v>
      </c>
      <c r="AG235" s="178">
        <f t="shared" si="179"/>
        <v>111666.59999999999</v>
      </c>
      <c r="AH235" s="178">
        <f t="shared" si="180"/>
        <v>74444.400000000009</v>
      </c>
      <c r="AI235" s="178"/>
      <c r="AJ235" s="178">
        <f t="shared" si="192"/>
        <v>781666.20000000007</v>
      </c>
      <c r="AK235" s="192"/>
      <c r="AL235" s="182">
        <f t="shared" si="185"/>
        <v>0</v>
      </c>
      <c r="AM235" s="182"/>
      <c r="AN235" s="182"/>
      <c r="AO235" s="183">
        <f t="shared" si="181"/>
        <v>3.66</v>
      </c>
      <c r="AP235" s="246">
        <v>0.25</v>
      </c>
      <c r="AQ235" s="194">
        <f t="shared" si="193"/>
        <v>0.91500000000000004</v>
      </c>
      <c r="AR235" s="178">
        <f t="shared" si="194"/>
        <v>1647000</v>
      </c>
      <c r="AS235" s="178"/>
      <c r="AT235" s="178">
        <f t="shared" si="195"/>
        <v>8309774</v>
      </c>
      <c r="AU235" s="469">
        <f t="shared" si="196"/>
        <v>217</v>
      </c>
      <c r="AV235" s="244"/>
      <c r="AW235" s="198" t="s">
        <v>709</v>
      </c>
    </row>
    <row r="236" spans="1:51" s="189" customFormat="1" ht="30.75" customHeight="1" x14ac:dyDescent="0.25">
      <c r="A236" s="168">
        <f>_xlfn.AGGREGATE(4,7,A$13:A235)+1</f>
        <v>218</v>
      </c>
      <c r="B236" s="168" t="str">
        <f>VLOOKUP(D236,[1]LuongBC_T01!$B$9:$C$292,2,FALSE)</f>
        <v>0016100006790008</v>
      </c>
      <c r="C236" s="199" t="s">
        <v>1012</v>
      </c>
      <c r="D236" s="230" t="s">
        <v>562</v>
      </c>
      <c r="E236" s="263" t="s">
        <v>1374</v>
      </c>
      <c r="F236" s="231"/>
      <c r="G236" s="231"/>
      <c r="H236" s="231"/>
      <c r="I236" s="231"/>
      <c r="J236" s="231"/>
      <c r="K236" s="170" t="str">
        <f>VLOOKUP(D236,[2]T3!$B$2:$D$328,3,FALSE)</f>
        <v>024221614</v>
      </c>
      <c r="L236" s="386">
        <v>1603205357120</v>
      </c>
      <c r="M236" s="386" t="s">
        <v>1012</v>
      </c>
      <c r="N236" s="263" t="str">
        <f>VLOOKUP(D236,'[6]Bao cao So GDDT'!$D$14:$S$282,11,FALSE)</f>
        <v>Giảng viên GDNN LT (hạng III)</v>
      </c>
      <c r="O236" s="393" t="s">
        <v>1438</v>
      </c>
      <c r="P236" s="170" t="s">
        <v>692</v>
      </c>
      <c r="Q236" s="170">
        <v>2</v>
      </c>
      <c r="R236" s="177">
        <v>3.33</v>
      </c>
      <c r="S236" s="176">
        <f t="shared" si="183"/>
        <v>0.33300000000000002</v>
      </c>
      <c r="T236" s="169"/>
      <c r="U236" s="176">
        <f t="shared" si="186"/>
        <v>0</v>
      </c>
      <c r="V236" s="175">
        <f t="shared" si="184"/>
        <v>0</v>
      </c>
      <c r="W236" s="170"/>
      <c r="X236" s="179">
        <v>0.1</v>
      </c>
      <c r="Y236" s="216">
        <f t="shared" si="187"/>
        <v>0.33300000000000002</v>
      </c>
      <c r="Z236" s="216">
        <f t="shared" si="188"/>
        <v>3.6630000000000003</v>
      </c>
      <c r="AA236" s="180">
        <f t="shared" si="189"/>
        <v>6593400</v>
      </c>
      <c r="AB236" s="180"/>
      <c r="AC236" s="180">
        <f t="shared" si="190"/>
        <v>0</v>
      </c>
      <c r="AD236" s="180">
        <f t="shared" si="197"/>
        <v>0</v>
      </c>
      <c r="AE236" s="180">
        <f t="shared" si="191"/>
        <v>6593400</v>
      </c>
      <c r="AF236" s="178">
        <f t="shared" si="178"/>
        <v>527472</v>
      </c>
      <c r="AG236" s="178">
        <f t="shared" si="179"/>
        <v>98901</v>
      </c>
      <c r="AH236" s="178">
        <f t="shared" si="180"/>
        <v>65934</v>
      </c>
      <c r="AI236" s="178"/>
      <c r="AJ236" s="178">
        <f t="shared" si="192"/>
        <v>692307</v>
      </c>
      <c r="AK236" s="192"/>
      <c r="AL236" s="182">
        <f t="shared" si="185"/>
        <v>0</v>
      </c>
      <c r="AM236" s="182"/>
      <c r="AN236" s="182"/>
      <c r="AO236" s="183">
        <f t="shared" si="181"/>
        <v>3.33</v>
      </c>
      <c r="AP236" s="246">
        <v>0.25</v>
      </c>
      <c r="AQ236" s="194">
        <f t="shared" si="193"/>
        <v>0.83250000000000002</v>
      </c>
      <c r="AR236" s="178">
        <f t="shared" si="194"/>
        <v>1498500</v>
      </c>
      <c r="AS236" s="178"/>
      <c r="AT236" s="178">
        <f t="shared" si="195"/>
        <v>7399593</v>
      </c>
      <c r="AU236" s="469">
        <f t="shared" si="196"/>
        <v>218</v>
      </c>
      <c r="AV236" s="186"/>
      <c r="AW236" s="198" t="s">
        <v>709</v>
      </c>
    </row>
    <row r="237" spans="1:51" s="189" customFormat="1" ht="30.75" customHeight="1" x14ac:dyDescent="0.25">
      <c r="A237" s="168">
        <f>_xlfn.AGGREGATE(4,7,A$13:A236)+1</f>
        <v>219</v>
      </c>
      <c r="B237" s="168" t="str">
        <f>VLOOKUP(D237,[1]LuongBC_T01!$B$9:$C$292,2,FALSE)</f>
        <v>0016100006597003</v>
      </c>
      <c r="C237" s="387" t="s">
        <v>899</v>
      </c>
      <c r="D237" s="169" t="s">
        <v>806</v>
      </c>
      <c r="E237" s="263" t="s">
        <v>1374</v>
      </c>
      <c r="F237" s="220"/>
      <c r="G237" s="220" t="s">
        <v>25</v>
      </c>
      <c r="H237" s="220"/>
      <c r="I237" s="220"/>
      <c r="J237" s="220"/>
      <c r="K237" s="168" t="s">
        <v>1361</v>
      </c>
      <c r="L237" s="220"/>
      <c r="M237" s="170" t="s">
        <v>899</v>
      </c>
      <c r="N237" s="263" t="str">
        <f>VLOOKUP(D237,'[6]Bao cao So GDDT'!$D$14:$S$282,11,FALSE)</f>
        <v>Giảng viên GDNN LT (hạng III)</v>
      </c>
      <c r="O237" s="263" t="s">
        <v>1438</v>
      </c>
      <c r="P237" s="170" t="s">
        <v>692</v>
      </c>
      <c r="Q237" s="170">
        <v>2</v>
      </c>
      <c r="R237" s="177">
        <v>3.33</v>
      </c>
      <c r="S237" s="176">
        <f t="shared" si="183"/>
        <v>0.2331</v>
      </c>
      <c r="T237" s="220"/>
      <c r="U237" s="176">
        <f t="shared" si="186"/>
        <v>0</v>
      </c>
      <c r="V237" s="175">
        <f t="shared" si="184"/>
        <v>0</v>
      </c>
      <c r="W237" s="170"/>
      <c r="X237" s="179">
        <v>7.0000000000000007E-2</v>
      </c>
      <c r="Y237" s="216">
        <f t="shared" si="187"/>
        <v>0.2331</v>
      </c>
      <c r="Z237" s="216">
        <f t="shared" si="188"/>
        <v>3.5630999999999999</v>
      </c>
      <c r="AA237" s="180">
        <f t="shared" si="189"/>
        <v>6413580</v>
      </c>
      <c r="AB237" s="180"/>
      <c r="AC237" s="180">
        <f t="shared" si="190"/>
        <v>0</v>
      </c>
      <c r="AD237" s="180">
        <f t="shared" si="197"/>
        <v>0</v>
      </c>
      <c r="AE237" s="180">
        <f t="shared" si="191"/>
        <v>6413580</v>
      </c>
      <c r="AF237" s="178">
        <f t="shared" ref="AF237:AF271" si="198">AA237*8%</f>
        <v>513086.4</v>
      </c>
      <c r="AG237" s="178">
        <f t="shared" ref="AG237:AG271" si="199">AA237*1.5%</f>
        <v>96203.7</v>
      </c>
      <c r="AH237" s="178">
        <f t="shared" ref="AH237:AH271" si="200">AA237*1%</f>
        <v>64135.8</v>
      </c>
      <c r="AI237" s="178"/>
      <c r="AJ237" s="178">
        <f t="shared" si="192"/>
        <v>673425.9</v>
      </c>
      <c r="AK237" s="192"/>
      <c r="AL237" s="182">
        <f t="shared" si="185"/>
        <v>0</v>
      </c>
      <c r="AM237" s="182"/>
      <c r="AN237" s="182"/>
      <c r="AO237" s="183">
        <f t="shared" si="181"/>
        <v>3.33</v>
      </c>
      <c r="AP237" s="246">
        <v>0.25</v>
      </c>
      <c r="AQ237" s="185">
        <f t="shared" si="193"/>
        <v>0.83250000000000002</v>
      </c>
      <c r="AR237" s="178">
        <f t="shared" si="194"/>
        <v>1498500</v>
      </c>
      <c r="AS237" s="178"/>
      <c r="AT237" s="178">
        <f t="shared" si="195"/>
        <v>7238654</v>
      </c>
      <c r="AU237" s="469">
        <f t="shared" si="196"/>
        <v>219</v>
      </c>
      <c r="AV237" s="195"/>
      <c r="AW237" s="198"/>
    </row>
    <row r="238" spans="1:51" s="189" customFormat="1" ht="30.75" customHeight="1" x14ac:dyDescent="0.25">
      <c r="A238" s="168">
        <f>_xlfn.AGGREGATE(4,7,A$13:A237)+1</f>
        <v>220</v>
      </c>
      <c r="B238" s="168" t="str">
        <f>VLOOKUP(D238,[1]LuongBC_T01!$B$9:$C$292,2,FALSE)</f>
        <v>0016100007212008</v>
      </c>
      <c r="C238" s="170" t="s">
        <v>1328</v>
      </c>
      <c r="D238" s="169" t="s">
        <v>1282</v>
      </c>
      <c r="E238" s="263" t="s">
        <v>1374</v>
      </c>
      <c r="F238" s="220"/>
      <c r="G238" s="220"/>
      <c r="H238" s="220"/>
      <c r="I238" s="220"/>
      <c r="J238" s="220"/>
      <c r="K238" s="170">
        <f>VLOOKUP(D238,[2]T3!$B$2:$D$328,3,FALSE)</f>
        <v>331950060</v>
      </c>
      <c r="L238" s="220"/>
      <c r="M238" s="170"/>
      <c r="N238" s="263" t="str">
        <f>VLOOKUP(D238,'[6]Bao cao So GDDT'!$D$14:$S$282,11,FALSE)</f>
        <v>Giảng viên GDNN LT (hạng III)</v>
      </c>
      <c r="O238" s="263" t="s">
        <v>1438</v>
      </c>
      <c r="P238" s="251"/>
      <c r="Q238" s="251"/>
      <c r="R238" s="177">
        <v>3</v>
      </c>
      <c r="S238" s="176"/>
      <c r="T238" s="220"/>
      <c r="U238" s="176">
        <f t="shared" si="186"/>
        <v>0</v>
      </c>
      <c r="V238" s="175"/>
      <c r="W238" s="170"/>
      <c r="X238" s="179">
        <v>0.11</v>
      </c>
      <c r="Y238" s="216">
        <f t="shared" si="187"/>
        <v>0.33</v>
      </c>
      <c r="Z238" s="216">
        <f t="shared" si="188"/>
        <v>3.33</v>
      </c>
      <c r="AA238" s="180">
        <f t="shared" si="189"/>
        <v>5994000</v>
      </c>
      <c r="AB238" s="180"/>
      <c r="AC238" s="180">
        <f t="shared" si="190"/>
        <v>0</v>
      </c>
      <c r="AD238" s="180">
        <f t="shared" si="197"/>
        <v>0</v>
      </c>
      <c r="AE238" s="180">
        <f t="shared" si="191"/>
        <v>5994000</v>
      </c>
      <c r="AF238" s="178">
        <f t="shared" si="198"/>
        <v>479520</v>
      </c>
      <c r="AG238" s="178">
        <f t="shared" si="199"/>
        <v>89910</v>
      </c>
      <c r="AH238" s="178">
        <f t="shared" si="200"/>
        <v>59940</v>
      </c>
      <c r="AI238" s="178"/>
      <c r="AJ238" s="178">
        <f t="shared" si="192"/>
        <v>629370</v>
      </c>
      <c r="AK238" s="192"/>
      <c r="AL238" s="182">
        <f t="shared" si="185"/>
        <v>0</v>
      </c>
      <c r="AM238" s="182"/>
      <c r="AN238" s="182"/>
      <c r="AO238" s="183">
        <f t="shared" si="181"/>
        <v>3</v>
      </c>
      <c r="AP238" s="246">
        <v>0.25</v>
      </c>
      <c r="AQ238" s="185">
        <f t="shared" si="193"/>
        <v>0.75</v>
      </c>
      <c r="AR238" s="178">
        <f t="shared" si="194"/>
        <v>1350000</v>
      </c>
      <c r="AS238" s="178"/>
      <c r="AT238" s="178">
        <f t="shared" si="195"/>
        <v>6714630</v>
      </c>
      <c r="AU238" s="469">
        <f t="shared" si="196"/>
        <v>220</v>
      </c>
      <c r="AV238" s="195"/>
      <c r="AW238" s="485"/>
    </row>
    <row r="239" spans="1:51" s="189" customFormat="1" ht="30.75" customHeight="1" x14ac:dyDescent="0.25">
      <c r="A239" s="168">
        <f>_xlfn.AGGREGATE(4,7,A$13:A238)+1</f>
        <v>221</v>
      </c>
      <c r="B239" s="168" t="str">
        <f>VLOOKUP(D239,[1]LuongBC_T01!$B$9:$C$292,2,FALSE)</f>
        <v>0016100007698008</v>
      </c>
      <c r="C239" s="170" t="s">
        <v>1326</v>
      </c>
      <c r="D239" s="169" t="s">
        <v>1289</v>
      </c>
      <c r="E239" s="263" t="s">
        <v>1374</v>
      </c>
      <c r="F239" s="220"/>
      <c r="G239" s="220"/>
      <c r="H239" s="220"/>
      <c r="I239" s="220"/>
      <c r="J239" s="220"/>
      <c r="K239" s="170" t="str">
        <f>VLOOKUP(D239,[2]T3!$B$2:$D$328,3,FALSE)</f>
        <v>079089004197</v>
      </c>
      <c r="L239" s="490" t="s">
        <v>1295</v>
      </c>
      <c r="M239" s="170"/>
      <c r="N239" s="263" t="str">
        <f>VLOOKUP(D239,'[6]Bao cao So GDDT'!$D$14:$S$282,11,FALSE)</f>
        <v>Giảng viên GDNN LT (hạng III)</v>
      </c>
      <c r="O239" s="390" t="s">
        <v>1438</v>
      </c>
      <c r="P239" s="251"/>
      <c r="Q239" s="251"/>
      <c r="R239" s="177">
        <v>3</v>
      </c>
      <c r="S239" s="176"/>
      <c r="T239" s="220"/>
      <c r="U239" s="176">
        <f t="shared" si="186"/>
        <v>0</v>
      </c>
      <c r="V239" s="175"/>
      <c r="W239" s="170"/>
      <c r="X239" s="179">
        <v>0.06</v>
      </c>
      <c r="Y239" s="216">
        <f t="shared" si="187"/>
        <v>0.18</v>
      </c>
      <c r="Z239" s="216">
        <f t="shared" si="188"/>
        <v>3.18</v>
      </c>
      <c r="AA239" s="180">
        <f t="shared" si="189"/>
        <v>5724000</v>
      </c>
      <c r="AB239" s="180"/>
      <c r="AC239" s="180">
        <f t="shared" si="190"/>
        <v>0</v>
      </c>
      <c r="AD239" s="180">
        <f t="shared" si="197"/>
        <v>0</v>
      </c>
      <c r="AE239" s="180">
        <f t="shared" si="191"/>
        <v>5724000</v>
      </c>
      <c r="AF239" s="178">
        <f t="shared" si="198"/>
        <v>457920</v>
      </c>
      <c r="AG239" s="178">
        <f t="shared" si="199"/>
        <v>85860</v>
      </c>
      <c r="AH239" s="178">
        <f t="shared" si="200"/>
        <v>57240</v>
      </c>
      <c r="AI239" s="178"/>
      <c r="AJ239" s="178">
        <f t="shared" si="192"/>
        <v>601020</v>
      </c>
      <c r="AK239" s="192"/>
      <c r="AL239" s="182">
        <f t="shared" si="185"/>
        <v>0</v>
      </c>
      <c r="AM239" s="182"/>
      <c r="AN239" s="182"/>
      <c r="AO239" s="183">
        <f t="shared" si="181"/>
        <v>3</v>
      </c>
      <c r="AP239" s="246">
        <v>0.25</v>
      </c>
      <c r="AQ239" s="185">
        <f t="shared" si="193"/>
        <v>0.75</v>
      </c>
      <c r="AR239" s="178">
        <f t="shared" si="194"/>
        <v>1350000</v>
      </c>
      <c r="AS239" s="178"/>
      <c r="AT239" s="178">
        <f t="shared" si="195"/>
        <v>6472980</v>
      </c>
      <c r="AU239" s="469">
        <f t="shared" si="196"/>
        <v>221</v>
      </c>
      <c r="AV239" s="195"/>
      <c r="AW239" s="485"/>
    </row>
    <row r="240" spans="1:51" s="189" customFormat="1" ht="30.75" customHeight="1" x14ac:dyDescent="0.25">
      <c r="A240" s="168">
        <f>_xlfn.AGGREGATE(4,7,A$13:A239)+1</f>
        <v>222</v>
      </c>
      <c r="B240" s="168" t="str">
        <f>VLOOKUP(D240,[1]LuongBC_T01!$B$9:$C$292,2,FALSE)</f>
        <v>0016100012451002</v>
      </c>
      <c r="C240" s="170" t="s">
        <v>1335</v>
      </c>
      <c r="D240" s="169" t="s">
        <v>1307</v>
      </c>
      <c r="E240" s="263" t="s">
        <v>1374</v>
      </c>
      <c r="F240" s="220"/>
      <c r="G240" s="220"/>
      <c r="H240" s="220"/>
      <c r="I240" s="220"/>
      <c r="J240" s="220"/>
      <c r="K240" s="168" t="s">
        <v>1308</v>
      </c>
      <c r="L240" s="220"/>
      <c r="M240" s="170"/>
      <c r="N240" s="263" t="str">
        <f>VLOOKUP(D240,'[6]Bao cao So GDDT'!$D$14:$S$282,11,FALSE)</f>
        <v>Giảng viên GDNN LT (hạng III)</v>
      </c>
      <c r="O240" s="263" t="s">
        <v>1438</v>
      </c>
      <c r="P240" s="251"/>
      <c r="Q240" s="251"/>
      <c r="R240" s="170">
        <v>2.67</v>
      </c>
      <c r="S240" s="176"/>
      <c r="T240" s="220"/>
      <c r="U240" s="176">
        <f t="shared" si="186"/>
        <v>0</v>
      </c>
      <c r="V240" s="175"/>
      <c r="W240" s="170"/>
      <c r="X240" s="179">
        <f>VLOOKUP(D240,PCTN!D278:W545,20,FALSE)</f>
        <v>0</v>
      </c>
      <c r="Y240" s="216">
        <f t="shared" si="187"/>
        <v>0</v>
      </c>
      <c r="Z240" s="216">
        <f t="shared" si="188"/>
        <v>2.67</v>
      </c>
      <c r="AA240" s="180">
        <f t="shared" si="189"/>
        <v>4806000</v>
      </c>
      <c r="AB240" s="180"/>
      <c r="AC240" s="180">
        <f t="shared" si="190"/>
        <v>0</v>
      </c>
      <c r="AD240" s="180">
        <f t="shared" si="197"/>
        <v>0</v>
      </c>
      <c r="AE240" s="180">
        <f t="shared" si="191"/>
        <v>4806000</v>
      </c>
      <c r="AF240" s="178">
        <f t="shared" si="198"/>
        <v>384480</v>
      </c>
      <c r="AG240" s="178">
        <f t="shared" si="199"/>
        <v>72090</v>
      </c>
      <c r="AH240" s="178">
        <f t="shared" si="200"/>
        <v>48060</v>
      </c>
      <c r="AI240" s="178"/>
      <c r="AJ240" s="178">
        <f t="shared" si="192"/>
        <v>504630</v>
      </c>
      <c r="AK240" s="192"/>
      <c r="AL240" s="182">
        <f t="shared" si="185"/>
        <v>0</v>
      </c>
      <c r="AM240" s="182"/>
      <c r="AN240" s="182"/>
      <c r="AO240" s="183">
        <f t="shared" si="181"/>
        <v>2.67</v>
      </c>
      <c r="AP240" s="246">
        <v>0.25</v>
      </c>
      <c r="AQ240" s="185">
        <f t="shared" si="193"/>
        <v>0.66749999999999998</v>
      </c>
      <c r="AR240" s="178">
        <f t="shared" si="194"/>
        <v>1201500</v>
      </c>
      <c r="AS240" s="178"/>
      <c r="AT240" s="178">
        <f t="shared" si="195"/>
        <v>5502870</v>
      </c>
      <c r="AU240" s="469">
        <f t="shared" si="196"/>
        <v>222</v>
      </c>
      <c r="AV240" s="195"/>
      <c r="AW240" s="485"/>
    </row>
    <row r="241" spans="1:59" s="191" customFormat="1" ht="36.75" customHeight="1" x14ac:dyDescent="0.25">
      <c r="A241" s="682">
        <f>_xlfn.AGGREGATE(4,7,A$13:A240)+1</f>
        <v>223</v>
      </c>
      <c r="B241" s="682"/>
      <c r="C241" s="703" t="s">
        <v>1571</v>
      </c>
      <c r="D241" s="683" t="s">
        <v>1516</v>
      </c>
      <c r="E241" s="684" t="s">
        <v>1374</v>
      </c>
      <c r="F241" s="716"/>
      <c r="G241" s="705"/>
      <c r="H241" s="705"/>
      <c r="I241" s="705"/>
      <c r="J241" s="716"/>
      <c r="K241" s="685"/>
      <c r="L241" s="760"/>
      <c r="M241" s="760"/>
      <c r="N241" s="684" t="str">
        <f>VLOOKUP(D241,'[6]Bao cao So GDDT'!$D$14:$S$282,11,FALSE)</f>
        <v>Giáo viên GDNN LT (hạng III)</v>
      </c>
      <c r="O241" s="686" t="s">
        <v>1438</v>
      </c>
      <c r="P241" s="687"/>
      <c r="Q241" s="688"/>
      <c r="R241" s="689">
        <v>4.32</v>
      </c>
      <c r="S241" s="690"/>
      <c r="T241" s="761"/>
      <c r="U241" s="690">
        <f t="shared" si="186"/>
        <v>0</v>
      </c>
      <c r="V241" s="692"/>
      <c r="W241" s="705"/>
      <c r="X241" s="693">
        <v>0.19</v>
      </c>
      <c r="Y241" s="694">
        <f t="shared" si="187"/>
        <v>0.82079999999999997</v>
      </c>
      <c r="Z241" s="694">
        <f t="shared" si="188"/>
        <v>5.1408000000000005</v>
      </c>
      <c r="AA241" s="695">
        <f t="shared" si="189"/>
        <v>9253440</v>
      </c>
      <c r="AB241" s="695"/>
      <c r="AC241" s="695">
        <f t="shared" si="190"/>
        <v>0</v>
      </c>
      <c r="AD241" s="695">
        <f t="shared" si="197"/>
        <v>0</v>
      </c>
      <c r="AE241" s="695">
        <f t="shared" si="191"/>
        <v>9253440</v>
      </c>
      <c r="AF241" s="696">
        <f t="shared" si="198"/>
        <v>740275.20000000007</v>
      </c>
      <c r="AG241" s="696">
        <f t="shared" si="199"/>
        <v>138801.60000000001</v>
      </c>
      <c r="AH241" s="696">
        <f t="shared" si="200"/>
        <v>92534.400000000009</v>
      </c>
      <c r="AI241" s="696"/>
      <c r="AJ241" s="696">
        <f t="shared" si="192"/>
        <v>971611.20000000007</v>
      </c>
      <c r="AK241" s="762"/>
      <c r="AL241" s="697">
        <f t="shared" si="185"/>
        <v>0</v>
      </c>
      <c r="AM241" s="697"/>
      <c r="AN241" s="697"/>
      <c r="AO241" s="706">
        <f t="shared" ref="AO241:AO285" si="201">R241+U241+W241</f>
        <v>4.32</v>
      </c>
      <c r="AP241" s="693">
        <v>0.25</v>
      </c>
      <c r="AQ241" s="766">
        <f t="shared" si="193"/>
        <v>1.08</v>
      </c>
      <c r="AR241" s="696">
        <f t="shared" si="194"/>
        <v>1944000</v>
      </c>
      <c r="AS241" s="696"/>
      <c r="AT241" s="696">
        <f t="shared" si="195"/>
        <v>10225829</v>
      </c>
      <c r="AU241" s="698">
        <f t="shared" si="196"/>
        <v>223</v>
      </c>
      <c r="AV241" s="699"/>
      <c r="AW241" s="198"/>
    </row>
    <row r="242" spans="1:59" s="189" customFormat="1" ht="37.5" customHeight="1" x14ac:dyDescent="0.25">
      <c r="A242" s="168">
        <f>_xlfn.AGGREGATE(4,7,A$13:A241)+1</f>
        <v>224</v>
      </c>
      <c r="B242" s="168" t="s">
        <v>1500</v>
      </c>
      <c r="C242" s="660" t="s">
        <v>1570</v>
      </c>
      <c r="D242" s="169" t="s">
        <v>1485</v>
      </c>
      <c r="E242" s="263" t="s">
        <v>1374</v>
      </c>
      <c r="F242" s="220"/>
      <c r="G242" s="220"/>
      <c r="H242" s="220"/>
      <c r="I242" s="220"/>
      <c r="J242" s="220"/>
      <c r="K242" s="168">
        <v>261105998</v>
      </c>
      <c r="L242" s="490" t="s">
        <v>1490</v>
      </c>
      <c r="M242" s="170"/>
      <c r="N242" s="263" t="str">
        <f>VLOOKUP(D242,'[6]Bao cao So GDDT'!$D$14:$S$282,11,FALSE)</f>
        <v>Giảng viên GDNN LT (hạng III)</v>
      </c>
      <c r="O242" s="662" t="s">
        <v>1438</v>
      </c>
      <c r="P242" s="251"/>
      <c r="Q242" s="251"/>
      <c r="R242" s="177">
        <v>3</v>
      </c>
      <c r="S242" s="176"/>
      <c r="T242" s="220"/>
      <c r="U242" s="176">
        <f>ROUND(R242*T242/100,4)</f>
        <v>0</v>
      </c>
      <c r="V242" s="175"/>
      <c r="W242" s="170"/>
      <c r="X242" s="179">
        <v>7.0000000000000007E-2</v>
      </c>
      <c r="Y242" s="216">
        <f>ROUND((R242+U242+W242)*X242,4)</f>
        <v>0.21</v>
      </c>
      <c r="Z242" s="216">
        <f>R242+U242+W242+Y242</f>
        <v>3.21</v>
      </c>
      <c r="AA242" s="180">
        <f>ROUND(Z242*$D$8,0)</f>
        <v>5778000</v>
      </c>
      <c r="AB242" s="180"/>
      <c r="AC242" s="180">
        <f>AA242/24*AB242</f>
        <v>0</v>
      </c>
      <c r="AD242" s="180">
        <f>AA242/24*AB242*75%</f>
        <v>0</v>
      </c>
      <c r="AE242" s="180">
        <f>ROUND(AA242-AC242+AD242,0)</f>
        <v>5778000</v>
      </c>
      <c r="AF242" s="178">
        <f>AA242*8%</f>
        <v>462240</v>
      </c>
      <c r="AG242" s="178">
        <f>AA242*1.5%</f>
        <v>86670</v>
      </c>
      <c r="AH242" s="178">
        <f>AA242*1%</f>
        <v>57780</v>
      </c>
      <c r="AI242" s="178"/>
      <c r="AJ242" s="178">
        <f>SUM(AF242:AI242)</f>
        <v>606690</v>
      </c>
      <c r="AK242" s="192"/>
      <c r="AL242" s="182">
        <f t="shared" si="185"/>
        <v>0</v>
      </c>
      <c r="AM242" s="182"/>
      <c r="AN242" s="182"/>
      <c r="AO242" s="183">
        <f>R242+U242+W242</f>
        <v>3</v>
      </c>
      <c r="AP242" s="640">
        <v>0.25</v>
      </c>
      <c r="AQ242" s="185">
        <f>ROUND(AO242*AP242,4)</f>
        <v>0.75</v>
      </c>
      <c r="AR242" s="178">
        <f>ROUND(AQ242*$D$8,0)</f>
        <v>1350000</v>
      </c>
      <c r="AS242" s="178"/>
      <c r="AT242" s="178">
        <f>ROUND(AE242-AJ242+AL242+AN242+AR242,0)</f>
        <v>6521310</v>
      </c>
      <c r="AU242" s="538">
        <f>A242</f>
        <v>224</v>
      </c>
      <c r="AV242" s="195"/>
      <c r="AW242" s="659"/>
    </row>
    <row r="243" spans="1:59" s="189" customFormat="1" ht="42.75" customHeight="1" x14ac:dyDescent="0.25">
      <c r="A243" s="168">
        <f>_xlfn.AGGREGATE(4,7,A$13:A242)+1</f>
        <v>225</v>
      </c>
      <c r="B243" s="168"/>
      <c r="C243" s="168"/>
      <c r="D243" s="169" t="s">
        <v>1590</v>
      </c>
      <c r="E243" s="263" t="s">
        <v>1374</v>
      </c>
      <c r="F243" s="220"/>
      <c r="G243" s="220"/>
      <c r="H243" s="220"/>
      <c r="I243" s="220"/>
      <c r="J243" s="220"/>
      <c r="K243" s="168"/>
      <c r="L243" s="490"/>
      <c r="M243" s="170"/>
      <c r="N243" s="263"/>
      <c r="O243" s="263" t="s">
        <v>1438</v>
      </c>
      <c r="P243" s="170"/>
      <c r="Q243" s="170"/>
      <c r="R243" s="170">
        <v>2.67</v>
      </c>
      <c r="S243" s="176"/>
      <c r="T243" s="220"/>
      <c r="U243" s="176">
        <f>ROUND(R243*T243/100,4)</f>
        <v>0</v>
      </c>
      <c r="V243" s="175"/>
      <c r="W243" s="170"/>
      <c r="X243" s="179">
        <v>0.08</v>
      </c>
      <c r="Y243" s="216">
        <f>ROUND((R243+U243+W243)*X243,4)</f>
        <v>0.21360000000000001</v>
      </c>
      <c r="Z243" s="216">
        <f>R243+U243+W243+Y243</f>
        <v>2.8835999999999999</v>
      </c>
      <c r="AA243" s="180">
        <f>ROUND(Z243*$D$8,0)</f>
        <v>5190480</v>
      </c>
      <c r="AB243" s="180"/>
      <c r="AC243" s="180">
        <f>AA243/24*AB243</f>
        <v>0</v>
      </c>
      <c r="AD243" s="180">
        <v>0</v>
      </c>
      <c r="AE243" s="180">
        <f>ROUND(AA243-AC243+AD243,0)</f>
        <v>5190480</v>
      </c>
      <c r="AF243" s="178">
        <f>AA243*8%</f>
        <v>415238.40000000002</v>
      </c>
      <c r="AG243" s="178">
        <f>AA243*1.5%</f>
        <v>77857.2</v>
      </c>
      <c r="AH243" s="178">
        <f>AA243*1%</f>
        <v>51904.800000000003</v>
      </c>
      <c r="AI243" s="178"/>
      <c r="AJ243" s="178">
        <f>SUM(AF243:AI243)</f>
        <v>545000.4</v>
      </c>
      <c r="AK243" s="192"/>
      <c r="AL243" s="182">
        <f t="shared" si="185"/>
        <v>0</v>
      </c>
      <c r="AM243" s="182"/>
      <c r="AN243" s="182"/>
      <c r="AO243" s="183">
        <f>R243+U243+W243</f>
        <v>2.67</v>
      </c>
      <c r="AP243" s="246">
        <v>0.25</v>
      </c>
      <c r="AQ243" s="185">
        <f>ROUND(AO243*AP243,4)</f>
        <v>0.66749999999999998</v>
      </c>
      <c r="AR243" s="178">
        <f>ROUND(AQ243*$D$8,0)</f>
        <v>1201500</v>
      </c>
      <c r="AS243" s="178"/>
      <c r="AT243" s="178">
        <f>ROUND(AE243-AJ243+AL243+AN243+AR243,0)</f>
        <v>5846980</v>
      </c>
      <c r="AU243" s="469">
        <f>A243</f>
        <v>225</v>
      </c>
      <c r="AV243" s="195"/>
      <c r="AW243" s="659"/>
    </row>
    <row r="244" spans="1:59" s="189" customFormat="1" ht="30.75" customHeight="1" x14ac:dyDescent="0.25">
      <c r="A244" s="168">
        <f>_xlfn.AGGREGATE(4,7,A$13:A243)+1</f>
        <v>226</v>
      </c>
      <c r="B244" s="168" t="str">
        <f>VLOOKUP(D244,[1]LuongBC_T01!$B$9:$C$292,2,FALSE)</f>
        <v>0016100006643005</v>
      </c>
      <c r="C244" s="387" t="s">
        <v>901</v>
      </c>
      <c r="D244" s="169" t="s">
        <v>809</v>
      </c>
      <c r="E244" s="263" t="s">
        <v>1391</v>
      </c>
      <c r="F244" s="220"/>
      <c r="G244" s="220"/>
      <c r="H244" s="220"/>
      <c r="I244" s="220"/>
      <c r="J244" s="220"/>
      <c r="K244" s="168" t="s">
        <v>1346</v>
      </c>
      <c r="L244" s="220"/>
      <c r="M244" s="170" t="s">
        <v>901</v>
      </c>
      <c r="N244" s="263" t="str">
        <f>VLOOKUP(D244,'[6]Bao cao So GDDT'!$D$14:$S$282,11,FALSE)</f>
        <v>Giảng viên GDNN LT (hạng III)</v>
      </c>
      <c r="O244" s="390" t="s">
        <v>1438</v>
      </c>
      <c r="P244" s="170" t="s">
        <v>692</v>
      </c>
      <c r="Q244" s="170">
        <v>2</v>
      </c>
      <c r="R244" s="177">
        <v>3.33</v>
      </c>
      <c r="S244" s="176">
        <f t="shared" ref="S244:S249" si="202">U244+W244+Y244</f>
        <v>0.78700000000000003</v>
      </c>
      <c r="T244" s="220"/>
      <c r="U244" s="176">
        <f t="shared" si="186"/>
        <v>0</v>
      </c>
      <c r="V244" s="175">
        <f t="shared" ref="V244:V249" si="203">R244*T244*$D$8/100</f>
        <v>0</v>
      </c>
      <c r="W244" s="170">
        <v>0.25</v>
      </c>
      <c r="X244" s="179">
        <v>0.15</v>
      </c>
      <c r="Y244" s="216">
        <f t="shared" si="187"/>
        <v>0.53700000000000003</v>
      </c>
      <c r="Z244" s="216">
        <f t="shared" si="188"/>
        <v>4.117</v>
      </c>
      <c r="AA244" s="180">
        <f t="shared" si="189"/>
        <v>7410600</v>
      </c>
      <c r="AB244" s="180"/>
      <c r="AC244" s="180">
        <f t="shared" si="190"/>
        <v>0</v>
      </c>
      <c r="AD244" s="180">
        <f t="shared" si="197"/>
        <v>0</v>
      </c>
      <c r="AE244" s="180">
        <f t="shared" si="191"/>
        <v>7410600</v>
      </c>
      <c r="AF244" s="178">
        <f t="shared" si="198"/>
        <v>592848</v>
      </c>
      <c r="AG244" s="178">
        <f t="shared" si="199"/>
        <v>111159</v>
      </c>
      <c r="AH244" s="178">
        <f t="shared" si="200"/>
        <v>74106</v>
      </c>
      <c r="AI244" s="178"/>
      <c r="AJ244" s="178">
        <f t="shared" si="192"/>
        <v>778113</v>
      </c>
      <c r="AK244" s="192"/>
      <c r="AL244" s="182">
        <f t="shared" si="185"/>
        <v>0</v>
      </c>
      <c r="AM244" s="182"/>
      <c r="AN244" s="182"/>
      <c r="AO244" s="183">
        <f t="shared" si="201"/>
        <v>3.58</v>
      </c>
      <c r="AP244" s="246">
        <v>0.25</v>
      </c>
      <c r="AQ244" s="185">
        <f t="shared" si="193"/>
        <v>0.89500000000000002</v>
      </c>
      <c r="AR244" s="178">
        <f t="shared" si="194"/>
        <v>1611000</v>
      </c>
      <c r="AS244" s="178"/>
      <c r="AT244" s="178">
        <f t="shared" si="195"/>
        <v>8243487</v>
      </c>
      <c r="AU244" s="469">
        <f t="shared" si="196"/>
        <v>226</v>
      </c>
      <c r="AV244" s="195"/>
      <c r="AW244" s="198"/>
    </row>
    <row r="245" spans="1:59" s="189" customFormat="1" ht="30.75" customHeight="1" x14ac:dyDescent="0.25">
      <c r="A245" s="168">
        <f>_xlfn.AGGREGATE(4,7,A$13:A244)+1</f>
        <v>227</v>
      </c>
      <c r="B245" s="168" t="str">
        <f>VLOOKUP(D245,[1]LuongBC_T01!$B$9:$C$292,2,FALSE)</f>
        <v>0016100006581007</v>
      </c>
      <c r="C245" s="199" t="s">
        <v>994</v>
      </c>
      <c r="D245" s="169" t="s">
        <v>570</v>
      </c>
      <c r="E245" s="263" t="s">
        <v>1376</v>
      </c>
      <c r="F245" s="169" t="s">
        <v>549</v>
      </c>
      <c r="G245" s="200" t="s">
        <v>25</v>
      </c>
      <c r="H245" s="200" t="s">
        <v>283</v>
      </c>
      <c r="I245" s="200" t="s">
        <v>283</v>
      </c>
      <c r="J245" s="200" t="s">
        <v>587</v>
      </c>
      <c r="K245" s="168" t="s">
        <v>1343</v>
      </c>
      <c r="L245" s="201" t="s">
        <v>609</v>
      </c>
      <c r="M245" s="201" t="s">
        <v>994</v>
      </c>
      <c r="N245" s="263" t="str">
        <f>VLOOKUP(D245,'[6]Bao cao So GDDT'!$D$14:$S$282,11,FALSE)</f>
        <v>Giảng viên GDNN LT (hạng III)</v>
      </c>
      <c r="O245" s="390" t="s">
        <v>1438</v>
      </c>
      <c r="P245" s="170" t="s">
        <v>692</v>
      </c>
      <c r="Q245" s="170">
        <v>3</v>
      </c>
      <c r="R245" s="177">
        <v>3.66</v>
      </c>
      <c r="S245" s="176">
        <f t="shared" si="202"/>
        <v>0.4758</v>
      </c>
      <c r="T245" s="220"/>
      <c r="U245" s="176">
        <f t="shared" si="186"/>
        <v>0</v>
      </c>
      <c r="V245" s="175">
        <f t="shared" si="203"/>
        <v>0</v>
      </c>
      <c r="W245" s="170"/>
      <c r="X245" s="179">
        <v>0.13</v>
      </c>
      <c r="Y245" s="216">
        <f t="shared" si="187"/>
        <v>0.4758</v>
      </c>
      <c r="Z245" s="216">
        <f t="shared" si="188"/>
        <v>4.1357999999999997</v>
      </c>
      <c r="AA245" s="180">
        <f t="shared" si="189"/>
        <v>7444440</v>
      </c>
      <c r="AB245" s="180"/>
      <c r="AC245" s="180">
        <f t="shared" si="190"/>
        <v>0</v>
      </c>
      <c r="AD245" s="180">
        <v>0</v>
      </c>
      <c r="AE245" s="180">
        <f t="shared" si="191"/>
        <v>7444440</v>
      </c>
      <c r="AF245" s="178">
        <f t="shared" si="198"/>
        <v>595555.20000000007</v>
      </c>
      <c r="AG245" s="178">
        <f t="shared" si="199"/>
        <v>111666.59999999999</v>
      </c>
      <c r="AH245" s="178">
        <f t="shared" si="200"/>
        <v>74444.400000000009</v>
      </c>
      <c r="AI245" s="178"/>
      <c r="AJ245" s="178">
        <f t="shared" si="192"/>
        <v>781666.20000000007</v>
      </c>
      <c r="AK245" s="192"/>
      <c r="AL245" s="182">
        <f t="shared" ref="AL245:AL255" si="204">AK245*$D$8</f>
        <v>0</v>
      </c>
      <c r="AM245" s="182"/>
      <c r="AN245" s="182"/>
      <c r="AO245" s="193">
        <f t="shared" si="201"/>
        <v>3.66</v>
      </c>
      <c r="AP245" s="246">
        <v>0.25</v>
      </c>
      <c r="AQ245" s="194">
        <f t="shared" si="193"/>
        <v>0.91500000000000004</v>
      </c>
      <c r="AR245" s="178">
        <f t="shared" si="194"/>
        <v>1647000</v>
      </c>
      <c r="AS245" s="178"/>
      <c r="AT245" s="178">
        <f t="shared" si="195"/>
        <v>8309774</v>
      </c>
      <c r="AU245" s="469">
        <f t="shared" si="196"/>
        <v>227</v>
      </c>
      <c r="AV245" s="195"/>
      <c r="AW245" s="198" t="s">
        <v>704</v>
      </c>
    </row>
    <row r="246" spans="1:59" s="189" customFormat="1" ht="30.75" customHeight="1" x14ac:dyDescent="0.25">
      <c r="A246" s="168">
        <f>_xlfn.AGGREGATE(4,7,A$13:A245)+1</f>
        <v>228</v>
      </c>
      <c r="B246" s="168" t="str">
        <f>VLOOKUP(D246,[1]LuongBC_T01!$B$9:$C$292,2,FALSE)</f>
        <v>0016100006591005</v>
      </c>
      <c r="C246" s="199" t="s">
        <v>961</v>
      </c>
      <c r="D246" s="169" t="s">
        <v>290</v>
      </c>
      <c r="E246" s="263" t="s">
        <v>1376</v>
      </c>
      <c r="F246" s="169" t="s">
        <v>549</v>
      </c>
      <c r="G246" s="170" t="s">
        <v>25</v>
      </c>
      <c r="H246" s="170" t="s">
        <v>283</v>
      </c>
      <c r="I246" s="200" t="s">
        <v>283</v>
      </c>
      <c r="J246" s="220" t="s">
        <v>291</v>
      </c>
      <c r="K246" s="170" t="str">
        <f>VLOOKUP(D246,[2]T3!$B$2:$D$328,3,FALSE)</f>
        <v>024280248</v>
      </c>
      <c r="L246" s="171" t="s">
        <v>292</v>
      </c>
      <c r="M246" s="171" t="s">
        <v>961</v>
      </c>
      <c r="N246" s="263" t="str">
        <f>VLOOKUP(D246,'[6]Bao cao So GDDT'!$D$14:$S$282,11,FALSE)</f>
        <v>Giảng viên GDNN LT (hạng III)</v>
      </c>
      <c r="O246" s="390" t="s">
        <v>1438</v>
      </c>
      <c r="P246" s="172" t="s">
        <v>692</v>
      </c>
      <c r="Q246" s="173">
        <v>4</v>
      </c>
      <c r="R246" s="174">
        <v>3.99</v>
      </c>
      <c r="S246" s="176">
        <f t="shared" si="202"/>
        <v>0.67830000000000001</v>
      </c>
      <c r="T246" s="370"/>
      <c r="U246" s="176">
        <f t="shared" si="186"/>
        <v>0</v>
      </c>
      <c r="V246" s="175">
        <f t="shared" si="203"/>
        <v>0</v>
      </c>
      <c r="W246" s="170"/>
      <c r="X246" s="179">
        <v>0.17</v>
      </c>
      <c r="Y246" s="216">
        <f t="shared" si="187"/>
        <v>0.67830000000000001</v>
      </c>
      <c r="Z246" s="216">
        <f t="shared" si="188"/>
        <v>4.6683000000000003</v>
      </c>
      <c r="AA246" s="180">
        <f t="shared" si="189"/>
        <v>8402940</v>
      </c>
      <c r="AB246" s="180"/>
      <c r="AC246" s="180">
        <f t="shared" si="190"/>
        <v>0</v>
      </c>
      <c r="AD246" s="180">
        <f>AA246/24*AB246*75%</f>
        <v>0</v>
      </c>
      <c r="AE246" s="180">
        <f t="shared" si="191"/>
        <v>8402940</v>
      </c>
      <c r="AF246" s="178">
        <f t="shared" si="198"/>
        <v>672235.20000000007</v>
      </c>
      <c r="AG246" s="178">
        <f t="shared" si="199"/>
        <v>126044.09999999999</v>
      </c>
      <c r="AH246" s="178">
        <f t="shared" si="200"/>
        <v>84029.400000000009</v>
      </c>
      <c r="AI246" s="178"/>
      <c r="AJ246" s="178">
        <f t="shared" si="192"/>
        <v>882308.70000000007</v>
      </c>
      <c r="AK246" s="192"/>
      <c r="AL246" s="182">
        <f t="shared" si="204"/>
        <v>0</v>
      </c>
      <c r="AM246" s="182"/>
      <c r="AN246" s="182"/>
      <c r="AO246" s="193">
        <f t="shared" si="201"/>
        <v>3.99</v>
      </c>
      <c r="AP246" s="246">
        <v>0.25</v>
      </c>
      <c r="AQ246" s="194">
        <f t="shared" si="193"/>
        <v>0.99750000000000005</v>
      </c>
      <c r="AR246" s="178">
        <f t="shared" si="194"/>
        <v>1795500</v>
      </c>
      <c r="AS246" s="178"/>
      <c r="AT246" s="178">
        <f t="shared" si="195"/>
        <v>9316131</v>
      </c>
      <c r="AU246" s="469">
        <f t="shared" si="196"/>
        <v>228</v>
      </c>
      <c r="AV246" s="186"/>
      <c r="AW246" s="198" t="s">
        <v>704</v>
      </c>
    </row>
    <row r="247" spans="1:59" s="189" customFormat="1" ht="34.5" customHeight="1" x14ac:dyDescent="0.25">
      <c r="A247" s="168">
        <f>_xlfn.AGGREGATE(4,7,A$13:A246)+1</f>
        <v>229</v>
      </c>
      <c r="B247" s="168" t="str">
        <f>VLOOKUP(D247,[1]LuongBC_T01!$B$9:$C$292,2,FALSE)</f>
        <v>0016100006610007</v>
      </c>
      <c r="C247" s="512" t="s">
        <v>1004</v>
      </c>
      <c r="D247" s="169" t="s">
        <v>1230</v>
      </c>
      <c r="E247" s="263" t="s">
        <v>1392</v>
      </c>
      <c r="F247" s="169" t="s">
        <v>549</v>
      </c>
      <c r="G247" s="200"/>
      <c r="H247" s="200" t="s">
        <v>283</v>
      </c>
      <c r="I247" s="200" t="s">
        <v>283</v>
      </c>
      <c r="J247" s="200"/>
      <c r="K247" s="170" t="str">
        <f>VLOOKUP(D247,[2]T3!$B$2:$D$328,3,FALSE)</f>
        <v>025764174</v>
      </c>
      <c r="L247" s="213" t="s">
        <v>674</v>
      </c>
      <c r="M247" s="213" t="s">
        <v>1004</v>
      </c>
      <c r="N247" s="263" t="str">
        <f>VLOOKUP(D247,'[6]Bao cao So GDDT'!$D$14:$S$282,11,FALSE)</f>
        <v>Giảng viên GDNN LT (hạng III)</v>
      </c>
      <c r="O247" s="390" t="s">
        <v>1438</v>
      </c>
      <c r="P247" s="222" t="s">
        <v>692</v>
      </c>
      <c r="Q247" s="172">
        <v>3</v>
      </c>
      <c r="R247" s="430">
        <v>3.66</v>
      </c>
      <c r="S247" s="176">
        <f t="shared" si="202"/>
        <v>0.43919999999999998</v>
      </c>
      <c r="T247" s="220"/>
      <c r="U247" s="176">
        <f t="shared" si="186"/>
        <v>0</v>
      </c>
      <c r="V247" s="175">
        <f t="shared" si="203"/>
        <v>0</v>
      </c>
      <c r="W247" s="170"/>
      <c r="X247" s="179">
        <v>0.12</v>
      </c>
      <c r="Y247" s="216">
        <f t="shared" si="187"/>
        <v>0.43919999999999998</v>
      </c>
      <c r="Z247" s="216">
        <f t="shared" si="188"/>
        <v>4.0991999999999997</v>
      </c>
      <c r="AA247" s="180">
        <f t="shared" si="189"/>
        <v>7378560</v>
      </c>
      <c r="AB247" s="180"/>
      <c r="AC247" s="180">
        <f t="shared" si="190"/>
        <v>0</v>
      </c>
      <c r="AD247" s="180">
        <v>0</v>
      </c>
      <c r="AE247" s="180">
        <f t="shared" si="191"/>
        <v>7378560</v>
      </c>
      <c r="AF247" s="178">
        <f t="shared" si="198"/>
        <v>590284.80000000005</v>
      </c>
      <c r="AG247" s="178">
        <f t="shared" si="199"/>
        <v>110678.39999999999</v>
      </c>
      <c r="AH247" s="178">
        <f t="shared" si="200"/>
        <v>73785.600000000006</v>
      </c>
      <c r="AI247" s="178"/>
      <c r="AJ247" s="178">
        <f t="shared" si="192"/>
        <v>774748.8</v>
      </c>
      <c r="AK247" s="192"/>
      <c r="AL247" s="182">
        <f t="shared" si="204"/>
        <v>0</v>
      </c>
      <c r="AM247" s="182"/>
      <c r="AN247" s="182"/>
      <c r="AO247" s="193">
        <f t="shared" si="201"/>
        <v>3.66</v>
      </c>
      <c r="AP247" s="246">
        <v>0.25</v>
      </c>
      <c r="AQ247" s="194">
        <f t="shared" si="193"/>
        <v>0.91500000000000004</v>
      </c>
      <c r="AR247" s="178">
        <f t="shared" si="194"/>
        <v>1647000</v>
      </c>
      <c r="AS247" s="178"/>
      <c r="AT247" s="178">
        <f t="shared" si="195"/>
        <v>8250811</v>
      </c>
      <c r="AU247" s="469">
        <f t="shared" si="196"/>
        <v>229</v>
      </c>
      <c r="AV247" s="195"/>
      <c r="AW247" s="198" t="s">
        <v>704</v>
      </c>
    </row>
    <row r="248" spans="1:59" s="189" customFormat="1" ht="36" customHeight="1" x14ac:dyDescent="0.25">
      <c r="A248" s="168">
        <f>_xlfn.AGGREGATE(4,7,A$13:A247)+1</f>
        <v>230</v>
      </c>
      <c r="B248" s="168" t="str">
        <f>VLOOKUP(D248,[1]LuongBC_T01!$B$9:$C$292,2,FALSE)</f>
        <v>0016100006584009</v>
      </c>
      <c r="C248" s="199" t="s">
        <v>1002</v>
      </c>
      <c r="D248" s="169" t="s">
        <v>669</v>
      </c>
      <c r="E248" s="263" t="s">
        <v>1392</v>
      </c>
      <c r="F248" s="169" t="s">
        <v>549</v>
      </c>
      <c r="G248" s="200"/>
      <c r="H248" s="200" t="s">
        <v>283</v>
      </c>
      <c r="I248" s="200" t="s">
        <v>283</v>
      </c>
      <c r="J248" s="200"/>
      <c r="K248" s="170" t="str">
        <f>VLOOKUP(D248,[2]T3!$B$2:$D$328,3,FALSE)</f>
        <v>025633696</v>
      </c>
      <c r="L248" s="201" t="s">
        <v>673</v>
      </c>
      <c r="M248" s="201" t="s">
        <v>1002</v>
      </c>
      <c r="N248" s="263" t="str">
        <f>VLOOKUP(D248,'[6]Bao cao So GDDT'!$D$14:$S$282,11,FALSE)</f>
        <v>Giảng viên GDNN LT (hạng III)</v>
      </c>
      <c r="O248" s="390" t="s">
        <v>1438</v>
      </c>
      <c r="P248" s="222" t="s">
        <v>692</v>
      </c>
      <c r="Q248" s="172">
        <v>3</v>
      </c>
      <c r="R248" s="430">
        <v>3.66</v>
      </c>
      <c r="S248" s="176">
        <f t="shared" si="202"/>
        <v>0.43919999999999998</v>
      </c>
      <c r="T248" s="220"/>
      <c r="U248" s="176">
        <f t="shared" si="186"/>
        <v>0</v>
      </c>
      <c r="V248" s="175">
        <f t="shared" si="203"/>
        <v>0</v>
      </c>
      <c r="W248" s="170"/>
      <c r="X248" s="179">
        <v>0.12</v>
      </c>
      <c r="Y248" s="216">
        <f t="shared" si="187"/>
        <v>0.43919999999999998</v>
      </c>
      <c r="Z248" s="216">
        <f t="shared" si="188"/>
        <v>4.0991999999999997</v>
      </c>
      <c r="AA248" s="180">
        <f t="shared" si="189"/>
        <v>7378560</v>
      </c>
      <c r="AB248" s="180"/>
      <c r="AC248" s="180">
        <f t="shared" si="190"/>
        <v>0</v>
      </c>
      <c r="AD248" s="180">
        <v>0</v>
      </c>
      <c r="AE248" s="180">
        <f t="shared" si="191"/>
        <v>7378560</v>
      </c>
      <c r="AF248" s="178">
        <f t="shared" si="198"/>
        <v>590284.80000000005</v>
      </c>
      <c r="AG248" s="178">
        <f t="shared" si="199"/>
        <v>110678.39999999999</v>
      </c>
      <c r="AH248" s="178">
        <f t="shared" si="200"/>
        <v>73785.600000000006</v>
      </c>
      <c r="AI248" s="178"/>
      <c r="AJ248" s="178">
        <f t="shared" si="192"/>
        <v>774748.8</v>
      </c>
      <c r="AK248" s="192"/>
      <c r="AL248" s="182">
        <f t="shared" si="204"/>
        <v>0</v>
      </c>
      <c r="AM248" s="182"/>
      <c r="AN248" s="182"/>
      <c r="AO248" s="193">
        <f t="shared" si="201"/>
        <v>3.66</v>
      </c>
      <c r="AP248" s="246">
        <v>0.25</v>
      </c>
      <c r="AQ248" s="194">
        <f t="shared" si="193"/>
        <v>0.91500000000000004</v>
      </c>
      <c r="AR248" s="178">
        <f t="shared" si="194"/>
        <v>1647000</v>
      </c>
      <c r="AS248" s="178"/>
      <c r="AT248" s="178">
        <f t="shared" si="195"/>
        <v>8250811</v>
      </c>
      <c r="AU248" s="469">
        <f t="shared" si="196"/>
        <v>230</v>
      </c>
      <c r="AV248" s="195"/>
      <c r="AW248" s="198" t="s">
        <v>704</v>
      </c>
    </row>
    <row r="249" spans="1:59" s="189" customFormat="1" ht="30.75" customHeight="1" x14ac:dyDescent="0.25">
      <c r="A249" s="168">
        <f>_xlfn.AGGREGATE(4,7,A$13:A248)+1</f>
        <v>231</v>
      </c>
      <c r="B249" s="168" t="str">
        <f>VLOOKUP(D249,[1]LuongBC_T01!$B$9:$C$292,2,FALSE)</f>
        <v>0016100006555009</v>
      </c>
      <c r="C249" s="199" t="s">
        <v>969</v>
      </c>
      <c r="D249" s="169" t="s">
        <v>68</v>
      </c>
      <c r="E249" s="263" t="s">
        <v>1376</v>
      </c>
      <c r="F249" s="169" t="s">
        <v>549</v>
      </c>
      <c r="G249" s="200"/>
      <c r="H249" s="200" t="s">
        <v>283</v>
      </c>
      <c r="I249" s="170" t="s">
        <v>283</v>
      </c>
      <c r="J249" s="169" t="s">
        <v>250</v>
      </c>
      <c r="K249" s="168" t="s">
        <v>1342</v>
      </c>
      <c r="L249" s="171" t="s">
        <v>117</v>
      </c>
      <c r="M249" s="171" t="s">
        <v>969</v>
      </c>
      <c r="N249" s="263" t="str">
        <f>VLOOKUP(D249,'[6]Bao cao So GDDT'!$D$14:$S$282,11,FALSE)</f>
        <v>Giảng viên GDNN LT (hạng III)</v>
      </c>
      <c r="O249" s="390" t="s">
        <v>1438</v>
      </c>
      <c r="P249" s="172" t="s">
        <v>692</v>
      </c>
      <c r="Q249" s="173">
        <v>4</v>
      </c>
      <c r="R249" s="174">
        <v>3.99</v>
      </c>
      <c r="S249" s="176">
        <f t="shared" si="202"/>
        <v>0.7581</v>
      </c>
      <c r="T249" s="370"/>
      <c r="U249" s="176">
        <f t="shared" si="186"/>
        <v>0</v>
      </c>
      <c r="V249" s="175">
        <f t="shared" si="203"/>
        <v>0</v>
      </c>
      <c r="W249" s="170"/>
      <c r="X249" s="179">
        <v>0.19</v>
      </c>
      <c r="Y249" s="216">
        <f t="shared" si="187"/>
        <v>0.7581</v>
      </c>
      <c r="Z249" s="216">
        <f t="shared" si="188"/>
        <v>4.7481</v>
      </c>
      <c r="AA249" s="180">
        <f t="shared" si="189"/>
        <v>8546580</v>
      </c>
      <c r="AB249" s="180"/>
      <c r="AC249" s="180">
        <f t="shared" si="190"/>
        <v>0</v>
      </c>
      <c r="AD249" s="180">
        <f t="shared" ref="AD249:AD266" si="205">AA249/24*AB249*75%</f>
        <v>0</v>
      </c>
      <c r="AE249" s="180">
        <f t="shared" si="191"/>
        <v>8546580</v>
      </c>
      <c r="AF249" s="178">
        <f t="shared" si="198"/>
        <v>683726.4</v>
      </c>
      <c r="AG249" s="178">
        <f t="shared" si="199"/>
        <v>128198.7</v>
      </c>
      <c r="AH249" s="178">
        <f t="shared" si="200"/>
        <v>85465.8</v>
      </c>
      <c r="AI249" s="178"/>
      <c r="AJ249" s="178">
        <f t="shared" si="192"/>
        <v>897390.9</v>
      </c>
      <c r="AK249" s="192"/>
      <c r="AL249" s="182">
        <f t="shared" si="204"/>
        <v>0</v>
      </c>
      <c r="AM249" s="182"/>
      <c r="AN249" s="182"/>
      <c r="AO249" s="193">
        <f t="shared" si="201"/>
        <v>3.99</v>
      </c>
      <c r="AP249" s="246">
        <v>0.25</v>
      </c>
      <c r="AQ249" s="194">
        <f t="shared" si="193"/>
        <v>0.99750000000000005</v>
      </c>
      <c r="AR249" s="178">
        <f t="shared" si="194"/>
        <v>1795500</v>
      </c>
      <c r="AS249" s="178"/>
      <c r="AT249" s="178">
        <f t="shared" si="195"/>
        <v>9444689</v>
      </c>
      <c r="AU249" s="469">
        <f t="shared" si="196"/>
        <v>231</v>
      </c>
      <c r="AV249" s="195"/>
      <c r="AW249" s="198" t="s">
        <v>704</v>
      </c>
    </row>
    <row r="250" spans="1:59" s="191" customFormat="1" ht="30.75" customHeight="1" x14ac:dyDescent="0.25">
      <c r="A250" s="168">
        <f>_xlfn.AGGREGATE(4,7,A$13:A249)+1</f>
        <v>232</v>
      </c>
      <c r="B250" s="168"/>
      <c r="C250" s="199" t="s">
        <v>1572</v>
      </c>
      <c r="D250" s="169" t="s">
        <v>1515</v>
      </c>
      <c r="E250" s="263" t="s">
        <v>1376</v>
      </c>
      <c r="F250" s="220"/>
      <c r="G250" s="200"/>
      <c r="H250" s="200"/>
      <c r="I250" s="200"/>
      <c r="J250" s="220"/>
      <c r="K250" s="170"/>
      <c r="L250" s="241"/>
      <c r="M250" s="241"/>
      <c r="N250" s="263" t="str">
        <f>VLOOKUP(D250,'[6]Bao cao So GDDT'!$D$14:$S$282,11,FALSE)</f>
        <v>Giáo viên GDNN LT (hạng III)</v>
      </c>
      <c r="O250" s="390" t="s">
        <v>1438</v>
      </c>
      <c r="P250" s="172"/>
      <c r="Q250" s="173"/>
      <c r="R250" s="174">
        <v>3.99</v>
      </c>
      <c r="S250" s="176"/>
      <c r="T250" s="377"/>
      <c r="U250" s="176">
        <f t="shared" si="186"/>
        <v>0</v>
      </c>
      <c r="V250" s="175"/>
      <c r="W250" s="200"/>
      <c r="X250" s="179">
        <v>0.15</v>
      </c>
      <c r="Y250" s="216">
        <f t="shared" si="187"/>
        <v>0.59850000000000003</v>
      </c>
      <c r="Z250" s="216">
        <f t="shared" si="188"/>
        <v>4.5884999999999998</v>
      </c>
      <c r="AA250" s="180">
        <f t="shared" si="189"/>
        <v>8259300</v>
      </c>
      <c r="AB250" s="180"/>
      <c r="AC250" s="180">
        <f t="shared" si="190"/>
        <v>0</v>
      </c>
      <c r="AD250" s="180">
        <f t="shared" si="205"/>
        <v>0</v>
      </c>
      <c r="AE250" s="180">
        <f t="shared" si="191"/>
        <v>8259300</v>
      </c>
      <c r="AF250" s="178">
        <f t="shared" si="198"/>
        <v>660744</v>
      </c>
      <c r="AG250" s="178">
        <f t="shared" si="199"/>
        <v>123889.5</v>
      </c>
      <c r="AH250" s="178">
        <f t="shared" si="200"/>
        <v>82593</v>
      </c>
      <c r="AI250" s="178"/>
      <c r="AJ250" s="178">
        <f t="shared" si="192"/>
        <v>867226.5</v>
      </c>
      <c r="AK250" s="181"/>
      <c r="AL250" s="182">
        <f t="shared" si="204"/>
        <v>0</v>
      </c>
      <c r="AM250" s="182"/>
      <c r="AN250" s="182"/>
      <c r="AO250" s="193">
        <f t="shared" si="201"/>
        <v>3.99</v>
      </c>
      <c r="AP250" s="179">
        <v>0.25</v>
      </c>
      <c r="AQ250" s="185">
        <f t="shared" si="193"/>
        <v>0.99750000000000005</v>
      </c>
      <c r="AR250" s="178">
        <f t="shared" si="194"/>
        <v>1795500</v>
      </c>
      <c r="AS250" s="178"/>
      <c r="AT250" s="178">
        <f t="shared" si="195"/>
        <v>9187574</v>
      </c>
      <c r="AU250" s="469">
        <f t="shared" si="196"/>
        <v>232</v>
      </c>
      <c r="AV250" s="195"/>
      <c r="AW250" s="198"/>
    </row>
    <row r="251" spans="1:59" s="189" customFormat="1" ht="30.75" customHeight="1" x14ac:dyDescent="0.25">
      <c r="A251" s="726">
        <f>_xlfn.AGGREGATE(4,7,A$13:A250)+1</f>
        <v>233</v>
      </c>
      <c r="B251" s="726" t="str">
        <f>VLOOKUP(D251,[1]LuongBC_T01!$B$9:$C$292,2,FALSE)</f>
        <v>0016100007189006</v>
      </c>
      <c r="C251" s="730" t="s">
        <v>1322</v>
      </c>
      <c r="D251" s="728" t="s">
        <v>1271</v>
      </c>
      <c r="E251" s="729" t="s">
        <v>1376</v>
      </c>
      <c r="F251" s="755"/>
      <c r="G251" s="755"/>
      <c r="H251" s="755"/>
      <c r="I251" s="755"/>
      <c r="J251" s="755"/>
      <c r="K251" s="990" t="str">
        <f>VLOOKUP(D251,[2]T3!$B$2:$D$328,3,FALSE)</f>
        <v>051088000077</v>
      </c>
      <c r="L251" s="755"/>
      <c r="M251" s="730"/>
      <c r="N251" s="729" t="str">
        <f>VLOOKUP(D251,'[6]Bao cao So GDDT'!$D$14:$S$282,11,FALSE)</f>
        <v>Giảng viên GDNN LT (hạng III)</v>
      </c>
      <c r="O251" s="732" t="s">
        <v>1438</v>
      </c>
      <c r="P251" s="982" t="s">
        <v>1267</v>
      </c>
      <c r="Q251" s="982">
        <v>2</v>
      </c>
      <c r="R251" s="933">
        <v>3.33</v>
      </c>
      <c r="S251" s="736"/>
      <c r="T251" s="755"/>
      <c r="U251" s="736">
        <f t="shared" si="186"/>
        <v>0</v>
      </c>
      <c r="V251" s="738"/>
      <c r="W251" s="730"/>
      <c r="X251" s="739">
        <v>0.05</v>
      </c>
      <c r="Y251" s="740">
        <f t="shared" si="187"/>
        <v>0.16650000000000001</v>
      </c>
      <c r="Z251" s="740">
        <f t="shared" si="188"/>
        <v>3.4965000000000002</v>
      </c>
      <c r="AA251" s="741">
        <f t="shared" si="189"/>
        <v>6293700</v>
      </c>
      <c r="AB251" s="741"/>
      <c r="AC251" s="741">
        <f t="shared" si="190"/>
        <v>0</v>
      </c>
      <c r="AD251" s="741">
        <f t="shared" si="205"/>
        <v>0</v>
      </c>
      <c r="AE251" s="741">
        <f t="shared" si="191"/>
        <v>6293700</v>
      </c>
      <c r="AF251" s="742">
        <f t="shared" si="198"/>
        <v>503496</v>
      </c>
      <c r="AG251" s="742">
        <f t="shared" si="199"/>
        <v>94405.5</v>
      </c>
      <c r="AH251" s="742">
        <f t="shared" si="200"/>
        <v>62937</v>
      </c>
      <c r="AI251" s="742"/>
      <c r="AJ251" s="742">
        <f t="shared" si="192"/>
        <v>660838.5</v>
      </c>
      <c r="AK251" s="743"/>
      <c r="AL251" s="744">
        <f t="shared" si="204"/>
        <v>0</v>
      </c>
      <c r="AM251" s="744"/>
      <c r="AN251" s="744"/>
      <c r="AO251" s="745">
        <f t="shared" si="201"/>
        <v>3.33</v>
      </c>
      <c r="AP251" s="757">
        <v>0.25</v>
      </c>
      <c r="AQ251" s="747">
        <f t="shared" si="193"/>
        <v>0.83250000000000002</v>
      </c>
      <c r="AR251" s="742">
        <f t="shared" si="194"/>
        <v>1498500</v>
      </c>
      <c r="AS251" s="742"/>
      <c r="AT251" s="742">
        <f t="shared" si="195"/>
        <v>7131362</v>
      </c>
      <c r="AU251" s="748">
        <f t="shared" si="196"/>
        <v>233</v>
      </c>
      <c r="AV251" s="749"/>
      <c r="AW251" s="485" t="s">
        <v>1272</v>
      </c>
      <c r="AX251" s="29"/>
      <c r="AY251" s="29"/>
      <c r="AZ251" s="29"/>
      <c r="BA251" s="29"/>
      <c r="BB251" s="29"/>
      <c r="BC251" s="29"/>
      <c r="BD251" s="29"/>
      <c r="BE251" s="29"/>
      <c r="BF251" s="29"/>
      <c r="BG251" s="29"/>
    </row>
    <row r="252" spans="1:59" s="189" customFormat="1" ht="30.75" customHeight="1" x14ac:dyDescent="0.25">
      <c r="A252" s="168">
        <f>_xlfn.AGGREGATE(4,7,A$13:A251)+1</f>
        <v>234</v>
      </c>
      <c r="B252" s="168" t="str">
        <f>VLOOKUP(D252,[1]LuongBC_T01!$B$9:$C$292,2,FALSE)</f>
        <v>0016100012091006</v>
      </c>
      <c r="C252" s="170" t="s">
        <v>1329</v>
      </c>
      <c r="D252" s="169" t="s">
        <v>1304</v>
      </c>
      <c r="E252" s="263" t="s">
        <v>1639</v>
      </c>
      <c r="F252" s="220"/>
      <c r="G252" s="220"/>
      <c r="H252" s="220"/>
      <c r="I252" s="220"/>
      <c r="J252" s="220"/>
      <c r="K252" s="168" t="s">
        <v>1347</v>
      </c>
      <c r="L252" s="220"/>
      <c r="M252" s="170"/>
      <c r="N252" s="263" t="str">
        <f>VLOOKUP(D252,'[6]Bao cao So GDDT'!$D$14:$S$282,11,FALSE)</f>
        <v>Giảng viên GDNN LT (hạng III)</v>
      </c>
      <c r="O252" s="263" t="s">
        <v>1438</v>
      </c>
      <c r="P252" s="251"/>
      <c r="Q252" s="251"/>
      <c r="R252" s="170">
        <v>2.67</v>
      </c>
      <c r="S252" s="176"/>
      <c r="T252" s="220"/>
      <c r="U252" s="176">
        <f t="shared" si="186"/>
        <v>0</v>
      </c>
      <c r="V252" s="175"/>
      <c r="W252" s="170">
        <v>0.25</v>
      </c>
      <c r="X252" s="179">
        <f>VLOOKUP(D252,PCTN!D277:W544,20,FALSE)</f>
        <v>0</v>
      </c>
      <c r="Y252" s="216">
        <f t="shared" si="187"/>
        <v>0</v>
      </c>
      <c r="Z252" s="216">
        <f t="shared" si="188"/>
        <v>2.92</v>
      </c>
      <c r="AA252" s="180">
        <f t="shared" si="189"/>
        <v>5256000</v>
      </c>
      <c r="AB252" s="180"/>
      <c r="AC252" s="180">
        <f t="shared" si="190"/>
        <v>0</v>
      </c>
      <c r="AD252" s="180">
        <f t="shared" si="205"/>
        <v>0</v>
      </c>
      <c r="AE252" s="180">
        <f t="shared" si="191"/>
        <v>5256000</v>
      </c>
      <c r="AF252" s="178">
        <f t="shared" si="198"/>
        <v>420480</v>
      </c>
      <c r="AG252" s="178">
        <f t="shared" si="199"/>
        <v>78840</v>
      </c>
      <c r="AH252" s="178">
        <f t="shared" si="200"/>
        <v>52560</v>
      </c>
      <c r="AI252" s="178"/>
      <c r="AJ252" s="178">
        <f t="shared" si="192"/>
        <v>551880</v>
      </c>
      <c r="AK252" s="192"/>
      <c r="AL252" s="182">
        <f t="shared" si="204"/>
        <v>0</v>
      </c>
      <c r="AM252" s="182"/>
      <c r="AN252" s="182"/>
      <c r="AO252" s="183">
        <f t="shared" si="201"/>
        <v>2.92</v>
      </c>
      <c r="AP252" s="246">
        <v>0.25</v>
      </c>
      <c r="AQ252" s="185">
        <f t="shared" si="193"/>
        <v>0.73</v>
      </c>
      <c r="AR252" s="178">
        <f t="shared" si="194"/>
        <v>1314000</v>
      </c>
      <c r="AS252" s="178"/>
      <c r="AT252" s="178">
        <f t="shared" si="195"/>
        <v>6018120</v>
      </c>
      <c r="AU252" s="469">
        <f t="shared" si="196"/>
        <v>234</v>
      </c>
      <c r="AV252" s="195"/>
      <c r="AW252" s="485"/>
    </row>
    <row r="253" spans="1:59" s="189" customFormat="1" ht="30.75" customHeight="1" x14ac:dyDescent="0.25">
      <c r="A253" s="682">
        <f>_xlfn.AGGREGATE(4,7,A$13:A252)+1</f>
        <v>235</v>
      </c>
      <c r="B253" s="682" t="str">
        <f>VLOOKUP(D253,[1]LuongBC_T01!$B$9:$C$292,2,FALSE)</f>
        <v>0016100007188007</v>
      </c>
      <c r="C253" s="685" t="s">
        <v>1330</v>
      </c>
      <c r="D253" s="683" t="s">
        <v>1273</v>
      </c>
      <c r="E253" s="684" t="s">
        <v>1392</v>
      </c>
      <c r="F253" s="716"/>
      <c r="G253" s="716"/>
      <c r="H253" s="716"/>
      <c r="I253" s="716"/>
      <c r="J253" s="716"/>
      <c r="K253" s="685" t="str">
        <f>VLOOKUP(D253,[2]T3!$B$2:$D$328,3,FALSE)</f>
        <v>024255580</v>
      </c>
      <c r="L253" s="716"/>
      <c r="M253" s="685"/>
      <c r="N253" s="684" t="str">
        <f>VLOOKUP(D253,'[6]Bao cao So GDDT'!$D$14:$S$282,11,FALSE)</f>
        <v>Giảng viên GDNN LT (hạng III)</v>
      </c>
      <c r="O253" s="686" t="s">
        <v>1438</v>
      </c>
      <c r="P253" s="768" t="s">
        <v>1267</v>
      </c>
      <c r="Q253" s="768">
        <v>1</v>
      </c>
      <c r="R253" s="685">
        <v>2.67</v>
      </c>
      <c r="S253" s="690"/>
      <c r="T253" s="716"/>
      <c r="U253" s="690">
        <f t="shared" si="186"/>
        <v>0</v>
      </c>
      <c r="V253" s="692"/>
      <c r="W253" s="685">
        <v>0.25</v>
      </c>
      <c r="X253" s="693">
        <v>0.05</v>
      </c>
      <c r="Y253" s="694">
        <f t="shared" si="187"/>
        <v>0.14599999999999999</v>
      </c>
      <c r="Z253" s="694">
        <f t="shared" si="188"/>
        <v>3.0659999999999998</v>
      </c>
      <c r="AA253" s="695">
        <f t="shared" si="189"/>
        <v>5518800</v>
      </c>
      <c r="AB253" s="695"/>
      <c r="AC253" s="695">
        <f t="shared" si="190"/>
        <v>0</v>
      </c>
      <c r="AD253" s="695">
        <f t="shared" si="205"/>
        <v>0</v>
      </c>
      <c r="AE253" s="695">
        <f t="shared" si="191"/>
        <v>5518800</v>
      </c>
      <c r="AF253" s="696">
        <f t="shared" si="198"/>
        <v>441504</v>
      </c>
      <c r="AG253" s="696">
        <f t="shared" si="199"/>
        <v>82782</v>
      </c>
      <c r="AH253" s="696">
        <f t="shared" si="200"/>
        <v>55188</v>
      </c>
      <c r="AI253" s="696"/>
      <c r="AJ253" s="696">
        <f t="shared" si="192"/>
        <v>579474</v>
      </c>
      <c r="AK253" s="701"/>
      <c r="AL253" s="697">
        <f t="shared" si="204"/>
        <v>0</v>
      </c>
      <c r="AM253" s="697"/>
      <c r="AN253" s="697"/>
      <c r="AO253" s="764">
        <f t="shared" si="201"/>
        <v>2.92</v>
      </c>
      <c r="AP253" s="702">
        <v>0.25</v>
      </c>
      <c r="AQ253" s="766">
        <f t="shared" si="193"/>
        <v>0.73</v>
      </c>
      <c r="AR253" s="696">
        <f t="shared" si="194"/>
        <v>1314000</v>
      </c>
      <c r="AS253" s="696"/>
      <c r="AT253" s="696">
        <f t="shared" si="195"/>
        <v>6253326</v>
      </c>
      <c r="AU253" s="698">
        <f t="shared" si="196"/>
        <v>235</v>
      </c>
      <c r="AV253" s="699"/>
      <c r="AW253" s="485" t="s">
        <v>1139</v>
      </c>
      <c r="AX253" s="29"/>
      <c r="AY253" s="29"/>
      <c r="AZ253" s="29"/>
      <c r="BA253" s="29"/>
      <c r="BB253" s="29"/>
      <c r="BC253" s="29"/>
      <c r="BD253" s="29"/>
      <c r="BE253" s="29"/>
      <c r="BF253" s="29"/>
      <c r="BG253" s="29"/>
    </row>
    <row r="254" spans="1:59" s="189" customFormat="1" ht="42.75" customHeight="1" x14ac:dyDescent="0.25">
      <c r="A254" s="168">
        <f>_xlfn.AGGREGATE(4,7,A$13:A253)+1</f>
        <v>236</v>
      </c>
      <c r="B254" s="484"/>
      <c r="C254" s="484"/>
      <c r="D254" s="524" t="s">
        <v>1593</v>
      </c>
      <c r="E254" s="521" t="s">
        <v>1376</v>
      </c>
      <c r="F254" s="926"/>
      <c r="G254" s="926"/>
      <c r="H254" s="926"/>
      <c r="I254" s="926"/>
      <c r="J254" s="926"/>
      <c r="K254" s="484"/>
      <c r="L254" s="927"/>
      <c r="M254" s="525"/>
      <c r="N254" s="521"/>
      <c r="O254" s="521" t="s">
        <v>1438</v>
      </c>
      <c r="P254" s="525"/>
      <c r="Q254" s="525"/>
      <c r="R254" s="525">
        <v>2.67</v>
      </c>
      <c r="S254" s="463"/>
      <c r="T254" s="926"/>
      <c r="U254" s="176">
        <f t="shared" si="186"/>
        <v>0</v>
      </c>
      <c r="V254" s="529"/>
      <c r="W254" s="525"/>
      <c r="X254" s="530">
        <v>0</v>
      </c>
      <c r="Y254" s="531">
        <f>ROUND((R254+U254+W254)*X254,4)</f>
        <v>0</v>
      </c>
      <c r="Z254" s="531">
        <f>R254+U254+W254+Y254</f>
        <v>2.67</v>
      </c>
      <c r="AA254" s="532">
        <f>ROUND(Z254*$D$8,0)</f>
        <v>4806000</v>
      </c>
      <c r="AB254" s="532"/>
      <c r="AC254" s="532">
        <f>AA254/24*AB254</f>
        <v>0</v>
      </c>
      <c r="AD254" s="532">
        <v>0</v>
      </c>
      <c r="AE254" s="532">
        <f>ROUND(AA254-AC254+AD254,0)</f>
        <v>4806000</v>
      </c>
      <c r="AF254" s="533">
        <f>AA254*8%</f>
        <v>384480</v>
      </c>
      <c r="AG254" s="533">
        <f>AA254*1.5%</f>
        <v>72090</v>
      </c>
      <c r="AH254" s="533">
        <f>AA254*1%</f>
        <v>48060</v>
      </c>
      <c r="AI254" s="533"/>
      <c r="AJ254" s="533">
        <f>SUM(AF254:AI254)</f>
        <v>504630</v>
      </c>
      <c r="AK254" s="534"/>
      <c r="AL254" s="182">
        <f t="shared" si="204"/>
        <v>0</v>
      </c>
      <c r="AM254" s="535"/>
      <c r="AN254" s="535"/>
      <c r="AO254" s="536">
        <f>R254+U254+W254</f>
        <v>2.67</v>
      </c>
      <c r="AP254" s="870">
        <v>0.25</v>
      </c>
      <c r="AQ254" s="928">
        <f>ROUND(AO254*AP254,4)</f>
        <v>0.66749999999999998</v>
      </c>
      <c r="AR254" s="533">
        <f>ROUND(AQ254*$D$8,0)</f>
        <v>1201500</v>
      </c>
      <c r="AS254" s="533"/>
      <c r="AT254" s="533">
        <f>ROUND(AE254-AJ254+AL254+AN254+AR254,0)</f>
        <v>5502870</v>
      </c>
      <c r="AU254" s="538">
        <f>A254</f>
        <v>236</v>
      </c>
      <c r="AV254" s="539"/>
      <c r="AW254" s="659"/>
      <c r="AY254" s="189">
        <f>1.8*4.01*1800000</f>
        <v>12992400</v>
      </c>
      <c r="AZ254" s="189">
        <f>1.8*3.66*1800000</f>
        <v>11858400</v>
      </c>
    </row>
    <row r="255" spans="1:59" s="189" customFormat="1" ht="42.75" customHeight="1" x14ac:dyDescent="0.25">
      <c r="A255" s="168">
        <f>_xlfn.AGGREGATE(4,7,A$13:A254)+1</f>
        <v>237</v>
      </c>
      <c r="B255" s="168"/>
      <c r="C255" s="168"/>
      <c r="D255" s="169" t="s">
        <v>1595</v>
      </c>
      <c r="E255" s="263" t="s">
        <v>1376</v>
      </c>
      <c r="F255" s="220"/>
      <c r="G255" s="220"/>
      <c r="H255" s="220"/>
      <c r="I255" s="220"/>
      <c r="J255" s="220"/>
      <c r="K255" s="168"/>
      <c r="L255" s="490"/>
      <c r="M255" s="170"/>
      <c r="N255" s="263"/>
      <c r="O255" s="263" t="s">
        <v>1438</v>
      </c>
      <c r="P255" s="170"/>
      <c r="Q255" s="170"/>
      <c r="R255" s="170">
        <v>2.34</v>
      </c>
      <c r="S255" s="176"/>
      <c r="T255" s="220"/>
      <c r="U255" s="176">
        <f t="shared" si="186"/>
        <v>0</v>
      </c>
      <c r="V255" s="175"/>
      <c r="W255" s="170"/>
      <c r="X255" s="179">
        <v>0</v>
      </c>
      <c r="Y255" s="216">
        <f>ROUND((R255+U255+W255)*X255,4)</f>
        <v>0</v>
      </c>
      <c r="Z255" s="216">
        <f>R255+U255+W255+Y255</f>
        <v>2.34</v>
      </c>
      <c r="AA255" s="180">
        <f>ROUND(Z255*$D$8,0)</f>
        <v>4212000</v>
      </c>
      <c r="AB255" s="180"/>
      <c r="AC255" s="180">
        <f>AA255/24*AB255</f>
        <v>0</v>
      </c>
      <c r="AD255" s="180">
        <v>0</v>
      </c>
      <c r="AE255" s="180">
        <f>ROUND(AA255-AC255+AD255,0)</f>
        <v>4212000</v>
      </c>
      <c r="AF255" s="178">
        <f>AA255*8%</f>
        <v>336960</v>
      </c>
      <c r="AG255" s="178">
        <f>AA255*1.5%</f>
        <v>63180</v>
      </c>
      <c r="AH255" s="178">
        <f>AA255*1%</f>
        <v>42120</v>
      </c>
      <c r="AI255" s="178"/>
      <c r="AJ255" s="178">
        <f>SUM(AF255:AI255)</f>
        <v>442260</v>
      </c>
      <c r="AK255" s="192"/>
      <c r="AL255" s="182">
        <f t="shared" si="204"/>
        <v>0</v>
      </c>
      <c r="AM255" s="182"/>
      <c r="AN255" s="182"/>
      <c r="AO255" s="183">
        <f>R255+U255+W255</f>
        <v>2.34</v>
      </c>
      <c r="AP255" s="246">
        <v>0.25</v>
      </c>
      <c r="AQ255" s="185">
        <f>ROUND(AO255*AP255,4)</f>
        <v>0.58499999999999996</v>
      </c>
      <c r="AR255" s="178">
        <f>ROUND(AQ255*$D$8,0)</f>
        <v>1053000</v>
      </c>
      <c r="AS255" s="178"/>
      <c r="AT255" s="178">
        <f>ROUND(AE255-AJ255+AL255+AN255+AR255,0)</f>
        <v>4822740</v>
      </c>
      <c r="AU255" s="469">
        <f>A255</f>
        <v>237</v>
      </c>
      <c r="AV255" s="195"/>
      <c r="AW255" s="659"/>
      <c r="AY255" s="189">
        <f>4.01*1800000*0.8*2</f>
        <v>11548800</v>
      </c>
      <c r="AZ255" s="189">
        <f>3.66*1800000*0.8*2</f>
        <v>10540800</v>
      </c>
    </row>
    <row r="256" spans="1:59" s="189" customFormat="1" ht="30.75" customHeight="1" x14ac:dyDescent="0.25">
      <c r="A256" s="726">
        <f>_xlfn.AGGREGATE(4,7,A$13:A255)+1</f>
        <v>238</v>
      </c>
      <c r="B256" s="726" t="str">
        <f>VLOOKUP(D256,[1]LuongBC_T01!$B$9:$C$292,2,FALSE)</f>
        <v>0016100006823003</v>
      </c>
      <c r="C256" s="750" t="s">
        <v>907</v>
      </c>
      <c r="D256" s="728" t="s">
        <v>1198</v>
      </c>
      <c r="E256" s="729" t="s">
        <v>1390</v>
      </c>
      <c r="F256" s="728" t="s">
        <v>550</v>
      </c>
      <c r="G256" s="730"/>
      <c r="H256" s="730" t="s">
        <v>283</v>
      </c>
      <c r="I256" s="730" t="s">
        <v>283</v>
      </c>
      <c r="J256" s="728" t="s">
        <v>259</v>
      </c>
      <c r="K256" s="730" t="str">
        <f>VLOOKUP(D256,[2]T3!$B$2:$D$328,3,FALSE)</f>
        <v>023376448</v>
      </c>
      <c r="L256" s="731" t="s">
        <v>122</v>
      </c>
      <c r="M256" s="731" t="s">
        <v>907</v>
      </c>
      <c r="N256" s="729" t="str">
        <f>VLOOKUP(D256,'[6]Bao cao So GDDT'!$D$14:$S$282,11,FALSE)</f>
        <v>Giảng viên GDNN LT (hạng III)</v>
      </c>
      <c r="O256" s="732" t="s">
        <v>1438</v>
      </c>
      <c r="P256" s="733" t="s">
        <v>692</v>
      </c>
      <c r="Q256" s="734">
        <v>5</v>
      </c>
      <c r="R256" s="735">
        <v>4.6500000000000004</v>
      </c>
      <c r="S256" s="736">
        <f t="shared" ref="S256:S264" si="206">U256+W256+Y256</f>
        <v>1.3169999999999999</v>
      </c>
      <c r="T256" s="737"/>
      <c r="U256" s="736">
        <f t="shared" si="186"/>
        <v>0</v>
      </c>
      <c r="V256" s="738">
        <f>R256*T256*$D$8/100</f>
        <v>0</v>
      </c>
      <c r="W256" s="730">
        <v>0.45</v>
      </c>
      <c r="X256" s="739">
        <v>0.17</v>
      </c>
      <c r="Y256" s="740">
        <f t="shared" si="187"/>
        <v>0.86699999999999999</v>
      </c>
      <c r="Z256" s="740">
        <f t="shared" si="188"/>
        <v>5.9670000000000005</v>
      </c>
      <c r="AA256" s="741">
        <f t="shared" si="189"/>
        <v>10740600</v>
      </c>
      <c r="AB256" s="741"/>
      <c r="AC256" s="741">
        <f t="shared" si="190"/>
        <v>0</v>
      </c>
      <c r="AD256" s="741">
        <f t="shared" si="205"/>
        <v>0</v>
      </c>
      <c r="AE256" s="741">
        <f t="shared" si="191"/>
        <v>10740600</v>
      </c>
      <c r="AF256" s="742">
        <f t="shared" si="198"/>
        <v>859248</v>
      </c>
      <c r="AG256" s="742">
        <f t="shared" si="199"/>
        <v>161109</v>
      </c>
      <c r="AH256" s="742">
        <f t="shared" si="200"/>
        <v>107406</v>
      </c>
      <c r="AI256" s="742"/>
      <c r="AJ256" s="742">
        <f t="shared" si="192"/>
        <v>1127763</v>
      </c>
      <c r="AK256" s="743"/>
      <c r="AL256" s="744">
        <f t="shared" ref="AL256:AL280" si="207">AK256*$D$8</f>
        <v>0</v>
      </c>
      <c r="AM256" s="744"/>
      <c r="AN256" s="744"/>
      <c r="AO256" s="756">
        <f t="shared" si="201"/>
        <v>5.1000000000000005</v>
      </c>
      <c r="AP256" s="757">
        <v>0.25</v>
      </c>
      <c r="AQ256" s="758">
        <f t="shared" si="193"/>
        <v>1.2749999999999999</v>
      </c>
      <c r="AR256" s="742">
        <f t="shared" si="194"/>
        <v>2295000</v>
      </c>
      <c r="AS256" s="742"/>
      <c r="AT256" s="742">
        <f t="shared" si="195"/>
        <v>11907837</v>
      </c>
      <c r="AU256" s="748">
        <f t="shared" si="196"/>
        <v>238</v>
      </c>
      <c r="AV256" s="749"/>
      <c r="AW256" s="198" t="s">
        <v>714</v>
      </c>
      <c r="AY256" s="189">
        <f>AY254+AY255</f>
        <v>24541200</v>
      </c>
      <c r="AZ256" s="189">
        <f>AZ254+AZ255</f>
        <v>22399200</v>
      </c>
    </row>
    <row r="257" spans="1:59" s="191" customFormat="1" ht="30.75" customHeight="1" x14ac:dyDescent="0.25">
      <c r="A257" s="168">
        <f>_xlfn.AGGREGATE(4,7,A$13:A256)+1</f>
        <v>239</v>
      </c>
      <c r="B257" s="168" t="str">
        <f>VLOOKUP(D257,[1]LuongBC_T01!$B$9:$C$292,2,FALSE)</f>
        <v>0016100006632003</v>
      </c>
      <c r="C257" s="199" t="s">
        <v>920</v>
      </c>
      <c r="D257" s="169" t="s">
        <v>1205</v>
      </c>
      <c r="E257" s="263" t="s">
        <v>1383</v>
      </c>
      <c r="F257" s="169" t="s">
        <v>549</v>
      </c>
      <c r="G257" s="170"/>
      <c r="H257" s="170" t="s">
        <v>283</v>
      </c>
      <c r="I257" s="170" t="s">
        <v>283</v>
      </c>
      <c r="J257" s="169" t="s">
        <v>263</v>
      </c>
      <c r="K257" s="170" t="str">
        <f>VLOOKUP(D257,[2]T3!$B$2:$D$328,3,FALSE)</f>
        <v>023655683</v>
      </c>
      <c r="L257" s="171" t="s">
        <v>124</v>
      </c>
      <c r="M257" s="171" t="s">
        <v>920</v>
      </c>
      <c r="N257" s="263" t="str">
        <f>VLOOKUP(D257,'[6]Bao cao So GDDT'!$D$14:$S$282,11,FALSE)</f>
        <v>Giảng viên GDNN LT (hạng III)</v>
      </c>
      <c r="O257" s="390" t="s">
        <v>1438</v>
      </c>
      <c r="P257" s="172" t="s">
        <v>692</v>
      </c>
      <c r="Q257" s="173">
        <v>4</v>
      </c>
      <c r="R257" s="174">
        <v>4.32</v>
      </c>
      <c r="S257" s="176">
        <f t="shared" si="206"/>
        <v>0.98119999999999996</v>
      </c>
      <c r="T257" s="377"/>
      <c r="U257" s="176">
        <f t="shared" si="186"/>
        <v>0</v>
      </c>
      <c r="V257" s="175">
        <f>R257*T257*$D$8/100</f>
        <v>0</v>
      </c>
      <c r="W257" s="170">
        <v>0.25</v>
      </c>
      <c r="X257" s="179">
        <v>0.16</v>
      </c>
      <c r="Y257" s="216">
        <f t="shared" si="187"/>
        <v>0.73119999999999996</v>
      </c>
      <c r="Z257" s="216">
        <f t="shared" si="188"/>
        <v>5.3012000000000006</v>
      </c>
      <c r="AA257" s="180">
        <f t="shared" si="189"/>
        <v>9542160</v>
      </c>
      <c r="AB257" s="180"/>
      <c r="AC257" s="180">
        <f t="shared" si="190"/>
        <v>0</v>
      </c>
      <c r="AD257" s="180">
        <f t="shared" si="205"/>
        <v>0</v>
      </c>
      <c r="AE257" s="180">
        <f t="shared" si="191"/>
        <v>9542160</v>
      </c>
      <c r="AF257" s="178">
        <f t="shared" si="198"/>
        <v>763372.8</v>
      </c>
      <c r="AG257" s="178">
        <f t="shared" si="199"/>
        <v>143132.4</v>
      </c>
      <c r="AH257" s="178">
        <f t="shared" si="200"/>
        <v>95421.6</v>
      </c>
      <c r="AI257" s="178"/>
      <c r="AJ257" s="178">
        <f t="shared" si="192"/>
        <v>1001926.8</v>
      </c>
      <c r="AK257" s="181"/>
      <c r="AL257" s="182">
        <f t="shared" si="207"/>
        <v>0</v>
      </c>
      <c r="AM257" s="182"/>
      <c r="AN257" s="182"/>
      <c r="AO257" s="193">
        <f t="shared" si="201"/>
        <v>4.57</v>
      </c>
      <c r="AP257" s="246">
        <v>0.25</v>
      </c>
      <c r="AQ257" s="194">
        <f t="shared" si="193"/>
        <v>1.1425000000000001</v>
      </c>
      <c r="AR257" s="178">
        <f t="shared" si="194"/>
        <v>2056500</v>
      </c>
      <c r="AS257" s="178"/>
      <c r="AT257" s="178">
        <f t="shared" si="195"/>
        <v>10596733</v>
      </c>
      <c r="AU257" s="469">
        <f t="shared" si="196"/>
        <v>239</v>
      </c>
      <c r="AV257" s="195"/>
      <c r="AW257" s="242" t="s">
        <v>714</v>
      </c>
    </row>
    <row r="258" spans="1:59" s="189" customFormat="1" ht="30.75" customHeight="1" x14ac:dyDescent="0.25">
      <c r="A258" s="168">
        <f>_xlfn.AGGREGATE(4,7,A$13:A257)+1</f>
        <v>240</v>
      </c>
      <c r="B258" s="168" t="str">
        <f>VLOOKUP(D258,[1]LuongBC_T01!$B$9:$C$292,2,FALSE)</f>
        <v>0016100006740008</v>
      </c>
      <c r="C258" s="199" t="s">
        <v>976</v>
      </c>
      <c r="D258" s="169" t="s">
        <v>298</v>
      </c>
      <c r="E258" s="263" t="s">
        <v>1465</v>
      </c>
      <c r="F258" s="169" t="s">
        <v>549</v>
      </c>
      <c r="G258" s="200"/>
      <c r="H258" s="170" t="s">
        <v>283</v>
      </c>
      <c r="I258" s="170" t="s">
        <v>283</v>
      </c>
      <c r="J258" s="169" t="s">
        <v>528</v>
      </c>
      <c r="K258" s="170" t="str">
        <f>VLOOKUP(D258,[2]T3!$B$2:$D$328,3,FALSE)</f>
        <v>023523303</v>
      </c>
      <c r="L258" s="171" t="s">
        <v>339</v>
      </c>
      <c r="M258" s="171" t="s">
        <v>976</v>
      </c>
      <c r="N258" s="263" t="str">
        <f>VLOOKUP(D258,'[6]Bao cao So GDDT'!$D$14:$S$282,11,FALSE)</f>
        <v>Giảng viên GDNN LT (hạng III)</v>
      </c>
      <c r="O258" s="390" t="s">
        <v>1438</v>
      </c>
      <c r="P258" s="172" t="s">
        <v>692</v>
      </c>
      <c r="Q258" s="173">
        <v>4</v>
      </c>
      <c r="R258" s="174">
        <v>3.99</v>
      </c>
      <c r="S258" s="176">
        <f t="shared" si="206"/>
        <v>0.84360000000000002</v>
      </c>
      <c r="T258" s="370"/>
      <c r="U258" s="176">
        <f t="shared" ref="U258:U285" si="208">ROUND(R258*T258/100,4)</f>
        <v>0</v>
      </c>
      <c r="V258" s="175">
        <f>R258*T258*$D$8/100</f>
        <v>0</v>
      </c>
      <c r="W258" s="170">
        <v>0.25</v>
      </c>
      <c r="X258" s="179">
        <v>0.14000000000000001</v>
      </c>
      <c r="Y258" s="216">
        <f t="shared" ref="Y258:Y285" si="209">ROUND((R258+U258+W258)*X258,4)</f>
        <v>0.59360000000000002</v>
      </c>
      <c r="Z258" s="216">
        <f t="shared" ref="Z258:Z285" si="210">R258+U258+W258+Y258</f>
        <v>4.8336000000000006</v>
      </c>
      <c r="AA258" s="180">
        <f t="shared" ref="AA258:AA285" si="211">ROUND(Z258*$D$8,0)</f>
        <v>8700480</v>
      </c>
      <c r="AB258" s="180"/>
      <c r="AC258" s="180">
        <v>0</v>
      </c>
      <c r="AD258" s="180">
        <f t="shared" si="205"/>
        <v>0</v>
      </c>
      <c r="AE258" s="180">
        <f t="shared" ref="AE258:AE285" si="212">ROUND(AA258-AC258+AD258,0)</f>
        <v>8700480</v>
      </c>
      <c r="AF258" s="178">
        <f t="shared" si="198"/>
        <v>696038.40000000002</v>
      </c>
      <c r="AG258" s="178">
        <f t="shared" si="199"/>
        <v>130507.2</v>
      </c>
      <c r="AH258" s="178">
        <f t="shared" si="200"/>
        <v>87004.800000000003</v>
      </c>
      <c r="AI258" s="178"/>
      <c r="AJ258" s="178">
        <f t="shared" ref="AJ258:AJ285" si="213">SUM(AF258:AI258)</f>
        <v>913550.4</v>
      </c>
      <c r="AK258" s="192"/>
      <c r="AL258" s="182">
        <f t="shared" si="207"/>
        <v>0</v>
      </c>
      <c r="AM258" s="182"/>
      <c r="AN258" s="182"/>
      <c r="AO258" s="193">
        <f t="shared" si="201"/>
        <v>4.24</v>
      </c>
      <c r="AP258" s="246">
        <v>0.25</v>
      </c>
      <c r="AQ258" s="194">
        <f t="shared" ref="AQ258:AQ285" si="214">ROUND(AO258*AP258,4)</f>
        <v>1.06</v>
      </c>
      <c r="AR258" s="178">
        <f t="shared" ref="AR258:AR285" si="215">ROUND(AQ258*$D$8,0)</f>
        <v>1908000</v>
      </c>
      <c r="AS258" s="178"/>
      <c r="AT258" s="178">
        <f t="shared" ref="AT258:AT280" si="216">ROUND(AE258-AJ258+AL258+AN258+AR258,0)</f>
        <v>9694930</v>
      </c>
      <c r="AU258" s="469">
        <f t="shared" ref="AU258:AU270" si="217">A258</f>
        <v>240</v>
      </c>
      <c r="AV258" s="195"/>
      <c r="AW258" s="187" t="s">
        <v>714</v>
      </c>
    </row>
    <row r="259" spans="1:59" s="189" customFormat="1" ht="30.75" customHeight="1" x14ac:dyDescent="0.25">
      <c r="A259" s="168">
        <f>_xlfn.AGGREGATE(4,7,A$13:A258)+1</f>
        <v>241</v>
      </c>
      <c r="B259" s="168" t="str">
        <f>VLOOKUP(D259,[1]LuongBC_T01!$B$9:$C$292,2,FALSE)</f>
        <v>0016100006696001</v>
      </c>
      <c r="C259" s="199" t="s">
        <v>1015</v>
      </c>
      <c r="D259" s="230" t="s">
        <v>749</v>
      </c>
      <c r="E259" s="263" t="s">
        <v>1465</v>
      </c>
      <c r="F259" s="231"/>
      <c r="G259" s="251"/>
      <c r="H259" s="231"/>
      <c r="I259" s="231"/>
      <c r="J259" s="231"/>
      <c r="K259" s="170" t="str">
        <f>VLOOKUP(D259,[2]T3!$B$2:$D$328,3,FALSE)</f>
        <v>024578348</v>
      </c>
      <c r="L259" s="253" t="s">
        <v>761</v>
      </c>
      <c r="M259" s="253" t="s">
        <v>1015</v>
      </c>
      <c r="N259" s="263" t="str">
        <f>VLOOKUP(D259,'[6]Bao cao So GDDT'!$D$14:$S$282,11,FALSE)</f>
        <v>Giảng viên GDNN LT (hạng III)</v>
      </c>
      <c r="O259" s="390" t="s">
        <v>1438</v>
      </c>
      <c r="P259" s="170" t="s">
        <v>692</v>
      </c>
      <c r="Q259" s="170">
        <v>2</v>
      </c>
      <c r="R259" s="177">
        <v>3.33</v>
      </c>
      <c r="S259" s="176">
        <f t="shared" si="206"/>
        <v>0.57220000000000004</v>
      </c>
      <c r="T259" s="169"/>
      <c r="U259" s="176">
        <f t="shared" si="208"/>
        <v>0</v>
      </c>
      <c r="V259" s="175"/>
      <c r="W259" s="170">
        <v>0.25</v>
      </c>
      <c r="X259" s="179">
        <v>0.09</v>
      </c>
      <c r="Y259" s="216">
        <f t="shared" si="209"/>
        <v>0.32219999999999999</v>
      </c>
      <c r="Z259" s="216">
        <f t="shared" si="210"/>
        <v>3.9022000000000001</v>
      </c>
      <c r="AA259" s="180">
        <f t="shared" si="211"/>
        <v>7023960</v>
      </c>
      <c r="AB259" s="180"/>
      <c r="AC259" s="180">
        <v>0</v>
      </c>
      <c r="AD259" s="180">
        <f t="shared" si="205"/>
        <v>0</v>
      </c>
      <c r="AE259" s="180">
        <f t="shared" si="212"/>
        <v>7023960</v>
      </c>
      <c r="AF259" s="178">
        <f t="shared" si="198"/>
        <v>561916.80000000005</v>
      </c>
      <c r="AG259" s="178">
        <f t="shared" si="199"/>
        <v>105359.4</v>
      </c>
      <c r="AH259" s="178">
        <f t="shared" si="200"/>
        <v>70239.600000000006</v>
      </c>
      <c r="AI259" s="178"/>
      <c r="AJ259" s="178">
        <f t="shared" si="213"/>
        <v>737515.8</v>
      </c>
      <c r="AK259" s="192"/>
      <c r="AL259" s="182">
        <f t="shared" si="207"/>
        <v>0</v>
      </c>
      <c r="AM259" s="182"/>
      <c r="AN259" s="182"/>
      <c r="AO259" s="183">
        <f t="shared" si="201"/>
        <v>3.58</v>
      </c>
      <c r="AP259" s="246">
        <v>0.25</v>
      </c>
      <c r="AQ259" s="194">
        <f t="shared" si="214"/>
        <v>0.89500000000000002</v>
      </c>
      <c r="AR259" s="178">
        <f t="shared" si="215"/>
        <v>1611000</v>
      </c>
      <c r="AS259" s="178"/>
      <c r="AT259" s="178">
        <f t="shared" si="216"/>
        <v>7897444</v>
      </c>
      <c r="AU259" s="469">
        <f t="shared" si="217"/>
        <v>241</v>
      </c>
      <c r="AV259" s="244"/>
      <c r="AW259" s="196"/>
    </row>
    <row r="260" spans="1:59" s="189" customFormat="1" ht="30.75" customHeight="1" x14ac:dyDescent="0.25">
      <c r="A260" s="168">
        <f>_xlfn.AGGREGATE(4,7,A$13:A259)+1</f>
        <v>242</v>
      </c>
      <c r="B260" s="168" t="str">
        <f>VLOOKUP(D260,[1]LuongBC_T01!$B$9:$C$292,2,FALSE)</f>
        <v>0016100006559004</v>
      </c>
      <c r="C260" s="199" t="s">
        <v>1013</v>
      </c>
      <c r="D260" s="230" t="s">
        <v>748</v>
      </c>
      <c r="E260" s="263" t="s">
        <v>1377</v>
      </c>
      <c r="F260" s="231"/>
      <c r="G260" s="251"/>
      <c r="H260" s="231"/>
      <c r="I260" s="231"/>
      <c r="J260" s="231"/>
      <c r="K260" s="170" t="str">
        <f>VLOOKUP(D260,[2]T3!$B$2:$D$328,3,FALSE)</f>
        <v>024157475</v>
      </c>
      <c r="L260" s="253" t="s">
        <v>762</v>
      </c>
      <c r="M260" s="253" t="s">
        <v>1013</v>
      </c>
      <c r="N260" s="263" t="str">
        <f>VLOOKUP(D260,'[6]Bao cao So GDDT'!$D$14:$S$282,11,FALSE)</f>
        <v>Giảng viên GDNN LT (hạng III)</v>
      </c>
      <c r="O260" s="390" t="s">
        <v>1438</v>
      </c>
      <c r="P260" s="170" t="s">
        <v>692</v>
      </c>
      <c r="Q260" s="170">
        <v>2</v>
      </c>
      <c r="R260" s="177">
        <v>3.33</v>
      </c>
      <c r="S260" s="176">
        <f t="shared" si="206"/>
        <v>0.29970000000000002</v>
      </c>
      <c r="T260" s="169"/>
      <c r="U260" s="176">
        <f t="shared" si="208"/>
        <v>0</v>
      </c>
      <c r="V260" s="175"/>
      <c r="W260" s="170"/>
      <c r="X260" s="179">
        <v>0.09</v>
      </c>
      <c r="Y260" s="216">
        <f t="shared" si="209"/>
        <v>0.29970000000000002</v>
      </c>
      <c r="Z260" s="216">
        <f t="shared" si="210"/>
        <v>3.6297000000000001</v>
      </c>
      <c r="AA260" s="180">
        <f t="shared" si="211"/>
        <v>6533460</v>
      </c>
      <c r="AB260" s="180"/>
      <c r="AC260" s="180">
        <f t="shared" ref="AC260:AC285" si="218">AA260/24*AB260</f>
        <v>0</v>
      </c>
      <c r="AD260" s="180">
        <f t="shared" si="205"/>
        <v>0</v>
      </c>
      <c r="AE260" s="180">
        <f t="shared" si="212"/>
        <v>6533460</v>
      </c>
      <c r="AF260" s="178">
        <f t="shared" si="198"/>
        <v>522676.8</v>
      </c>
      <c r="AG260" s="178">
        <f t="shared" si="199"/>
        <v>98001.9</v>
      </c>
      <c r="AH260" s="178">
        <f t="shared" si="200"/>
        <v>65334.6</v>
      </c>
      <c r="AI260" s="178"/>
      <c r="AJ260" s="178">
        <f t="shared" si="213"/>
        <v>686013.29999999993</v>
      </c>
      <c r="AK260" s="192"/>
      <c r="AL260" s="182">
        <f t="shared" si="207"/>
        <v>0</v>
      </c>
      <c r="AM260" s="182"/>
      <c r="AN260" s="182"/>
      <c r="AO260" s="183">
        <f t="shared" si="201"/>
        <v>3.33</v>
      </c>
      <c r="AP260" s="246">
        <v>0.25</v>
      </c>
      <c r="AQ260" s="194">
        <f t="shared" si="214"/>
        <v>0.83250000000000002</v>
      </c>
      <c r="AR260" s="178">
        <f t="shared" si="215"/>
        <v>1498500</v>
      </c>
      <c r="AS260" s="178"/>
      <c r="AT260" s="178">
        <f t="shared" si="216"/>
        <v>7345947</v>
      </c>
      <c r="AU260" s="469">
        <f t="shared" si="217"/>
        <v>242</v>
      </c>
      <c r="AV260" s="195"/>
      <c r="AW260" s="196" t="e">
        <f>#REF!*10</f>
        <v>#REF!</v>
      </c>
    </row>
    <row r="261" spans="1:59" s="191" customFormat="1" ht="30.75" customHeight="1" x14ac:dyDescent="0.25">
      <c r="A261" s="168">
        <f>_xlfn.AGGREGATE(4,7,A$13:A260)+1</f>
        <v>243</v>
      </c>
      <c r="B261" s="168" t="str">
        <f>VLOOKUP(D261,[1]LuongBC_T01!$B$9:$C$292,2,FALSE)</f>
        <v>0016100006634006</v>
      </c>
      <c r="C261" s="199" t="s">
        <v>921</v>
      </c>
      <c r="D261" s="169" t="s">
        <v>63</v>
      </c>
      <c r="E261" s="263" t="s">
        <v>1377</v>
      </c>
      <c r="F261" s="169" t="s">
        <v>549</v>
      </c>
      <c r="G261" s="170"/>
      <c r="H261" s="170" t="s">
        <v>283</v>
      </c>
      <c r="I261" s="170" t="s">
        <v>283</v>
      </c>
      <c r="J261" s="169" t="s">
        <v>246</v>
      </c>
      <c r="K261" s="170" t="str">
        <f>VLOOKUP(D261,[2]T3!$B$2:$D$328,3,FALSE)</f>
        <v>023636063</v>
      </c>
      <c r="L261" s="171" t="s">
        <v>115</v>
      </c>
      <c r="M261" s="171" t="s">
        <v>921</v>
      </c>
      <c r="N261" s="263" t="str">
        <f>VLOOKUP(D261,'[6]Bao cao So GDDT'!$D$14:$S$282,11,FALSE)</f>
        <v>Giảng viên GDNN LT (hạng III)</v>
      </c>
      <c r="O261" s="390" t="s">
        <v>1438</v>
      </c>
      <c r="P261" s="172" t="s">
        <v>692</v>
      </c>
      <c r="Q261" s="173">
        <v>4</v>
      </c>
      <c r="R261" s="174">
        <v>3.99</v>
      </c>
      <c r="S261" s="176">
        <f t="shared" si="206"/>
        <v>0.59850000000000003</v>
      </c>
      <c r="T261" s="377"/>
      <c r="U261" s="176">
        <f t="shared" si="208"/>
        <v>0</v>
      </c>
      <c r="V261" s="175">
        <f>R261*T261*$D$8/100</f>
        <v>0</v>
      </c>
      <c r="W261" s="170"/>
      <c r="X261" s="179">
        <v>0.15</v>
      </c>
      <c r="Y261" s="216">
        <f t="shared" si="209"/>
        <v>0.59850000000000003</v>
      </c>
      <c r="Z261" s="216">
        <f t="shared" si="210"/>
        <v>4.5884999999999998</v>
      </c>
      <c r="AA261" s="180">
        <f t="shared" si="211"/>
        <v>8259300</v>
      </c>
      <c r="AB261" s="180"/>
      <c r="AC261" s="180">
        <f t="shared" si="218"/>
        <v>0</v>
      </c>
      <c r="AD261" s="180">
        <f t="shared" si="205"/>
        <v>0</v>
      </c>
      <c r="AE261" s="180">
        <f t="shared" si="212"/>
        <v>8259300</v>
      </c>
      <c r="AF261" s="178">
        <f t="shared" si="198"/>
        <v>660744</v>
      </c>
      <c r="AG261" s="178">
        <f t="shared" si="199"/>
        <v>123889.5</v>
      </c>
      <c r="AH261" s="178">
        <f t="shared" si="200"/>
        <v>82593</v>
      </c>
      <c r="AI261" s="178"/>
      <c r="AJ261" s="178">
        <f t="shared" si="213"/>
        <v>867226.5</v>
      </c>
      <c r="AK261" s="181"/>
      <c r="AL261" s="182">
        <f t="shared" si="207"/>
        <v>0</v>
      </c>
      <c r="AM261" s="182"/>
      <c r="AN261" s="182"/>
      <c r="AO261" s="193">
        <f t="shared" si="201"/>
        <v>3.99</v>
      </c>
      <c r="AP261" s="246">
        <v>0.25</v>
      </c>
      <c r="AQ261" s="194">
        <f t="shared" si="214"/>
        <v>0.99750000000000005</v>
      </c>
      <c r="AR261" s="178">
        <f t="shared" si="215"/>
        <v>1795500</v>
      </c>
      <c r="AS261" s="178"/>
      <c r="AT261" s="178">
        <f t="shared" si="216"/>
        <v>9187574</v>
      </c>
      <c r="AU261" s="469">
        <f t="shared" si="217"/>
        <v>243</v>
      </c>
      <c r="AV261" s="195"/>
      <c r="AW261" s="198" t="s">
        <v>714</v>
      </c>
    </row>
    <row r="262" spans="1:59" s="191" customFormat="1" ht="30.75" customHeight="1" x14ac:dyDescent="0.25">
      <c r="A262" s="168">
        <f>_xlfn.AGGREGATE(4,7,A$13:A261)+1</f>
        <v>244</v>
      </c>
      <c r="B262" s="168" t="str">
        <f>VLOOKUP(D262,[1]LuongBC_T01!$B$9:$C$292,2,FALSE)</f>
        <v>0016100006743007</v>
      </c>
      <c r="C262" s="199" t="s">
        <v>979</v>
      </c>
      <c r="D262" s="169" t="s">
        <v>299</v>
      </c>
      <c r="E262" s="263" t="s">
        <v>1377</v>
      </c>
      <c r="F262" s="169" t="s">
        <v>549</v>
      </c>
      <c r="G262" s="200"/>
      <c r="H262" s="200" t="s">
        <v>283</v>
      </c>
      <c r="I262" s="200" t="s">
        <v>283</v>
      </c>
      <c r="J262" s="220" t="s">
        <v>529</v>
      </c>
      <c r="K262" s="170" t="str">
        <f>VLOOKUP(D262,[2]T3!$B$2:$D$328,3,FALSE)</f>
        <v>024520146</v>
      </c>
      <c r="L262" s="241" t="s">
        <v>338</v>
      </c>
      <c r="M262" s="241" t="s">
        <v>979</v>
      </c>
      <c r="N262" s="263" t="str">
        <f>VLOOKUP(D262,'[6]Bao cao So GDDT'!$D$14:$S$282,11,FALSE)</f>
        <v>Giảng viên GDNN LT (hạng III)</v>
      </c>
      <c r="O262" s="390" t="s">
        <v>1438</v>
      </c>
      <c r="P262" s="172" t="s">
        <v>692</v>
      </c>
      <c r="Q262" s="173">
        <v>3</v>
      </c>
      <c r="R262" s="174">
        <v>3.66</v>
      </c>
      <c r="S262" s="176">
        <f t="shared" si="206"/>
        <v>0.51239999999999997</v>
      </c>
      <c r="T262" s="377"/>
      <c r="U262" s="176">
        <f t="shared" si="208"/>
        <v>0</v>
      </c>
      <c r="V262" s="175">
        <f>R262*T262*$D$8/100</f>
        <v>0</v>
      </c>
      <c r="W262" s="200"/>
      <c r="X262" s="179">
        <v>0.14000000000000001</v>
      </c>
      <c r="Y262" s="216">
        <f t="shared" si="209"/>
        <v>0.51239999999999997</v>
      </c>
      <c r="Z262" s="216">
        <f t="shared" si="210"/>
        <v>4.1723999999999997</v>
      </c>
      <c r="AA262" s="180">
        <f t="shared" si="211"/>
        <v>7510320</v>
      </c>
      <c r="AB262" s="180"/>
      <c r="AC262" s="180">
        <f t="shared" si="218"/>
        <v>0</v>
      </c>
      <c r="AD262" s="180">
        <f t="shared" si="205"/>
        <v>0</v>
      </c>
      <c r="AE262" s="180">
        <f t="shared" si="212"/>
        <v>7510320</v>
      </c>
      <c r="AF262" s="178">
        <f t="shared" si="198"/>
        <v>600825.59999999998</v>
      </c>
      <c r="AG262" s="178">
        <f t="shared" si="199"/>
        <v>112654.8</v>
      </c>
      <c r="AH262" s="178">
        <f t="shared" si="200"/>
        <v>75103.199999999997</v>
      </c>
      <c r="AI262" s="178"/>
      <c r="AJ262" s="178">
        <f t="shared" si="213"/>
        <v>788583.6</v>
      </c>
      <c r="AK262" s="181"/>
      <c r="AL262" s="182">
        <f t="shared" si="207"/>
        <v>0</v>
      </c>
      <c r="AM262" s="182"/>
      <c r="AN262" s="182"/>
      <c r="AO262" s="193">
        <f t="shared" si="201"/>
        <v>3.66</v>
      </c>
      <c r="AP262" s="246">
        <v>0.25</v>
      </c>
      <c r="AQ262" s="194">
        <f t="shared" si="214"/>
        <v>0.91500000000000004</v>
      </c>
      <c r="AR262" s="178">
        <f t="shared" si="215"/>
        <v>1647000</v>
      </c>
      <c r="AS262" s="178"/>
      <c r="AT262" s="178">
        <f t="shared" si="216"/>
        <v>8368736</v>
      </c>
      <c r="AU262" s="469">
        <f t="shared" si="217"/>
        <v>244</v>
      </c>
      <c r="AV262" s="186"/>
      <c r="AW262" s="198" t="s">
        <v>714</v>
      </c>
    </row>
    <row r="263" spans="1:59" s="189" customFormat="1" ht="30.75" customHeight="1" x14ac:dyDescent="0.25">
      <c r="A263" s="168">
        <f>_xlfn.AGGREGATE(4,7,A$13:A262)+1</f>
        <v>245</v>
      </c>
      <c r="B263" s="168" t="str">
        <f>VLOOKUP(D263,[1]LuongBC_T01!$B$9:$C$292,2,FALSE)</f>
        <v>0016100006742003</v>
      </c>
      <c r="C263" s="199" t="s">
        <v>992</v>
      </c>
      <c r="D263" s="169" t="s">
        <v>1226</v>
      </c>
      <c r="E263" s="263" t="s">
        <v>1377</v>
      </c>
      <c r="F263" s="169" t="s">
        <v>549</v>
      </c>
      <c r="G263" s="200"/>
      <c r="H263" s="200" t="s">
        <v>283</v>
      </c>
      <c r="I263" s="200" t="s">
        <v>283</v>
      </c>
      <c r="J263" s="200" t="s">
        <v>585</v>
      </c>
      <c r="K263" s="170" t="str">
        <f>VLOOKUP(D263,[2]T3!$B$2:$D$328,3,FALSE)</f>
        <v>023727322</v>
      </c>
      <c r="L263" s="201" t="s">
        <v>607</v>
      </c>
      <c r="M263" s="201" t="s">
        <v>992</v>
      </c>
      <c r="N263" s="263" t="str">
        <f>VLOOKUP(D263,'[6]Bao cao So GDDT'!$D$14:$S$282,11,FALSE)</f>
        <v>Giảng viên GDNN LT (hạng III)</v>
      </c>
      <c r="O263" s="390" t="s">
        <v>1438</v>
      </c>
      <c r="P263" s="170" t="s">
        <v>692</v>
      </c>
      <c r="Q263" s="170">
        <v>3</v>
      </c>
      <c r="R263" s="177">
        <v>3.66</v>
      </c>
      <c r="S263" s="176">
        <f t="shared" si="206"/>
        <v>0.4758</v>
      </c>
      <c r="T263" s="220"/>
      <c r="U263" s="176">
        <f t="shared" si="208"/>
        <v>0</v>
      </c>
      <c r="V263" s="175">
        <f>R263*T263*$D$8/100</f>
        <v>0</v>
      </c>
      <c r="W263" s="170"/>
      <c r="X263" s="179">
        <v>0.13</v>
      </c>
      <c r="Y263" s="216">
        <f t="shared" si="209"/>
        <v>0.4758</v>
      </c>
      <c r="Z263" s="216">
        <f t="shared" si="210"/>
        <v>4.1357999999999997</v>
      </c>
      <c r="AA263" s="180">
        <f t="shared" si="211"/>
        <v>7444440</v>
      </c>
      <c r="AB263" s="180"/>
      <c r="AC263" s="180">
        <f t="shared" si="218"/>
        <v>0</v>
      </c>
      <c r="AD263" s="180">
        <f t="shared" si="205"/>
        <v>0</v>
      </c>
      <c r="AE263" s="180">
        <f t="shared" si="212"/>
        <v>7444440</v>
      </c>
      <c r="AF263" s="178">
        <f t="shared" si="198"/>
        <v>595555.20000000007</v>
      </c>
      <c r="AG263" s="178">
        <f t="shared" si="199"/>
        <v>111666.59999999999</v>
      </c>
      <c r="AH263" s="178">
        <f t="shared" si="200"/>
        <v>74444.400000000009</v>
      </c>
      <c r="AI263" s="178"/>
      <c r="AJ263" s="178">
        <f t="shared" si="213"/>
        <v>781666.20000000007</v>
      </c>
      <c r="AK263" s="192"/>
      <c r="AL263" s="182">
        <f t="shared" si="207"/>
        <v>0</v>
      </c>
      <c r="AM263" s="182"/>
      <c r="AN263" s="182"/>
      <c r="AO263" s="193">
        <f t="shared" si="201"/>
        <v>3.66</v>
      </c>
      <c r="AP263" s="246">
        <v>0.25</v>
      </c>
      <c r="AQ263" s="194">
        <f t="shared" si="214"/>
        <v>0.91500000000000004</v>
      </c>
      <c r="AR263" s="178">
        <f t="shared" si="215"/>
        <v>1647000</v>
      </c>
      <c r="AS263" s="178"/>
      <c r="AT263" s="178">
        <f t="shared" si="216"/>
        <v>8309774</v>
      </c>
      <c r="AU263" s="469">
        <f t="shared" si="217"/>
        <v>245</v>
      </c>
      <c r="AV263" s="186"/>
      <c r="AW263" s="198" t="s">
        <v>714</v>
      </c>
    </row>
    <row r="264" spans="1:59" s="189" customFormat="1" ht="30.75" customHeight="1" x14ac:dyDescent="0.25">
      <c r="A264" s="168">
        <f>_xlfn.AGGREGATE(4,7,A$13:A263)+1</f>
        <v>246</v>
      </c>
      <c r="B264" s="168" t="str">
        <f>VLOOKUP(D264,[1]LuongBC_T01!$B$9:$C$292,2,FALSE)</f>
        <v>0016100006744006</v>
      </c>
      <c r="C264" s="199" t="s">
        <v>923</v>
      </c>
      <c r="D264" s="169" t="s">
        <v>1206</v>
      </c>
      <c r="E264" s="263" t="s">
        <v>1377</v>
      </c>
      <c r="F264" s="169" t="s">
        <v>549</v>
      </c>
      <c r="G264" s="200"/>
      <c r="H264" s="200" t="s">
        <v>283</v>
      </c>
      <c r="I264" s="200" t="s">
        <v>283</v>
      </c>
      <c r="J264" s="200" t="s">
        <v>584</v>
      </c>
      <c r="K264" s="170" t="str">
        <f>VLOOKUP(D264,[2]T3!$B$2:$D$328,3,FALSE)</f>
        <v>024761501</v>
      </c>
      <c r="L264" s="201" t="s">
        <v>606</v>
      </c>
      <c r="M264" s="201" t="s">
        <v>923</v>
      </c>
      <c r="N264" s="263" t="str">
        <f>VLOOKUP(D264,'[6]Bao cao So GDDT'!$D$14:$S$282,11,FALSE)</f>
        <v>Giảng viên GDNN LT (hạng III)</v>
      </c>
      <c r="O264" s="390" t="s">
        <v>1438</v>
      </c>
      <c r="P264" s="170" t="s">
        <v>692</v>
      </c>
      <c r="Q264" s="170">
        <v>3</v>
      </c>
      <c r="R264" s="177">
        <v>3.99</v>
      </c>
      <c r="S264" s="176">
        <f t="shared" si="206"/>
        <v>0.51870000000000005</v>
      </c>
      <c r="T264" s="220"/>
      <c r="U264" s="176">
        <f t="shared" si="208"/>
        <v>0</v>
      </c>
      <c r="V264" s="175">
        <f>R264*T264*$D$8/100</f>
        <v>0</v>
      </c>
      <c r="W264" s="170"/>
      <c r="X264" s="179">
        <v>0.13</v>
      </c>
      <c r="Y264" s="216">
        <f t="shared" si="209"/>
        <v>0.51870000000000005</v>
      </c>
      <c r="Z264" s="216">
        <f t="shared" si="210"/>
        <v>4.5087000000000002</v>
      </c>
      <c r="AA264" s="180">
        <f t="shared" si="211"/>
        <v>8115660</v>
      </c>
      <c r="AB264" s="180"/>
      <c r="AC264" s="180">
        <f t="shared" si="218"/>
        <v>0</v>
      </c>
      <c r="AD264" s="180">
        <f t="shared" si="205"/>
        <v>0</v>
      </c>
      <c r="AE264" s="180">
        <f t="shared" si="212"/>
        <v>8115660</v>
      </c>
      <c r="AF264" s="178">
        <f t="shared" si="198"/>
        <v>649252.80000000005</v>
      </c>
      <c r="AG264" s="178">
        <f t="shared" si="199"/>
        <v>121734.9</v>
      </c>
      <c r="AH264" s="178">
        <f t="shared" si="200"/>
        <v>81156.600000000006</v>
      </c>
      <c r="AI264" s="178"/>
      <c r="AJ264" s="178">
        <f t="shared" si="213"/>
        <v>852144.3</v>
      </c>
      <c r="AK264" s="192"/>
      <c r="AL264" s="182">
        <f t="shared" si="207"/>
        <v>0</v>
      </c>
      <c r="AM264" s="182"/>
      <c r="AN264" s="182"/>
      <c r="AO264" s="193">
        <f t="shared" si="201"/>
        <v>3.99</v>
      </c>
      <c r="AP264" s="246">
        <v>0.25</v>
      </c>
      <c r="AQ264" s="194">
        <f t="shared" si="214"/>
        <v>0.99750000000000005</v>
      </c>
      <c r="AR264" s="178">
        <f t="shared" si="215"/>
        <v>1795500</v>
      </c>
      <c r="AS264" s="178"/>
      <c r="AT264" s="178">
        <f t="shared" si="216"/>
        <v>9059016</v>
      </c>
      <c r="AU264" s="469">
        <f t="shared" si="217"/>
        <v>246</v>
      </c>
      <c r="AV264" s="186"/>
      <c r="AW264" s="198" t="s">
        <v>714</v>
      </c>
    </row>
    <row r="265" spans="1:59" s="189" customFormat="1" ht="30.75" customHeight="1" x14ac:dyDescent="0.25">
      <c r="A265" s="168">
        <f>_xlfn.AGGREGATE(4,7,A$13:A264)+1</f>
        <v>247</v>
      </c>
      <c r="B265" s="168" t="str">
        <f>VLOOKUP(D265,[1]LuongBC_T01!$B$9:$C$292,2,FALSE)</f>
        <v>0016100007776009</v>
      </c>
      <c r="C265" s="170" t="s">
        <v>1331</v>
      </c>
      <c r="D265" s="169" t="s">
        <v>1293</v>
      </c>
      <c r="E265" s="263" t="s">
        <v>1407</v>
      </c>
      <c r="F265" s="220"/>
      <c r="G265" s="220"/>
      <c r="H265" s="220"/>
      <c r="I265" s="220"/>
      <c r="J265" s="220"/>
      <c r="K265" s="170" t="str">
        <f>VLOOKUP(D265,[2]T3!$B$2:$D$328,3,FALSE)</f>
        <v>271927461</v>
      </c>
      <c r="L265" s="220"/>
      <c r="M265" s="170"/>
      <c r="N265" s="263" t="str">
        <f>VLOOKUP(D265,'[6]Bao cao So GDDT'!$D$14:$S$282,11,FALSE)</f>
        <v>Giảng viên GDNN LT (hạng III)</v>
      </c>
      <c r="O265" s="390" t="s">
        <v>1438</v>
      </c>
      <c r="P265" s="251"/>
      <c r="Q265" s="251"/>
      <c r="R265" s="170">
        <v>2.67</v>
      </c>
      <c r="S265" s="176"/>
      <c r="T265" s="220"/>
      <c r="U265" s="176">
        <f t="shared" si="208"/>
        <v>0</v>
      </c>
      <c r="V265" s="175"/>
      <c r="W265" s="170"/>
      <c r="X265" s="179">
        <f>VLOOKUP(D265,PCTN!D276:W543,20,FALSE)</f>
        <v>0</v>
      </c>
      <c r="Y265" s="216">
        <f t="shared" si="209"/>
        <v>0</v>
      </c>
      <c r="Z265" s="216">
        <f t="shared" si="210"/>
        <v>2.67</v>
      </c>
      <c r="AA265" s="180">
        <f t="shared" si="211"/>
        <v>4806000</v>
      </c>
      <c r="AB265" s="180"/>
      <c r="AC265" s="180">
        <f t="shared" si="218"/>
        <v>0</v>
      </c>
      <c r="AD265" s="180">
        <f t="shared" si="205"/>
        <v>0</v>
      </c>
      <c r="AE265" s="180">
        <f t="shared" si="212"/>
        <v>4806000</v>
      </c>
      <c r="AF265" s="178">
        <f t="shared" si="198"/>
        <v>384480</v>
      </c>
      <c r="AG265" s="178">
        <f t="shared" si="199"/>
        <v>72090</v>
      </c>
      <c r="AH265" s="178">
        <f t="shared" si="200"/>
        <v>48060</v>
      </c>
      <c r="AI265" s="178"/>
      <c r="AJ265" s="178">
        <f t="shared" si="213"/>
        <v>504630</v>
      </c>
      <c r="AK265" s="192"/>
      <c r="AL265" s="182">
        <f t="shared" si="207"/>
        <v>0</v>
      </c>
      <c r="AM265" s="182"/>
      <c r="AN265" s="182"/>
      <c r="AO265" s="183">
        <f t="shared" si="201"/>
        <v>2.67</v>
      </c>
      <c r="AP265" s="246">
        <v>0.25</v>
      </c>
      <c r="AQ265" s="185">
        <f t="shared" si="214"/>
        <v>0.66749999999999998</v>
      </c>
      <c r="AR265" s="178">
        <f t="shared" si="215"/>
        <v>1201500</v>
      </c>
      <c r="AS265" s="178"/>
      <c r="AT265" s="178">
        <f t="shared" si="216"/>
        <v>5502870</v>
      </c>
      <c r="AU265" s="469">
        <f t="shared" si="217"/>
        <v>247</v>
      </c>
      <c r="AV265" s="195"/>
      <c r="AW265" s="485"/>
      <c r="AX265" s="29"/>
      <c r="AY265" s="29"/>
      <c r="AZ265" s="29"/>
      <c r="BA265" s="29"/>
      <c r="BB265" s="29"/>
      <c r="BC265" s="29"/>
      <c r="BD265" s="29"/>
      <c r="BE265" s="29"/>
      <c r="BF265" s="29"/>
      <c r="BG265" s="29"/>
    </row>
    <row r="266" spans="1:59" s="189" customFormat="1" ht="30.75" customHeight="1" x14ac:dyDescent="0.25">
      <c r="A266" s="168">
        <f>_xlfn.AGGREGATE(4,7,A$13:A265)+1</f>
        <v>248</v>
      </c>
      <c r="B266" s="168" t="str">
        <f>VLOOKUP(D266,[1]LuongBC_T01!$B$9:$C$292,2,FALSE)</f>
        <v>0016100006695005</v>
      </c>
      <c r="C266" s="199" t="s">
        <v>995</v>
      </c>
      <c r="D266" s="169" t="s">
        <v>572</v>
      </c>
      <c r="E266" s="263" t="s">
        <v>1377</v>
      </c>
      <c r="F266" s="169" t="s">
        <v>549</v>
      </c>
      <c r="G266" s="200"/>
      <c r="H266" s="200" t="s">
        <v>283</v>
      </c>
      <c r="I266" s="200" t="s">
        <v>283</v>
      </c>
      <c r="J266" s="200" t="s">
        <v>590</v>
      </c>
      <c r="K266" s="170" t="str">
        <f>VLOOKUP(D266,[2]T3!$B$2:$D$328,3,FALSE)</f>
        <v>022958396</v>
      </c>
      <c r="L266" s="201" t="s">
        <v>612</v>
      </c>
      <c r="M266" s="201" t="s">
        <v>995</v>
      </c>
      <c r="N266" s="263" t="str">
        <f>VLOOKUP(D266,'[6]Bao cao So GDDT'!$D$14:$S$282,11,FALSE)</f>
        <v>Giảng viên GDNN LT (hạng III)</v>
      </c>
      <c r="O266" s="390" t="s">
        <v>1438</v>
      </c>
      <c r="P266" s="170" t="s">
        <v>692</v>
      </c>
      <c r="Q266" s="170">
        <v>3</v>
      </c>
      <c r="R266" s="177">
        <v>3.66</v>
      </c>
      <c r="S266" s="176">
        <f>U266+W266+Y266</f>
        <v>0.4758</v>
      </c>
      <c r="T266" s="220"/>
      <c r="U266" s="176">
        <f t="shared" si="208"/>
        <v>0</v>
      </c>
      <c r="V266" s="175">
        <f>R266*T266*$D$8/100</f>
        <v>0</v>
      </c>
      <c r="W266" s="170"/>
      <c r="X266" s="179">
        <v>0.13</v>
      </c>
      <c r="Y266" s="216">
        <f t="shared" si="209"/>
        <v>0.4758</v>
      </c>
      <c r="Z266" s="216">
        <f t="shared" si="210"/>
        <v>4.1357999999999997</v>
      </c>
      <c r="AA266" s="180">
        <f t="shared" si="211"/>
        <v>7444440</v>
      </c>
      <c r="AB266" s="180"/>
      <c r="AC266" s="180">
        <f t="shared" si="218"/>
        <v>0</v>
      </c>
      <c r="AD266" s="180">
        <f t="shared" si="205"/>
        <v>0</v>
      </c>
      <c r="AE266" s="180">
        <f t="shared" si="212"/>
        <v>7444440</v>
      </c>
      <c r="AF266" s="178">
        <f t="shared" si="198"/>
        <v>595555.20000000007</v>
      </c>
      <c r="AG266" s="178">
        <f t="shared" si="199"/>
        <v>111666.59999999999</v>
      </c>
      <c r="AH266" s="178">
        <f t="shared" si="200"/>
        <v>74444.400000000009</v>
      </c>
      <c r="AI266" s="178"/>
      <c r="AJ266" s="178">
        <f t="shared" si="213"/>
        <v>781666.20000000007</v>
      </c>
      <c r="AK266" s="192"/>
      <c r="AL266" s="182">
        <f t="shared" si="207"/>
        <v>0</v>
      </c>
      <c r="AM266" s="182"/>
      <c r="AN266" s="182"/>
      <c r="AO266" s="193">
        <f t="shared" si="201"/>
        <v>3.66</v>
      </c>
      <c r="AP266" s="246">
        <v>0.25</v>
      </c>
      <c r="AQ266" s="194">
        <f t="shared" si="214"/>
        <v>0.91500000000000004</v>
      </c>
      <c r="AR266" s="178">
        <f t="shared" si="215"/>
        <v>1647000</v>
      </c>
      <c r="AS266" s="178"/>
      <c r="AT266" s="178">
        <f t="shared" si="216"/>
        <v>8309774</v>
      </c>
      <c r="AU266" s="469">
        <f t="shared" si="217"/>
        <v>248</v>
      </c>
      <c r="AV266" s="186"/>
      <c r="AW266" s="256" t="s">
        <v>714</v>
      </c>
    </row>
    <row r="267" spans="1:59" s="189" customFormat="1" ht="30.75" customHeight="1" x14ac:dyDescent="0.25">
      <c r="A267" s="168">
        <f>_xlfn.AGGREGATE(4,7,A$13:A266)+1</f>
        <v>249</v>
      </c>
      <c r="B267" s="168" t="str">
        <f>VLOOKUP(D267,[1]LuongBC_T01!$B$9:$C$292,2,FALSE)</f>
        <v>'0016100006821008</v>
      </c>
      <c r="C267" s="199" t="s">
        <v>1005</v>
      </c>
      <c r="D267" s="169" t="s">
        <v>670</v>
      </c>
      <c r="E267" s="263" t="s">
        <v>1375</v>
      </c>
      <c r="F267" s="169" t="s">
        <v>549</v>
      </c>
      <c r="G267" s="200"/>
      <c r="H267" s="200" t="s">
        <v>283</v>
      </c>
      <c r="I267" s="200" t="s">
        <v>283</v>
      </c>
      <c r="J267" s="200"/>
      <c r="K267" s="170" t="str">
        <f>VLOOKUP(D267,[2]T3!$B$2:$D$328,3,FALSE)</f>
        <v>023493630</v>
      </c>
      <c r="L267" s="201" t="s">
        <v>675</v>
      </c>
      <c r="M267" s="201" t="s">
        <v>1005</v>
      </c>
      <c r="N267" s="263" t="str">
        <f>VLOOKUP(D267,'[6]Bao cao So GDDT'!$D$14:$S$282,11,FALSE)</f>
        <v>Giảng viên GDNN LT (hạng III)</v>
      </c>
      <c r="O267" s="390" t="s">
        <v>1438</v>
      </c>
      <c r="P267" s="222" t="s">
        <v>692</v>
      </c>
      <c r="Q267" s="172">
        <v>3</v>
      </c>
      <c r="R267" s="430">
        <v>3.66</v>
      </c>
      <c r="S267" s="176">
        <f>U267+W267+Y267</f>
        <v>0.4758</v>
      </c>
      <c r="T267" s="220"/>
      <c r="U267" s="176">
        <f t="shared" si="208"/>
        <v>0</v>
      </c>
      <c r="V267" s="175">
        <f>R267*T267*$D$8/100</f>
        <v>0</v>
      </c>
      <c r="W267" s="170"/>
      <c r="X267" s="179">
        <v>0.13</v>
      </c>
      <c r="Y267" s="216">
        <f t="shared" si="209"/>
        <v>0.4758</v>
      </c>
      <c r="Z267" s="216">
        <f t="shared" si="210"/>
        <v>4.1357999999999997</v>
      </c>
      <c r="AA267" s="180">
        <f t="shared" si="211"/>
        <v>7444440</v>
      </c>
      <c r="AB267" s="180"/>
      <c r="AC267" s="180">
        <f t="shared" si="218"/>
        <v>0</v>
      </c>
      <c r="AD267" s="180">
        <v>0</v>
      </c>
      <c r="AE267" s="180">
        <f t="shared" si="212"/>
        <v>7444440</v>
      </c>
      <c r="AF267" s="178">
        <f t="shared" si="198"/>
        <v>595555.20000000007</v>
      </c>
      <c r="AG267" s="178">
        <f t="shared" si="199"/>
        <v>111666.59999999999</v>
      </c>
      <c r="AH267" s="178">
        <f t="shared" si="200"/>
        <v>74444.400000000009</v>
      </c>
      <c r="AI267" s="178"/>
      <c r="AJ267" s="178">
        <f t="shared" si="213"/>
        <v>781666.20000000007</v>
      </c>
      <c r="AK267" s="192"/>
      <c r="AL267" s="182">
        <f t="shared" si="207"/>
        <v>0</v>
      </c>
      <c r="AM267" s="182"/>
      <c r="AN267" s="182"/>
      <c r="AO267" s="193">
        <f t="shared" si="201"/>
        <v>3.66</v>
      </c>
      <c r="AP267" s="246">
        <v>0.25</v>
      </c>
      <c r="AQ267" s="194">
        <f t="shared" si="214"/>
        <v>0.91500000000000004</v>
      </c>
      <c r="AR267" s="178">
        <f t="shared" si="215"/>
        <v>1647000</v>
      </c>
      <c r="AS267" s="178"/>
      <c r="AT267" s="178">
        <f t="shared" si="216"/>
        <v>8309774</v>
      </c>
      <c r="AU267" s="469">
        <f t="shared" si="217"/>
        <v>249</v>
      </c>
      <c r="AV267" s="195"/>
      <c r="AW267" s="198" t="s">
        <v>714</v>
      </c>
    </row>
    <row r="268" spans="1:59" s="189" customFormat="1" ht="30.75" customHeight="1" x14ac:dyDescent="0.25">
      <c r="A268" s="168">
        <f>_xlfn.AGGREGATE(4,7,A$13:A267)+1</f>
        <v>250</v>
      </c>
      <c r="B268" s="168" t="str">
        <f>VLOOKUP(D268,[1]LuongBC_T01!$B$9:$C$292,2,FALSE)</f>
        <v>0016100006741007</v>
      </c>
      <c r="C268" s="199" t="s">
        <v>1008</v>
      </c>
      <c r="D268" s="169" t="s">
        <v>679</v>
      </c>
      <c r="E268" s="263" t="s">
        <v>1375</v>
      </c>
      <c r="F268" s="169" t="s">
        <v>549</v>
      </c>
      <c r="G268" s="200"/>
      <c r="H268" s="200" t="s">
        <v>283</v>
      </c>
      <c r="I268" s="200"/>
      <c r="J268" s="200"/>
      <c r="K268" s="170" t="str">
        <f>VLOOKUP(D268,[2]T3!$B$2:$D$328,3,FALSE)</f>
        <v>023841765</v>
      </c>
      <c r="L268" s="201" t="s">
        <v>680</v>
      </c>
      <c r="M268" s="201" t="s">
        <v>1008</v>
      </c>
      <c r="N268" s="263" t="str">
        <f>VLOOKUP(D268,'[6]Bao cao So GDDT'!$D$14:$S$282,11,FALSE)</f>
        <v>Giảng viên GDNN LT (hạng III)</v>
      </c>
      <c r="O268" s="390" t="s">
        <v>1438</v>
      </c>
      <c r="P268" s="222" t="s">
        <v>692</v>
      </c>
      <c r="Q268" s="172">
        <v>2</v>
      </c>
      <c r="R268" s="430">
        <v>3.66</v>
      </c>
      <c r="S268" s="176">
        <f>U268+W268+Y268</f>
        <v>0.43919999999999998</v>
      </c>
      <c r="T268" s="220"/>
      <c r="U268" s="176">
        <f t="shared" si="208"/>
        <v>0</v>
      </c>
      <c r="V268" s="175">
        <f>R268*T268*$D$8/100</f>
        <v>0</v>
      </c>
      <c r="W268" s="170"/>
      <c r="X268" s="179">
        <v>0.12</v>
      </c>
      <c r="Y268" s="216">
        <f t="shared" si="209"/>
        <v>0.43919999999999998</v>
      </c>
      <c r="Z268" s="216">
        <f t="shared" si="210"/>
        <v>4.0991999999999997</v>
      </c>
      <c r="AA268" s="180">
        <f t="shared" si="211"/>
        <v>7378560</v>
      </c>
      <c r="AB268" s="180"/>
      <c r="AC268" s="180">
        <f t="shared" si="218"/>
        <v>0</v>
      </c>
      <c r="AD268" s="180">
        <f t="shared" ref="AD268:AD282" si="219">AA268/24*AB268*75%</f>
        <v>0</v>
      </c>
      <c r="AE268" s="180">
        <f t="shared" si="212"/>
        <v>7378560</v>
      </c>
      <c r="AF268" s="178">
        <f t="shared" si="198"/>
        <v>590284.80000000005</v>
      </c>
      <c r="AG268" s="178">
        <f t="shared" si="199"/>
        <v>110678.39999999999</v>
      </c>
      <c r="AH268" s="178">
        <f t="shared" si="200"/>
        <v>73785.600000000006</v>
      </c>
      <c r="AI268" s="178"/>
      <c r="AJ268" s="178">
        <f t="shared" si="213"/>
        <v>774748.8</v>
      </c>
      <c r="AK268" s="192"/>
      <c r="AL268" s="182">
        <f t="shared" si="207"/>
        <v>0</v>
      </c>
      <c r="AM268" s="182"/>
      <c r="AN268" s="182"/>
      <c r="AO268" s="193">
        <f t="shared" si="201"/>
        <v>3.66</v>
      </c>
      <c r="AP268" s="246">
        <v>0.25</v>
      </c>
      <c r="AQ268" s="194">
        <f t="shared" si="214"/>
        <v>0.91500000000000004</v>
      </c>
      <c r="AR268" s="178">
        <f t="shared" si="215"/>
        <v>1647000</v>
      </c>
      <c r="AS268" s="178"/>
      <c r="AT268" s="178">
        <f t="shared" si="216"/>
        <v>8250811</v>
      </c>
      <c r="AU268" s="469">
        <f t="shared" si="217"/>
        <v>250</v>
      </c>
      <c r="AV268" s="195"/>
      <c r="AW268" s="198" t="s">
        <v>714</v>
      </c>
    </row>
    <row r="269" spans="1:59" s="189" customFormat="1" ht="30.75" customHeight="1" x14ac:dyDescent="0.25">
      <c r="A269" s="726">
        <f>_xlfn.AGGREGATE(4,7,A$13:A268)+1</f>
        <v>251</v>
      </c>
      <c r="B269" s="726" t="str">
        <f>VLOOKUP(D269,[1]LuongBC_T01!$B$9:$C$292,2,FALSE)</f>
        <v>0016100006577002</v>
      </c>
      <c r="C269" s="750" t="s">
        <v>1009</v>
      </c>
      <c r="D269" s="977" t="s">
        <v>1232</v>
      </c>
      <c r="E269" s="729" t="s">
        <v>1377</v>
      </c>
      <c r="F269" s="978"/>
      <c r="G269" s="978"/>
      <c r="H269" s="978"/>
      <c r="I269" s="978"/>
      <c r="J269" s="978"/>
      <c r="K269" s="730" t="str">
        <f>VLOOKUP(D269,[2]T3!$B$2:$D$328,3,FALSE)</f>
        <v>024292308</v>
      </c>
      <c r="L269" s="979" t="s">
        <v>743</v>
      </c>
      <c r="M269" s="979" t="s">
        <v>1009</v>
      </c>
      <c r="N269" s="729" t="str">
        <f>VLOOKUP(D269,'[6]Bao cao So GDDT'!$D$14:$S$282,11,FALSE)</f>
        <v>Giảng viên GDNN LT (hạng III)</v>
      </c>
      <c r="O269" s="732" t="s">
        <v>1438</v>
      </c>
      <c r="P269" s="730" t="s">
        <v>692</v>
      </c>
      <c r="Q269" s="730">
        <v>2</v>
      </c>
      <c r="R269" s="933">
        <v>3.66</v>
      </c>
      <c r="S269" s="736">
        <f>U269+W269+Y269</f>
        <v>0.36599999999999999</v>
      </c>
      <c r="T269" s="728"/>
      <c r="U269" s="736">
        <f t="shared" si="208"/>
        <v>0</v>
      </c>
      <c r="V269" s="738">
        <f>R269*T269*$D$8/100</f>
        <v>0</v>
      </c>
      <c r="W269" s="730"/>
      <c r="X269" s="739">
        <v>0.1</v>
      </c>
      <c r="Y269" s="740">
        <f t="shared" si="209"/>
        <v>0.36599999999999999</v>
      </c>
      <c r="Z269" s="740">
        <f t="shared" si="210"/>
        <v>4.0259999999999998</v>
      </c>
      <c r="AA269" s="741">
        <f t="shared" si="211"/>
        <v>7246800</v>
      </c>
      <c r="AB269" s="741"/>
      <c r="AC269" s="741">
        <f t="shared" si="218"/>
        <v>0</v>
      </c>
      <c r="AD269" s="741">
        <f t="shared" si="219"/>
        <v>0</v>
      </c>
      <c r="AE269" s="741">
        <f t="shared" si="212"/>
        <v>7246800</v>
      </c>
      <c r="AF269" s="742">
        <f t="shared" si="198"/>
        <v>579744</v>
      </c>
      <c r="AG269" s="742">
        <f t="shared" si="199"/>
        <v>108702</v>
      </c>
      <c r="AH269" s="742">
        <f t="shared" si="200"/>
        <v>72468</v>
      </c>
      <c r="AI269" s="742"/>
      <c r="AJ269" s="742">
        <f t="shared" si="213"/>
        <v>760914</v>
      </c>
      <c r="AK269" s="743"/>
      <c r="AL269" s="744">
        <f t="shared" si="207"/>
        <v>0</v>
      </c>
      <c r="AM269" s="744"/>
      <c r="AN269" s="744"/>
      <c r="AO269" s="745">
        <f t="shared" si="201"/>
        <v>3.66</v>
      </c>
      <c r="AP269" s="757">
        <v>0.25</v>
      </c>
      <c r="AQ269" s="758">
        <f t="shared" si="214"/>
        <v>0.91500000000000004</v>
      </c>
      <c r="AR269" s="742">
        <f t="shared" si="215"/>
        <v>1647000</v>
      </c>
      <c r="AS269" s="742"/>
      <c r="AT269" s="742">
        <f t="shared" si="216"/>
        <v>8132886</v>
      </c>
      <c r="AU269" s="748">
        <f t="shared" si="217"/>
        <v>251</v>
      </c>
      <c r="AV269" s="759"/>
      <c r="AW269" s="198" t="s">
        <v>714</v>
      </c>
    </row>
    <row r="270" spans="1:59" s="189" customFormat="1" ht="30.75" customHeight="1" x14ac:dyDescent="0.25">
      <c r="A270" s="168">
        <f>_xlfn.AGGREGATE(4,7,A$13:A269)+1</f>
        <v>252</v>
      </c>
      <c r="B270" s="168" t="str">
        <f>VLOOKUP(D270,[1]LuongBC_T01!$B$9:$C$292,2,FALSE)</f>
        <v>0016100006697008</v>
      </c>
      <c r="C270" s="199" t="s">
        <v>1014</v>
      </c>
      <c r="D270" s="230" t="s">
        <v>563</v>
      </c>
      <c r="E270" s="263" t="s">
        <v>1375</v>
      </c>
      <c r="F270" s="231"/>
      <c r="G270" s="231"/>
      <c r="H270" s="231"/>
      <c r="I270" s="231"/>
      <c r="J270" s="231"/>
      <c r="K270" s="170" t="str">
        <f>VLOOKUP(D270,[2]T3!$B$2:$D$328,3,FALSE)</f>
        <v>079082002097</v>
      </c>
      <c r="L270" s="543" t="s">
        <v>745</v>
      </c>
      <c r="M270" s="543" t="s">
        <v>1014</v>
      </c>
      <c r="N270" s="263" t="str">
        <f>VLOOKUP(D270,'[6]Bao cao So GDDT'!$D$14:$S$282,11,FALSE)</f>
        <v>Giảng viên GDNN LT (hạng III)</v>
      </c>
      <c r="O270" s="390" t="s">
        <v>1438</v>
      </c>
      <c r="P270" s="170" t="s">
        <v>692</v>
      </c>
      <c r="Q270" s="170">
        <v>2</v>
      </c>
      <c r="R270" s="177">
        <v>3.66</v>
      </c>
      <c r="S270" s="176">
        <f>U270+W270+Y270</f>
        <v>0.36599999999999999</v>
      </c>
      <c r="T270" s="169"/>
      <c r="U270" s="176">
        <f t="shared" si="208"/>
        <v>0</v>
      </c>
      <c r="V270" s="175">
        <f>R270*T270*$D$8/100</f>
        <v>0</v>
      </c>
      <c r="W270" s="170"/>
      <c r="X270" s="179">
        <v>0.1</v>
      </c>
      <c r="Y270" s="216">
        <f t="shared" si="209"/>
        <v>0.36599999999999999</v>
      </c>
      <c r="Z270" s="216">
        <f t="shared" si="210"/>
        <v>4.0259999999999998</v>
      </c>
      <c r="AA270" s="180">
        <f t="shared" si="211"/>
        <v>7246800</v>
      </c>
      <c r="AB270" s="180"/>
      <c r="AC270" s="180">
        <f t="shared" si="218"/>
        <v>0</v>
      </c>
      <c r="AD270" s="180">
        <f t="shared" si="219"/>
        <v>0</v>
      </c>
      <c r="AE270" s="180">
        <f t="shared" si="212"/>
        <v>7246800</v>
      </c>
      <c r="AF270" s="178">
        <f t="shared" si="198"/>
        <v>579744</v>
      </c>
      <c r="AG270" s="178">
        <f t="shared" si="199"/>
        <v>108702</v>
      </c>
      <c r="AH270" s="178">
        <f t="shared" si="200"/>
        <v>72468</v>
      </c>
      <c r="AI270" s="178"/>
      <c r="AJ270" s="178">
        <f t="shared" si="213"/>
        <v>760914</v>
      </c>
      <c r="AK270" s="192"/>
      <c r="AL270" s="182">
        <f t="shared" si="207"/>
        <v>0</v>
      </c>
      <c r="AM270" s="182"/>
      <c r="AN270" s="182"/>
      <c r="AO270" s="183">
        <f t="shared" si="201"/>
        <v>3.66</v>
      </c>
      <c r="AP270" s="246">
        <v>0.25</v>
      </c>
      <c r="AQ270" s="194">
        <f t="shared" si="214"/>
        <v>0.91500000000000004</v>
      </c>
      <c r="AR270" s="178">
        <f t="shared" si="215"/>
        <v>1647000</v>
      </c>
      <c r="AS270" s="178"/>
      <c r="AT270" s="178">
        <f t="shared" si="216"/>
        <v>8132886</v>
      </c>
      <c r="AU270" s="469">
        <f t="shared" si="217"/>
        <v>252</v>
      </c>
      <c r="AV270" s="186"/>
      <c r="AW270" s="198" t="s">
        <v>714</v>
      </c>
    </row>
    <row r="271" spans="1:59" s="189" customFormat="1" ht="37.5" customHeight="1" x14ac:dyDescent="0.25">
      <c r="A271" s="168">
        <f>_xlfn.AGGREGATE(4,7,A$13:A270)+1</f>
        <v>253</v>
      </c>
      <c r="B271" s="168" t="str">
        <f>VLOOKUP(D271,[1]LuongBC_T01!$B$9:$C$292,2,FALSE)</f>
        <v>0016100018936008</v>
      </c>
      <c r="C271" s="565" t="s">
        <v>1415</v>
      </c>
      <c r="D271" s="544" t="s">
        <v>1406</v>
      </c>
      <c r="E271" s="263" t="s">
        <v>1377</v>
      </c>
      <c r="F271" s="564"/>
      <c r="G271" s="564"/>
      <c r="H271" s="564"/>
      <c r="I271" s="564"/>
      <c r="J271" s="564"/>
      <c r="K271" s="565"/>
      <c r="L271" s="564"/>
      <c r="M271" s="545"/>
      <c r="N271" s="263" t="str">
        <f>VLOOKUP(D271,'[6]Bao cao So GDDT'!$D$14:$S$282,11,FALSE)</f>
        <v>Giảng viên GDNN LT (hạng III)</v>
      </c>
      <c r="O271" s="263" t="s">
        <v>1438</v>
      </c>
      <c r="P271" s="566"/>
      <c r="Q271" s="566"/>
      <c r="R271" s="551">
        <v>3.66</v>
      </c>
      <c r="S271" s="546"/>
      <c r="T271" s="564"/>
      <c r="U271" s="546">
        <f t="shared" si="208"/>
        <v>0</v>
      </c>
      <c r="V271" s="547"/>
      <c r="W271" s="545"/>
      <c r="X271" s="179">
        <v>0.13</v>
      </c>
      <c r="Y271" s="548">
        <f t="shared" si="209"/>
        <v>0.4758</v>
      </c>
      <c r="Z271" s="548">
        <f t="shared" si="210"/>
        <v>4.1357999999999997</v>
      </c>
      <c r="AA271" s="549">
        <f t="shared" si="211"/>
        <v>7444440</v>
      </c>
      <c r="AB271" s="549"/>
      <c r="AC271" s="549">
        <f t="shared" si="218"/>
        <v>0</v>
      </c>
      <c r="AD271" s="549">
        <f t="shared" si="219"/>
        <v>0</v>
      </c>
      <c r="AE271" s="549">
        <f t="shared" si="212"/>
        <v>7444440</v>
      </c>
      <c r="AF271" s="550">
        <f t="shared" si="198"/>
        <v>595555.20000000007</v>
      </c>
      <c r="AG271" s="550">
        <f t="shared" si="199"/>
        <v>111666.59999999999</v>
      </c>
      <c r="AH271" s="550">
        <f t="shared" si="200"/>
        <v>74444.400000000009</v>
      </c>
      <c r="AI271" s="550"/>
      <c r="AJ271" s="550">
        <f t="shared" si="213"/>
        <v>781666.20000000007</v>
      </c>
      <c r="AK271" s="567"/>
      <c r="AL271" s="182">
        <f t="shared" si="207"/>
        <v>0</v>
      </c>
      <c r="AM271" s="568"/>
      <c r="AN271" s="568"/>
      <c r="AO271" s="569">
        <f t="shared" si="201"/>
        <v>3.66</v>
      </c>
      <c r="AP271" s="640">
        <v>0.25</v>
      </c>
      <c r="AQ271" s="185">
        <f t="shared" si="214"/>
        <v>0.91500000000000004</v>
      </c>
      <c r="AR271" s="178">
        <f t="shared" si="215"/>
        <v>1647000</v>
      </c>
      <c r="AS271" s="550"/>
      <c r="AT271" s="178">
        <f t="shared" si="216"/>
        <v>8309774</v>
      </c>
      <c r="AU271" s="562">
        <f>A271</f>
        <v>253</v>
      </c>
      <c r="AV271" s="195"/>
      <c r="AW271" s="485"/>
    </row>
    <row r="272" spans="1:59" s="189" customFormat="1" ht="37.5" customHeight="1" x14ac:dyDescent="0.25">
      <c r="A272" s="168">
        <f>_xlfn.AGGREGATE(4,7,A$13:A271)+1</f>
        <v>254</v>
      </c>
      <c r="B272" s="168"/>
      <c r="C272" s="168"/>
      <c r="D272" s="169" t="s">
        <v>1594</v>
      </c>
      <c r="E272" s="263" t="s">
        <v>1377</v>
      </c>
      <c r="F272" s="220"/>
      <c r="G272" s="220"/>
      <c r="H272" s="220"/>
      <c r="I272" s="220"/>
      <c r="J272" s="220"/>
      <c r="K272" s="168"/>
      <c r="L272" s="490"/>
      <c r="M272" s="170"/>
      <c r="N272" s="263"/>
      <c r="O272" s="263" t="s">
        <v>1438</v>
      </c>
      <c r="P272" s="170"/>
      <c r="Q272" s="170"/>
      <c r="R272" s="177">
        <v>3.33</v>
      </c>
      <c r="S272" s="176"/>
      <c r="T272" s="220"/>
      <c r="U272" s="546">
        <f t="shared" si="208"/>
        <v>0</v>
      </c>
      <c r="V272" s="175"/>
      <c r="W272" s="170"/>
      <c r="X272" s="179">
        <v>0.1</v>
      </c>
      <c r="Y272" s="216">
        <f>ROUND((R272+U272+W272)*X272,4)</f>
        <v>0.33300000000000002</v>
      </c>
      <c r="Z272" s="216">
        <f>R272+U272+W272+Y272</f>
        <v>3.6630000000000003</v>
      </c>
      <c r="AA272" s="180">
        <f>ROUND(Z272*$D$8,0)</f>
        <v>6593400</v>
      </c>
      <c r="AB272" s="180"/>
      <c r="AC272" s="180">
        <f>AA272/24*AB272</f>
        <v>0</v>
      </c>
      <c r="AD272" s="180">
        <v>0</v>
      </c>
      <c r="AE272" s="180">
        <f>ROUND(AA272-AC272+AD272,0)</f>
        <v>6593400</v>
      </c>
      <c r="AF272" s="178">
        <f>AA272*8%</f>
        <v>527472</v>
      </c>
      <c r="AG272" s="178">
        <f>AA272*1.5%</f>
        <v>98901</v>
      </c>
      <c r="AH272" s="178">
        <f>AA272*1%</f>
        <v>65934</v>
      </c>
      <c r="AI272" s="178"/>
      <c r="AJ272" s="178">
        <f>SUM(AF272:AI272)</f>
        <v>692307</v>
      </c>
      <c r="AK272" s="192"/>
      <c r="AL272" s="182">
        <f t="shared" si="207"/>
        <v>0</v>
      </c>
      <c r="AM272" s="182"/>
      <c r="AN272" s="182"/>
      <c r="AO272" s="183">
        <f>R272+U272+W272</f>
        <v>3.33</v>
      </c>
      <c r="AP272" s="246">
        <v>0.25</v>
      </c>
      <c r="AQ272" s="185">
        <f>ROUND(AO272*AP272,4)</f>
        <v>0.83250000000000002</v>
      </c>
      <c r="AR272" s="178">
        <f>ROUND(AQ272*$D$8,0)</f>
        <v>1498500</v>
      </c>
      <c r="AS272" s="178"/>
      <c r="AT272" s="178">
        <f>ROUND(AE272-AJ272+AL272+AN272+AR272,0)</f>
        <v>7399593</v>
      </c>
      <c r="AU272" s="469">
        <f>A272</f>
        <v>254</v>
      </c>
      <c r="AV272" s="195"/>
      <c r="AW272" s="195" t="s">
        <v>1591</v>
      </c>
    </row>
    <row r="273" spans="1:59" s="189" customFormat="1" ht="30.75" customHeight="1" x14ac:dyDescent="0.25">
      <c r="A273" s="168">
        <f>_xlfn.AGGREGATE(4,7,A$13:A272)+1</f>
        <v>255</v>
      </c>
      <c r="B273" s="168" t="str">
        <f>VLOOKUP(D273,[1]LuongBC_T01!$B$9:$C$292,2,FALSE)</f>
        <v>0016100007699004</v>
      </c>
      <c r="C273" s="170" t="s">
        <v>1327</v>
      </c>
      <c r="D273" s="169" t="s">
        <v>1292</v>
      </c>
      <c r="E273" s="263" t="s">
        <v>1407</v>
      </c>
      <c r="F273" s="220"/>
      <c r="G273" s="220"/>
      <c r="H273" s="220"/>
      <c r="I273" s="220"/>
      <c r="J273" s="220"/>
      <c r="K273" s="170" t="str">
        <f>VLOOKUP(D273,[2]T3!$B$2:$D$328,3,FALSE)</f>
        <v>022093185</v>
      </c>
      <c r="L273" s="220"/>
      <c r="M273" s="170"/>
      <c r="N273" s="263" t="str">
        <f>VLOOKUP(D273,'[6]Bao cao So GDDT'!$D$14:$S$282,11,FALSE)</f>
        <v>Giảng viên GDNN LT (hạng III)</v>
      </c>
      <c r="O273" s="390" t="s">
        <v>1438</v>
      </c>
      <c r="P273" s="251"/>
      <c r="Q273" s="251"/>
      <c r="R273" s="170">
        <v>2.67</v>
      </c>
      <c r="S273" s="176"/>
      <c r="T273" s="220"/>
      <c r="U273" s="176">
        <f t="shared" si="208"/>
        <v>0</v>
      </c>
      <c r="V273" s="175"/>
      <c r="W273" s="170"/>
      <c r="X273" s="179">
        <f>VLOOKUP(D273,PCTN!D275:W542,20,FALSE)</f>
        <v>0</v>
      </c>
      <c r="Y273" s="216">
        <f t="shared" si="209"/>
        <v>0</v>
      </c>
      <c r="Z273" s="216">
        <f t="shared" si="210"/>
        <v>2.67</v>
      </c>
      <c r="AA273" s="180">
        <f t="shared" si="211"/>
        <v>4806000</v>
      </c>
      <c r="AB273" s="180"/>
      <c r="AC273" s="180">
        <f t="shared" si="218"/>
        <v>0</v>
      </c>
      <c r="AD273" s="180">
        <f t="shared" si="219"/>
        <v>0</v>
      </c>
      <c r="AE273" s="180">
        <f t="shared" si="212"/>
        <v>4806000</v>
      </c>
      <c r="AF273" s="178">
        <f t="shared" ref="AF273:AF285" si="220">AA273*8%</f>
        <v>384480</v>
      </c>
      <c r="AG273" s="178">
        <f t="shared" ref="AG273:AG285" si="221">AA273*1.5%</f>
        <v>72090</v>
      </c>
      <c r="AH273" s="178">
        <f t="shared" ref="AH273:AH285" si="222">AA273*1%</f>
        <v>48060</v>
      </c>
      <c r="AI273" s="178"/>
      <c r="AJ273" s="178">
        <f t="shared" si="213"/>
        <v>504630</v>
      </c>
      <c r="AK273" s="192"/>
      <c r="AL273" s="182">
        <f t="shared" si="207"/>
        <v>0</v>
      </c>
      <c r="AM273" s="182"/>
      <c r="AN273" s="182"/>
      <c r="AO273" s="183">
        <f t="shared" si="201"/>
        <v>2.67</v>
      </c>
      <c r="AP273" s="246">
        <v>0.25</v>
      </c>
      <c r="AQ273" s="185">
        <f t="shared" si="214"/>
        <v>0.66749999999999998</v>
      </c>
      <c r="AR273" s="178">
        <f t="shared" si="215"/>
        <v>1201500</v>
      </c>
      <c r="AS273" s="178"/>
      <c r="AT273" s="178">
        <f t="shared" si="216"/>
        <v>5502870</v>
      </c>
      <c r="AU273" s="469">
        <f t="shared" ref="AU273:AU285" si="223">A273</f>
        <v>255</v>
      </c>
      <c r="AV273" s="195"/>
      <c r="AW273" s="485"/>
      <c r="AX273" s="29"/>
      <c r="AY273" s="29"/>
      <c r="AZ273" s="29"/>
      <c r="BA273" s="29"/>
      <c r="BB273" s="29"/>
      <c r="BC273" s="29"/>
      <c r="BD273" s="29"/>
      <c r="BE273" s="29"/>
      <c r="BF273" s="29"/>
      <c r="BG273" s="29"/>
    </row>
    <row r="274" spans="1:59" s="189" customFormat="1" ht="30.75" customHeight="1" x14ac:dyDescent="0.25">
      <c r="A274" s="168">
        <f>_xlfn.AGGREGATE(4,7,A$13:A273)+1</f>
        <v>256</v>
      </c>
      <c r="B274" s="168" t="str">
        <f>VLOOKUP(D274,[1]LuongBC_T01!$B$9:$C$292,2,FALSE)</f>
        <v>0016100012092002</v>
      </c>
      <c r="C274" s="170" t="s">
        <v>1332</v>
      </c>
      <c r="D274" s="169" t="s">
        <v>1305</v>
      </c>
      <c r="E274" s="263" t="s">
        <v>1377</v>
      </c>
      <c r="F274" s="220"/>
      <c r="G274" s="220"/>
      <c r="H274" s="220"/>
      <c r="I274" s="220"/>
      <c r="J274" s="220"/>
      <c r="K274" s="170" t="str">
        <f>VLOOKUP(D274,[2]T3!$B$2:$D$328,3,FALSE)</f>
        <v>215223184</v>
      </c>
      <c r="L274" s="220"/>
      <c r="M274" s="170"/>
      <c r="N274" s="263" t="str">
        <f>VLOOKUP(D274,'[6]Bao cao So GDDT'!$D$14:$S$282,11,FALSE)</f>
        <v>Giảng viên GDNN LT (hạng III)</v>
      </c>
      <c r="O274" s="263" t="s">
        <v>807</v>
      </c>
      <c r="P274" s="251"/>
      <c r="Q274" s="251"/>
      <c r="R274" s="177">
        <v>3</v>
      </c>
      <c r="S274" s="176"/>
      <c r="T274" s="220"/>
      <c r="U274" s="176">
        <f t="shared" si="208"/>
        <v>0</v>
      </c>
      <c r="V274" s="175"/>
      <c r="W274" s="170"/>
      <c r="X274" s="179">
        <f>VLOOKUP(D274,PCTN!D268:W535,20,FALSE)</f>
        <v>0</v>
      </c>
      <c r="Y274" s="216">
        <f t="shared" si="209"/>
        <v>0</v>
      </c>
      <c r="Z274" s="216">
        <f t="shared" si="210"/>
        <v>3</v>
      </c>
      <c r="AA274" s="180">
        <f t="shared" si="211"/>
        <v>5400000</v>
      </c>
      <c r="AB274" s="180"/>
      <c r="AC274" s="180">
        <f t="shared" si="218"/>
        <v>0</v>
      </c>
      <c r="AD274" s="180">
        <f t="shared" si="219"/>
        <v>0</v>
      </c>
      <c r="AE274" s="180">
        <f t="shared" si="212"/>
        <v>5400000</v>
      </c>
      <c r="AF274" s="178">
        <f t="shared" si="220"/>
        <v>432000</v>
      </c>
      <c r="AG274" s="178">
        <f t="shared" si="221"/>
        <v>81000</v>
      </c>
      <c r="AH274" s="178">
        <f t="shared" si="222"/>
        <v>54000</v>
      </c>
      <c r="AI274" s="178"/>
      <c r="AJ274" s="178">
        <f t="shared" si="213"/>
        <v>567000</v>
      </c>
      <c r="AK274" s="192"/>
      <c r="AL274" s="182">
        <f t="shared" si="207"/>
        <v>0</v>
      </c>
      <c r="AM274" s="182"/>
      <c r="AN274" s="182"/>
      <c r="AO274" s="183">
        <f t="shared" si="201"/>
        <v>3</v>
      </c>
      <c r="AP274" s="246">
        <v>0.25</v>
      </c>
      <c r="AQ274" s="185">
        <f t="shared" si="214"/>
        <v>0.75</v>
      </c>
      <c r="AR274" s="178">
        <f t="shared" si="215"/>
        <v>1350000</v>
      </c>
      <c r="AS274" s="178"/>
      <c r="AT274" s="178">
        <f t="shared" si="216"/>
        <v>6183000</v>
      </c>
      <c r="AU274" s="469">
        <f t="shared" si="223"/>
        <v>256</v>
      </c>
      <c r="AV274" s="195"/>
      <c r="AW274" s="485"/>
    </row>
    <row r="275" spans="1:59" s="189" customFormat="1" ht="37.5" customHeight="1" x14ac:dyDescent="0.25">
      <c r="A275" s="726">
        <f>_xlfn.AGGREGATE(4,7,A$13:A274)+1</f>
        <v>257</v>
      </c>
      <c r="B275" s="726" t="s">
        <v>1510</v>
      </c>
      <c r="C275" s="968" t="s">
        <v>1560</v>
      </c>
      <c r="D275" s="969" t="s">
        <v>1494</v>
      </c>
      <c r="E275" s="958" t="s">
        <v>1377</v>
      </c>
      <c r="F275" s="959"/>
      <c r="G275" s="959"/>
      <c r="H275" s="959"/>
      <c r="I275" s="959"/>
      <c r="J275" s="959"/>
      <c r="K275" s="956"/>
      <c r="L275" s="960" t="s">
        <v>1509</v>
      </c>
      <c r="M275" s="961"/>
      <c r="N275" s="729" t="str">
        <f>VLOOKUP(D275,'[6]Bao cao So GDDT'!$D$14:$S$282,11,FALSE)</f>
        <v>Giảng viên GDNN LT (hạng III)</v>
      </c>
      <c r="O275" s="970" t="s">
        <v>1438</v>
      </c>
      <c r="P275" s="971"/>
      <c r="Q275" s="971"/>
      <c r="R275" s="972">
        <v>3.66</v>
      </c>
      <c r="S275" s="962"/>
      <c r="T275" s="959"/>
      <c r="U275" s="962">
        <f>ROUND(R275*T275/100,4)</f>
        <v>0</v>
      </c>
      <c r="V275" s="963"/>
      <c r="W275" s="961"/>
      <c r="X275" s="739">
        <v>0.11</v>
      </c>
      <c r="Y275" s="740">
        <f>ROUND((R275+U275+W275)*X275,4)</f>
        <v>0.40260000000000001</v>
      </c>
      <c r="Z275" s="740">
        <f>R275+U275+W275+Y275</f>
        <v>4.0625999999999998</v>
      </c>
      <c r="AA275" s="741">
        <f>ROUND(Z275*$D$8,0)</f>
        <v>7312680</v>
      </c>
      <c r="AB275" s="964"/>
      <c r="AC275" s="741">
        <f>AA275/24*AB275</f>
        <v>0</v>
      </c>
      <c r="AD275" s="741">
        <f>AA275/24*AB275*75%</f>
        <v>0</v>
      </c>
      <c r="AE275" s="741">
        <f>ROUND(AA275-AC275+AD275,0)</f>
        <v>7312680</v>
      </c>
      <c r="AF275" s="742">
        <f>AA275*8%</f>
        <v>585014.4</v>
      </c>
      <c r="AG275" s="742">
        <f>AA275*1.5%</f>
        <v>109690.2</v>
      </c>
      <c r="AH275" s="742">
        <f>AA275*1%</f>
        <v>73126.8</v>
      </c>
      <c r="AI275" s="965"/>
      <c r="AJ275" s="742">
        <f>SUM(AF275:AI275)</f>
        <v>767831.4</v>
      </c>
      <c r="AK275" s="966"/>
      <c r="AL275" s="744">
        <f t="shared" si="207"/>
        <v>0</v>
      </c>
      <c r="AM275" s="967"/>
      <c r="AN275" s="967"/>
      <c r="AO275" s="973">
        <f>R275+U275+W275</f>
        <v>3.66</v>
      </c>
      <c r="AP275" s="974">
        <v>0.25</v>
      </c>
      <c r="AQ275" s="747">
        <f>ROUND(AO275*AP275,4)</f>
        <v>0.91500000000000004</v>
      </c>
      <c r="AR275" s="742">
        <f>ROUND(AQ275*$D$8,0)</f>
        <v>1647000</v>
      </c>
      <c r="AS275" s="965"/>
      <c r="AT275" s="742">
        <f>ROUND(AE275-AJ275+AL275+AN275+AR275,0)</f>
        <v>8191849</v>
      </c>
      <c r="AU275" s="748">
        <f t="shared" si="223"/>
        <v>257</v>
      </c>
      <c r="AV275" s="975"/>
      <c r="AW275" s="723" t="s">
        <v>1495</v>
      </c>
    </row>
    <row r="276" spans="1:59" s="189" customFormat="1" ht="37.5" customHeight="1" x14ac:dyDescent="0.25">
      <c r="A276" s="168">
        <f>_xlfn.AGGREGATE(4,7,A$13:A275)+1</f>
        <v>258</v>
      </c>
      <c r="B276" s="168" t="s">
        <v>1499</v>
      </c>
      <c r="C276" s="865" t="s">
        <v>1558</v>
      </c>
      <c r="D276" s="169" t="s">
        <v>1480</v>
      </c>
      <c r="E276" s="263" t="s">
        <v>1377</v>
      </c>
      <c r="F276" s="220"/>
      <c r="G276" s="220"/>
      <c r="H276" s="220"/>
      <c r="I276" s="220"/>
      <c r="J276" s="220"/>
      <c r="K276" s="168">
        <v>233140411</v>
      </c>
      <c r="L276" s="490" t="s">
        <v>1487</v>
      </c>
      <c r="M276" s="170"/>
      <c r="N276" s="829" t="str">
        <f>VLOOKUP(D276,'[6]Bao cao So GDDT'!$D$14:$S$282,11,FALSE)</f>
        <v>Giảng viên GDNN LT (hạng III)</v>
      </c>
      <c r="O276" s="662" t="s">
        <v>1438</v>
      </c>
      <c r="P276" s="251"/>
      <c r="Q276" s="251"/>
      <c r="R276" s="170">
        <v>2.34</v>
      </c>
      <c r="S276" s="176"/>
      <c r="T276" s="220"/>
      <c r="U276" s="176">
        <f>ROUND(R276*T276/100,4)</f>
        <v>0</v>
      </c>
      <c r="V276" s="175"/>
      <c r="W276" s="170"/>
      <c r="X276" s="179">
        <v>0</v>
      </c>
      <c r="Y276" s="216">
        <f>ROUND((R276+U276+W276)*X276,4)</f>
        <v>0</v>
      </c>
      <c r="Z276" s="216">
        <f>R276+U276+W276+Y276</f>
        <v>2.34</v>
      </c>
      <c r="AA276" s="180">
        <f>ROUND(Z276*$D$8,0)</f>
        <v>4212000</v>
      </c>
      <c r="AB276" s="180"/>
      <c r="AC276" s="180">
        <f>AA276/24*AB276</f>
        <v>0</v>
      </c>
      <c r="AD276" s="180">
        <f>AA276/24*AB276*75%</f>
        <v>0</v>
      </c>
      <c r="AE276" s="180">
        <f>ROUND(AA276-AC276+AD276,0)</f>
        <v>4212000</v>
      </c>
      <c r="AF276" s="178">
        <f>AA276*8%</f>
        <v>336960</v>
      </c>
      <c r="AG276" s="178">
        <f>AA276*1.5%</f>
        <v>63180</v>
      </c>
      <c r="AH276" s="178">
        <f>AA276*1%</f>
        <v>42120</v>
      </c>
      <c r="AI276" s="178"/>
      <c r="AJ276" s="178">
        <f>SUM(AF276:AI276)</f>
        <v>442260</v>
      </c>
      <c r="AK276" s="192"/>
      <c r="AL276" s="182">
        <f t="shared" si="207"/>
        <v>0</v>
      </c>
      <c r="AM276" s="182"/>
      <c r="AN276" s="182"/>
      <c r="AO276" s="183">
        <f>R276+U276+W276</f>
        <v>2.34</v>
      </c>
      <c r="AP276" s="246">
        <v>0.25</v>
      </c>
      <c r="AQ276" s="185">
        <f>ROUND(AO276*AP276,4)</f>
        <v>0.58499999999999996</v>
      </c>
      <c r="AR276" s="178">
        <f>ROUND(AQ276*$D$8,0)</f>
        <v>1053000</v>
      </c>
      <c r="AS276" s="178"/>
      <c r="AT276" s="178">
        <f>ROUND(AE276-AJ276+AL276+AN276+AR276,0)</f>
        <v>4822740</v>
      </c>
      <c r="AU276" s="469">
        <f t="shared" si="223"/>
        <v>258</v>
      </c>
      <c r="AV276" s="195"/>
      <c r="AW276" s="195" t="s">
        <v>1573</v>
      </c>
      <c r="AX276" s="29"/>
      <c r="AY276" s="29"/>
      <c r="AZ276" s="29"/>
      <c r="BA276" s="29"/>
      <c r="BB276" s="29"/>
      <c r="BC276" s="29"/>
      <c r="BD276" s="29"/>
      <c r="BE276" s="29"/>
      <c r="BF276" s="29"/>
      <c r="BG276" s="29"/>
    </row>
    <row r="277" spans="1:59" s="189" customFormat="1" ht="37.5" customHeight="1" x14ac:dyDescent="0.25">
      <c r="A277" s="168">
        <f>_xlfn.AGGREGATE(4,7,A$13:A276)+1</f>
        <v>259</v>
      </c>
      <c r="B277" s="168" t="s">
        <v>1505</v>
      </c>
      <c r="C277" s="865" t="s">
        <v>1565</v>
      </c>
      <c r="D277" s="169" t="s">
        <v>1442</v>
      </c>
      <c r="E277" s="263" t="s">
        <v>1377</v>
      </c>
      <c r="F277" s="220"/>
      <c r="G277" s="220"/>
      <c r="H277" s="220"/>
      <c r="I277" s="220"/>
      <c r="J277" s="220"/>
      <c r="K277" s="168"/>
      <c r="L277" s="490" t="s">
        <v>1446</v>
      </c>
      <c r="M277" s="170"/>
      <c r="N277" s="263" t="str">
        <f>VLOOKUP(D277,'[6]Bao cao So GDDT'!$D$14:$S$282,11,FALSE)</f>
        <v>Giảng viên GDNN LT (hạng III)</v>
      </c>
      <c r="O277" s="662" t="s">
        <v>1438</v>
      </c>
      <c r="P277" s="251"/>
      <c r="Q277" s="251"/>
      <c r="R277" s="170">
        <v>2.34</v>
      </c>
      <c r="S277" s="176"/>
      <c r="T277" s="220"/>
      <c r="U277" s="176">
        <f>ROUND(R277*T277/100,4)</f>
        <v>0</v>
      </c>
      <c r="V277" s="175"/>
      <c r="W277" s="170"/>
      <c r="X277" s="179">
        <f>VLOOKUP(D277,PCTN!D91:W358,20,FALSE)</f>
        <v>0</v>
      </c>
      <c r="Y277" s="216">
        <f>ROUND((R277+U277+W277)*X277,4)</f>
        <v>0</v>
      </c>
      <c r="Z277" s="216">
        <f>R277+U277+W277+Y277</f>
        <v>2.34</v>
      </c>
      <c r="AA277" s="180">
        <f>ROUND(Z277*$D$8,0)</f>
        <v>4212000</v>
      </c>
      <c r="AB277" s="180"/>
      <c r="AC277" s="180">
        <f>AA277/24*AB277</f>
        <v>0</v>
      </c>
      <c r="AD277" s="180">
        <f>AA277/24*AB277*75%</f>
        <v>0</v>
      </c>
      <c r="AE277" s="180">
        <f>ROUND(AA277-AC277+AD277,0)</f>
        <v>4212000</v>
      </c>
      <c r="AF277" s="178">
        <f>AA277*8%</f>
        <v>336960</v>
      </c>
      <c r="AG277" s="178">
        <f>AA277*1.5%</f>
        <v>63180</v>
      </c>
      <c r="AH277" s="178">
        <f>AA277*1%</f>
        <v>42120</v>
      </c>
      <c r="AI277" s="178"/>
      <c r="AJ277" s="178">
        <f>SUM(AF277:AI277)</f>
        <v>442260</v>
      </c>
      <c r="AK277" s="192"/>
      <c r="AL277" s="182">
        <f t="shared" si="207"/>
        <v>0</v>
      </c>
      <c r="AM277" s="182"/>
      <c r="AN277" s="182"/>
      <c r="AO277" s="183">
        <f>R277+U277+W277</f>
        <v>2.34</v>
      </c>
      <c r="AP277" s="640">
        <v>0.25</v>
      </c>
      <c r="AQ277" s="185">
        <f>ROUND(AO277*AP277,4)</f>
        <v>0.58499999999999996</v>
      </c>
      <c r="AR277" s="178">
        <f>ROUND(AQ277*$D$8,0)</f>
        <v>1053000</v>
      </c>
      <c r="AS277" s="178"/>
      <c r="AT277" s="178">
        <f>ROUND(AE277-AJ277+AL277+AN277+AR277,0)</f>
        <v>4822740</v>
      </c>
      <c r="AU277" s="469">
        <f t="shared" si="223"/>
        <v>259</v>
      </c>
      <c r="AV277" s="195"/>
      <c r="AW277" s="659"/>
      <c r="AX277" s="29"/>
      <c r="AY277" s="29"/>
      <c r="AZ277" s="29"/>
      <c r="BA277" s="29"/>
      <c r="BB277" s="29"/>
      <c r="BC277" s="29"/>
      <c r="BD277" s="29"/>
      <c r="BE277" s="29"/>
      <c r="BF277" s="29"/>
      <c r="BG277" s="29"/>
    </row>
    <row r="278" spans="1:59" s="189" customFormat="1" ht="37.5" customHeight="1" x14ac:dyDescent="0.25">
      <c r="A278" s="168">
        <f>_xlfn.AGGREGATE(4,7,A$13:A277)+1</f>
        <v>260</v>
      </c>
      <c r="B278" s="168" t="s">
        <v>1508</v>
      </c>
      <c r="C278" s="865" t="s">
        <v>1559</v>
      </c>
      <c r="D278" s="169" t="s">
        <v>1443</v>
      </c>
      <c r="E278" s="263" t="s">
        <v>1377</v>
      </c>
      <c r="F278" s="220"/>
      <c r="G278" s="220"/>
      <c r="H278" s="220"/>
      <c r="I278" s="220"/>
      <c r="J278" s="220"/>
      <c r="K278" s="168"/>
      <c r="L278" s="490" t="s">
        <v>1445</v>
      </c>
      <c r="M278" s="170"/>
      <c r="N278" s="263" t="str">
        <f>VLOOKUP(D278,'[6]Bao cao So GDDT'!$D$14:$S$282,11,FALSE)</f>
        <v>Giảng viên GDNN LT (hạng III)</v>
      </c>
      <c r="O278" s="662" t="s">
        <v>1438</v>
      </c>
      <c r="P278" s="251"/>
      <c r="Q278" s="251"/>
      <c r="R278" s="170">
        <v>2.34</v>
      </c>
      <c r="S278" s="176"/>
      <c r="T278" s="220"/>
      <c r="U278" s="176">
        <f>ROUND(R278*T278/100,4)</f>
        <v>0</v>
      </c>
      <c r="V278" s="175"/>
      <c r="W278" s="170"/>
      <c r="X278" s="179">
        <f>VLOOKUP(D278,PCTN!D95:W362,20,FALSE)</f>
        <v>0</v>
      </c>
      <c r="Y278" s="216">
        <f>ROUND((R278+U278+W278)*X278,4)</f>
        <v>0</v>
      </c>
      <c r="Z278" s="216">
        <f>R278+U278+W278+Y278</f>
        <v>2.34</v>
      </c>
      <c r="AA278" s="180">
        <f>ROUND(Z278*$D$8,0)</f>
        <v>4212000</v>
      </c>
      <c r="AB278" s="180"/>
      <c r="AC278" s="180">
        <f>AA278/24*AB278</f>
        <v>0</v>
      </c>
      <c r="AD278" s="180">
        <f>AA278/24*AB278*75%</f>
        <v>0</v>
      </c>
      <c r="AE278" s="180">
        <f>ROUND(AA278-AC278+AD278,0)</f>
        <v>4212000</v>
      </c>
      <c r="AF278" s="178">
        <f>AA278*8%</f>
        <v>336960</v>
      </c>
      <c r="AG278" s="178">
        <f>AA278*1.5%</f>
        <v>63180</v>
      </c>
      <c r="AH278" s="178">
        <f>AA278*1%</f>
        <v>42120</v>
      </c>
      <c r="AI278" s="178"/>
      <c r="AJ278" s="178">
        <f>SUM(AF278:AI278)</f>
        <v>442260</v>
      </c>
      <c r="AK278" s="192"/>
      <c r="AL278" s="182">
        <f t="shared" si="207"/>
        <v>0</v>
      </c>
      <c r="AM278" s="182"/>
      <c r="AN278" s="182"/>
      <c r="AO278" s="183">
        <f>R278+U278+W278</f>
        <v>2.34</v>
      </c>
      <c r="AP278" s="246">
        <v>0.25</v>
      </c>
      <c r="AQ278" s="185">
        <f>ROUND(AO278*AP278,4)</f>
        <v>0.58499999999999996</v>
      </c>
      <c r="AR278" s="178">
        <f>ROUND(AQ278*$D$8,0)</f>
        <v>1053000</v>
      </c>
      <c r="AS278" s="178"/>
      <c r="AT278" s="178">
        <f>ROUND(AE278-AJ278+AL278+AN278+AR278,0)</f>
        <v>4822740</v>
      </c>
      <c r="AU278" s="469">
        <f>A278</f>
        <v>260</v>
      </c>
      <c r="AV278" s="195"/>
      <c r="AW278" s="659"/>
      <c r="AX278" s="29"/>
      <c r="AY278" s="29"/>
      <c r="AZ278" s="29"/>
      <c r="BA278" s="29"/>
      <c r="BB278" s="29"/>
      <c r="BC278" s="29"/>
      <c r="BD278" s="29"/>
      <c r="BE278" s="29"/>
      <c r="BF278" s="29"/>
      <c r="BG278" s="29"/>
    </row>
    <row r="279" spans="1:59" s="189" customFormat="1" ht="37.5" customHeight="1" x14ac:dyDescent="0.25">
      <c r="A279" s="168">
        <f>_xlfn.AGGREGATE(4,7,A$13:A278)+1</f>
        <v>261</v>
      </c>
      <c r="B279" s="168" t="s">
        <v>1502</v>
      </c>
      <c r="C279" s="660">
        <v>10300000937</v>
      </c>
      <c r="D279" s="169" t="s">
        <v>1483</v>
      </c>
      <c r="E279" s="263" t="s">
        <v>1377</v>
      </c>
      <c r="F279" s="220"/>
      <c r="G279" s="220"/>
      <c r="H279" s="220"/>
      <c r="I279" s="220"/>
      <c r="J279" s="220"/>
      <c r="K279" s="168">
        <v>261375031</v>
      </c>
      <c r="L279" s="490" t="s">
        <v>1491</v>
      </c>
      <c r="M279" s="170"/>
      <c r="N279" s="263" t="str">
        <f>VLOOKUP(D279,'[6]Bao cao So GDDT'!$D$14:$S$282,11,FALSE)</f>
        <v>Giảng viên GDNN LT (hạng III)</v>
      </c>
      <c r="O279" s="662" t="s">
        <v>1438</v>
      </c>
      <c r="P279" s="251"/>
      <c r="Q279" s="251"/>
      <c r="R279" s="170">
        <v>2.34</v>
      </c>
      <c r="S279" s="176"/>
      <c r="T279" s="220"/>
      <c r="U279" s="176">
        <f>ROUND(R279*T279/100,4)</f>
        <v>0</v>
      </c>
      <c r="V279" s="175"/>
      <c r="W279" s="170"/>
      <c r="X279" s="179">
        <v>0</v>
      </c>
      <c r="Y279" s="216">
        <f>ROUND((R279+U279+W279)*X279,4)</f>
        <v>0</v>
      </c>
      <c r="Z279" s="216">
        <f>R279+U279+W279+Y279</f>
        <v>2.34</v>
      </c>
      <c r="AA279" s="180">
        <f>ROUND(Z279*$D$8,0)</f>
        <v>4212000</v>
      </c>
      <c r="AB279" s="180"/>
      <c r="AC279" s="180">
        <f>AA279/24*AB279</f>
        <v>0</v>
      </c>
      <c r="AD279" s="180">
        <f>AA279/24*AB279*75%</f>
        <v>0</v>
      </c>
      <c r="AE279" s="180">
        <f>ROUND(AA279-AC279+AD279,0)</f>
        <v>4212000</v>
      </c>
      <c r="AF279" s="178">
        <f>AA279*8%</f>
        <v>336960</v>
      </c>
      <c r="AG279" s="178">
        <f>AA279*1.5%</f>
        <v>63180</v>
      </c>
      <c r="AH279" s="178">
        <f>AA279*1%</f>
        <v>42120</v>
      </c>
      <c r="AI279" s="178"/>
      <c r="AJ279" s="178">
        <f>SUM(AF279:AI279)</f>
        <v>442260</v>
      </c>
      <c r="AK279" s="192"/>
      <c r="AL279" s="182">
        <f t="shared" si="207"/>
        <v>0</v>
      </c>
      <c r="AM279" s="182"/>
      <c r="AN279" s="182"/>
      <c r="AO279" s="183">
        <f>R279+U279+W279</f>
        <v>2.34</v>
      </c>
      <c r="AP279" s="640">
        <v>0.25</v>
      </c>
      <c r="AQ279" s="185">
        <f>ROUND(AO279*AP279,4)</f>
        <v>0.58499999999999996</v>
      </c>
      <c r="AR279" s="178">
        <f>ROUND(AQ279*$D$8,0)</f>
        <v>1053000</v>
      </c>
      <c r="AS279" s="178"/>
      <c r="AT279" s="178">
        <f>ROUND(AE279-AJ279+AL279+AN279+AR279,0)</f>
        <v>4822740</v>
      </c>
      <c r="AU279" s="538">
        <f>A279</f>
        <v>261</v>
      </c>
      <c r="AV279" s="195"/>
      <c r="AW279" s="195" t="s">
        <v>1484</v>
      </c>
      <c r="AX279" s="29"/>
      <c r="AY279" s="29"/>
      <c r="AZ279" s="29"/>
      <c r="BA279" s="29"/>
      <c r="BB279" s="29"/>
      <c r="BC279" s="29"/>
      <c r="BD279" s="29"/>
      <c r="BE279" s="29"/>
      <c r="BF279" s="29"/>
      <c r="BG279" s="29"/>
    </row>
    <row r="280" spans="1:59" s="189" customFormat="1" ht="49.5" customHeight="1" x14ac:dyDescent="0.25">
      <c r="A280" s="168">
        <f>_xlfn.AGGREGATE(4,7,A$13:A279)+1</f>
        <v>262</v>
      </c>
      <c r="B280" s="168" t="str">
        <f>VLOOKUP(D280,[1]LuongBC_T01!$B$9:$C$292,2,FALSE)</f>
        <v>0016100006587008</v>
      </c>
      <c r="C280" s="199" t="s">
        <v>917</v>
      </c>
      <c r="D280" s="230" t="s">
        <v>766</v>
      </c>
      <c r="E280" s="263" t="s">
        <v>1674</v>
      </c>
      <c r="F280" s="231"/>
      <c r="G280" s="231"/>
      <c r="H280" s="231"/>
      <c r="I280" s="231"/>
      <c r="J280" s="231"/>
      <c r="K280" s="170" t="str">
        <f>VLOOKUP(D280,[2]T3!$B$2:$D$328,3,FALSE)</f>
        <v>020750459</v>
      </c>
      <c r="L280" s="226" t="s">
        <v>793</v>
      </c>
      <c r="M280" s="226" t="s">
        <v>917</v>
      </c>
      <c r="N280" s="263" t="str">
        <f>VLOOKUP(D280,'[6]Bao cao So GDDT'!$D$14:$S$282,11,FALSE)</f>
        <v>Giảng viên GDNN LT (hạng III)</v>
      </c>
      <c r="O280" s="390" t="s">
        <v>1438</v>
      </c>
      <c r="P280" s="170" t="s">
        <v>692</v>
      </c>
      <c r="Q280" s="170">
        <v>3</v>
      </c>
      <c r="R280" s="177">
        <v>3.66</v>
      </c>
      <c r="S280" s="176">
        <f>U280+W280+Y280</f>
        <v>0.71089999999999998</v>
      </c>
      <c r="T280" s="169"/>
      <c r="U280" s="176">
        <f t="shared" si="208"/>
        <v>0</v>
      </c>
      <c r="V280" s="175"/>
      <c r="W280" s="711">
        <v>0.35</v>
      </c>
      <c r="X280" s="179">
        <v>0.09</v>
      </c>
      <c r="Y280" s="216">
        <f t="shared" si="209"/>
        <v>0.3609</v>
      </c>
      <c r="Z280" s="216">
        <f t="shared" si="210"/>
        <v>4.3708999999999998</v>
      </c>
      <c r="AA280" s="180">
        <f t="shared" si="211"/>
        <v>7867620</v>
      </c>
      <c r="AB280" s="180"/>
      <c r="AC280" s="180">
        <f t="shared" si="218"/>
        <v>0</v>
      </c>
      <c r="AD280" s="180">
        <f t="shared" si="219"/>
        <v>0</v>
      </c>
      <c r="AE280" s="180">
        <f t="shared" si="212"/>
        <v>7867620</v>
      </c>
      <c r="AF280" s="178">
        <f t="shared" si="220"/>
        <v>629409.6</v>
      </c>
      <c r="AG280" s="178">
        <f t="shared" si="221"/>
        <v>118014.29999999999</v>
      </c>
      <c r="AH280" s="178">
        <f t="shared" si="222"/>
        <v>78676.2</v>
      </c>
      <c r="AI280" s="178"/>
      <c r="AJ280" s="178">
        <f t="shared" si="213"/>
        <v>826100.09999999986</v>
      </c>
      <c r="AK280" s="192"/>
      <c r="AL280" s="182">
        <f t="shared" si="207"/>
        <v>0</v>
      </c>
      <c r="AM280" s="182"/>
      <c r="AN280" s="182"/>
      <c r="AO280" s="183">
        <f t="shared" si="201"/>
        <v>4.01</v>
      </c>
      <c r="AP280" s="246">
        <v>0.25</v>
      </c>
      <c r="AQ280" s="194">
        <f t="shared" si="214"/>
        <v>1.0024999999999999</v>
      </c>
      <c r="AR280" s="178">
        <f t="shared" si="215"/>
        <v>1804500</v>
      </c>
      <c r="AS280" s="178"/>
      <c r="AT280" s="178">
        <f t="shared" si="216"/>
        <v>8846020</v>
      </c>
      <c r="AU280" s="469">
        <f t="shared" si="223"/>
        <v>262</v>
      </c>
      <c r="AV280" s="195" t="s">
        <v>1673</v>
      </c>
      <c r="AW280" s="196"/>
    </row>
    <row r="281" spans="1:59" s="189" customFormat="1" ht="48" customHeight="1" x14ac:dyDescent="0.25">
      <c r="A281" s="168">
        <f>_xlfn.AGGREGATE(4,7,A$13:A280)+1</f>
        <v>263</v>
      </c>
      <c r="B281" s="168" t="str">
        <f>VLOOKUP(D281,[1]LuongBC_T01!$B$9:$C$292,2,FALSE)</f>
        <v>0016100006558008</v>
      </c>
      <c r="C281" s="170" t="s">
        <v>1321</v>
      </c>
      <c r="D281" s="169" t="s">
        <v>1097</v>
      </c>
      <c r="E281" s="263" t="s">
        <v>1675</v>
      </c>
      <c r="F281" s="220"/>
      <c r="G281" s="220"/>
      <c r="H281" s="220"/>
      <c r="I281" s="220"/>
      <c r="J281" s="220"/>
      <c r="K281" s="170" t="str">
        <f>VLOOKUP(D281,[2]T3!$B$2:$D$328,3,FALSE)</f>
        <v>142482490</v>
      </c>
      <c r="L281" s="220"/>
      <c r="M281" s="170"/>
      <c r="N281" s="263" t="str">
        <f>VLOOKUP(D281,'[6]Bao cao So GDDT'!$D$14:$S$282,11,FALSE)</f>
        <v>Giảng viên GDNN LT (hạng III)</v>
      </c>
      <c r="O281" s="390" t="s">
        <v>1438</v>
      </c>
      <c r="P281" s="170"/>
      <c r="Q281" s="170">
        <v>2</v>
      </c>
      <c r="R281" s="177">
        <v>3.33</v>
      </c>
      <c r="S281" s="176">
        <f>U281+W281+Y281</f>
        <v>0.60759999999999992</v>
      </c>
      <c r="T281" s="220"/>
      <c r="U281" s="176">
        <f t="shared" si="208"/>
        <v>0</v>
      </c>
      <c r="V281" s="175">
        <f>R281*T281*$D$8/100</f>
        <v>0</v>
      </c>
      <c r="W281" s="177">
        <v>0.35</v>
      </c>
      <c r="X281" s="179">
        <v>7.0000000000000007E-2</v>
      </c>
      <c r="Y281" s="216">
        <f t="shared" si="209"/>
        <v>0.2576</v>
      </c>
      <c r="Z281" s="216">
        <f t="shared" si="210"/>
        <v>3.9376000000000002</v>
      </c>
      <c r="AA281" s="180">
        <f t="shared" si="211"/>
        <v>7087680</v>
      </c>
      <c r="AB281" s="180"/>
      <c r="AC281" s="180">
        <f t="shared" si="218"/>
        <v>0</v>
      </c>
      <c r="AD281" s="180">
        <f t="shared" si="219"/>
        <v>0</v>
      </c>
      <c r="AE281" s="180">
        <f t="shared" si="212"/>
        <v>7087680</v>
      </c>
      <c r="AF281" s="178">
        <f t="shared" si="220"/>
        <v>567014.40000000002</v>
      </c>
      <c r="AG281" s="178">
        <f t="shared" si="221"/>
        <v>106315.2</v>
      </c>
      <c r="AH281" s="178">
        <f t="shared" si="222"/>
        <v>70876.800000000003</v>
      </c>
      <c r="AI281" s="178"/>
      <c r="AJ281" s="178">
        <f t="shared" si="213"/>
        <v>744206.4</v>
      </c>
      <c r="AK281" s="192"/>
      <c r="AL281" s="182">
        <f>AK281*$D$8</f>
        <v>0</v>
      </c>
      <c r="AM281" s="182"/>
      <c r="AN281" s="182"/>
      <c r="AO281" s="183">
        <f t="shared" si="201"/>
        <v>3.68</v>
      </c>
      <c r="AP281" s="246">
        <v>0.25</v>
      </c>
      <c r="AQ281" s="185">
        <f t="shared" si="214"/>
        <v>0.92</v>
      </c>
      <c r="AR281" s="178">
        <f t="shared" si="215"/>
        <v>1656000</v>
      </c>
      <c r="AS281" s="178"/>
      <c r="AT281" s="178">
        <f>ROUND(AE281-AJ281+AL281+AN281+AR281,0)-1</f>
        <v>7999473</v>
      </c>
      <c r="AU281" s="469">
        <f t="shared" si="223"/>
        <v>263</v>
      </c>
      <c r="AV281" s="195"/>
      <c r="AW281" s="198"/>
    </row>
    <row r="282" spans="1:59" s="189" customFormat="1" ht="45.75" customHeight="1" x14ac:dyDescent="0.25">
      <c r="A282" s="168">
        <f>_xlfn.AGGREGATE(4,7,A$13:A281)+1</f>
        <v>264</v>
      </c>
      <c r="B282" s="168" t="str">
        <f>VLOOKUP(D282,[1]LuongBC_T01!$B$9:$C$292,2,FALSE)</f>
        <v>0016100006534001</v>
      </c>
      <c r="C282" s="199" t="s">
        <v>993</v>
      </c>
      <c r="D282" s="169" t="s">
        <v>1227</v>
      </c>
      <c r="E282" s="263" t="s">
        <v>1674</v>
      </c>
      <c r="F282" s="169" t="s">
        <v>549</v>
      </c>
      <c r="G282" s="200"/>
      <c r="H282" s="200" t="s">
        <v>283</v>
      </c>
      <c r="I282" s="200" t="s">
        <v>283</v>
      </c>
      <c r="J282" s="200" t="s">
        <v>586</v>
      </c>
      <c r="K282" s="170" t="str">
        <f>VLOOKUP(D282,[2]T3!$B$2:$D$328,3,FALSE)</f>
        <v>025211873</v>
      </c>
      <c r="L282" s="201" t="s">
        <v>608</v>
      </c>
      <c r="M282" s="201" t="s">
        <v>993</v>
      </c>
      <c r="N282" s="263" t="str">
        <f>VLOOKUP(D282,'[6]Bao cao So GDDT'!$D$14:$S$282,11,FALSE)</f>
        <v>Giảng viên GDNN LT (hạng III)</v>
      </c>
      <c r="O282" s="390" t="s">
        <v>1438</v>
      </c>
      <c r="P282" s="170" t="s">
        <v>692</v>
      </c>
      <c r="Q282" s="170">
        <v>3</v>
      </c>
      <c r="R282" s="177">
        <v>3.66</v>
      </c>
      <c r="S282" s="176">
        <f>U282+W282+Y282</f>
        <v>0.4758</v>
      </c>
      <c r="T282" s="220"/>
      <c r="U282" s="176">
        <f t="shared" si="208"/>
        <v>0</v>
      </c>
      <c r="V282" s="175">
        <f>R282*T282*$D$8/100</f>
        <v>0</v>
      </c>
      <c r="W282" s="170"/>
      <c r="X282" s="179">
        <v>0.13</v>
      </c>
      <c r="Y282" s="216">
        <f t="shared" si="209"/>
        <v>0.4758</v>
      </c>
      <c r="Z282" s="216">
        <f t="shared" si="210"/>
        <v>4.1357999999999997</v>
      </c>
      <c r="AA282" s="180">
        <f t="shared" si="211"/>
        <v>7444440</v>
      </c>
      <c r="AB282" s="180"/>
      <c r="AC282" s="180">
        <f t="shared" si="218"/>
        <v>0</v>
      </c>
      <c r="AD282" s="180">
        <f t="shared" si="219"/>
        <v>0</v>
      </c>
      <c r="AE282" s="180">
        <f t="shared" si="212"/>
        <v>7444440</v>
      </c>
      <c r="AF282" s="178">
        <f t="shared" si="220"/>
        <v>595555.20000000007</v>
      </c>
      <c r="AG282" s="178">
        <f t="shared" si="221"/>
        <v>111666.59999999999</v>
      </c>
      <c r="AH282" s="178">
        <f t="shared" si="222"/>
        <v>74444.400000000009</v>
      </c>
      <c r="AI282" s="178"/>
      <c r="AJ282" s="178">
        <f t="shared" si="213"/>
        <v>781666.20000000007</v>
      </c>
      <c r="AK282" s="192"/>
      <c r="AL282" s="182">
        <f>AK282*$D$8</f>
        <v>0</v>
      </c>
      <c r="AM282" s="182"/>
      <c r="AN282" s="182"/>
      <c r="AO282" s="193">
        <f t="shared" si="201"/>
        <v>3.66</v>
      </c>
      <c r="AP282" s="246">
        <v>0.25</v>
      </c>
      <c r="AQ282" s="194">
        <f t="shared" si="214"/>
        <v>0.91500000000000004</v>
      </c>
      <c r="AR282" s="178">
        <f t="shared" si="215"/>
        <v>1647000</v>
      </c>
      <c r="AS282" s="178"/>
      <c r="AT282" s="178">
        <f>ROUND(AE282-AJ282+AL282+AN282+AR282,0)</f>
        <v>8309774</v>
      </c>
      <c r="AU282" s="469">
        <f t="shared" si="223"/>
        <v>264</v>
      </c>
      <c r="AV282" s="186"/>
      <c r="AW282" s="198" t="s">
        <v>703</v>
      </c>
    </row>
    <row r="283" spans="1:59" s="189" customFormat="1" ht="46.5" customHeight="1" x14ac:dyDescent="0.25">
      <c r="A283" s="168">
        <f>_xlfn.AGGREGATE(4,7,A$13:A282)+1</f>
        <v>265</v>
      </c>
      <c r="B283" s="168" t="str">
        <f>VLOOKUP(D283,[1]LuongBC_T01!$B$9:$C$292,2,FALSE)</f>
        <v>0016100006556005</v>
      </c>
      <c r="C283" s="199" t="s">
        <v>957</v>
      </c>
      <c r="D283" s="169" t="s">
        <v>294</v>
      </c>
      <c r="E283" s="263" t="s">
        <v>1674</v>
      </c>
      <c r="F283" s="169" t="s">
        <v>549</v>
      </c>
      <c r="G283" s="200"/>
      <c r="H283" s="200" t="s">
        <v>283</v>
      </c>
      <c r="I283" s="200" t="s">
        <v>283</v>
      </c>
      <c r="J283" s="220" t="s">
        <v>545</v>
      </c>
      <c r="K283" s="170" t="str">
        <f>VLOOKUP(D283,[2]T3!$B$2:$D$328,3,FALSE)</f>
        <v>024573030</v>
      </c>
      <c r="L283" s="171" t="s">
        <v>295</v>
      </c>
      <c r="M283" s="171" t="s">
        <v>957</v>
      </c>
      <c r="N283" s="263" t="str">
        <f>VLOOKUP(D283,'[6]Bao cao So GDDT'!$D$14:$S$282,11,FALSE)</f>
        <v>Giảng viên GDNN LT (hạng III)</v>
      </c>
      <c r="O283" s="390" t="s">
        <v>1438</v>
      </c>
      <c r="P283" s="172" t="s">
        <v>692</v>
      </c>
      <c r="Q283" s="173">
        <v>5</v>
      </c>
      <c r="R283" s="174">
        <v>4.32</v>
      </c>
      <c r="S283" s="176">
        <f>U283+W283+Y283</f>
        <v>0.73440000000000005</v>
      </c>
      <c r="T283" s="377"/>
      <c r="U283" s="176">
        <f t="shared" si="208"/>
        <v>0</v>
      </c>
      <c r="V283" s="175">
        <f>R283*T283*$D$8/100</f>
        <v>0</v>
      </c>
      <c r="W283" s="170"/>
      <c r="X283" s="179">
        <v>0.17</v>
      </c>
      <c r="Y283" s="216">
        <f t="shared" si="209"/>
        <v>0.73440000000000005</v>
      </c>
      <c r="Z283" s="216">
        <f t="shared" si="210"/>
        <v>5.0544000000000002</v>
      </c>
      <c r="AA283" s="180">
        <f t="shared" si="211"/>
        <v>9097920</v>
      </c>
      <c r="AB283" s="180"/>
      <c r="AC283" s="180">
        <f t="shared" si="218"/>
        <v>0</v>
      </c>
      <c r="AD283" s="180">
        <v>0</v>
      </c>
      <c r="AE283" s="180">
        <f t="shared" si="212"/>
        <v>9097920</v>
      </c>
      <c r="AF283" s="178">
        <f t="shared" si="220"/>
        <v>727833.59999999998</v>
      </c>
      <c r="AG283" s="178">
        <f t="shared" si="221"/>
        <v>136468.79999999999</v>
      </c>
      <c r="AH283" s="178">
        <f t="shared" si="222"/>
        <v>90979.199999999997</v>
      </c>
      <c r="AI283" s="178"/>
      <c r="AJ283" s="178">
        <f t="shared" si="213"/>
        <v>955281.59999999986</v>
      </c>
      <c r="AK283" s="181"/>
      <c r="AL283" s="182">
        <f>AK283*$D$8</f>
        <v>0</v>
      </c>
      <c r="AM283" s="182"/>
      <c r="AN283" s="182"/>
      <c r="AO283" s="193">
        <f t="shared" si="201"/>
        <v>4.32</v>
      </c>
      <c r="AP283" s="246">
        <v>0.25</v>
      </c>
      <c r="AQ283" s="194">
        <f t="shared" si="214"/>
        <v>1.08</v>
      </c>
      <c r="AR283" s="178">
        <f t="shared" si="215"/>
        <v>1944000</v>
      </c>
      <c r="AS283" s="178"/>
      <c r="AT283" s="178">
        <f>ROUND(AE283-AJ283+AL283+AN283+AR283,0)</f>
        <v>10086638</v>
      </c>
      <c r="AU283" s="469">
        <f t="shared" si="223"/>
        <v>265</v>
      </c>
      <c r="AV283" s="195"/>
      <c r="AW283" s="187" t="s">
        <v>703</v>
      </c>
    </row>
    <row r="284" spans="1:59" s="189" customFormat="1" ht="48.75" customHeight="1" x14ac:dyDescent="0.25">
      <c r="A284" s="168">
        <f>_xlfn.AGGREGATE(4,7,A$13:A283)+1</f>
        <v>266</v>
      </c>
      <c r="B284" s="168" t="s">
        <v>1501</v>
      </c>
      <c r="C284" s="660" t="s">
        <v>1566</v>
      </c>
      <c r="D284" s="169" t="s">
        <v>1482</v>
      </c>
      <c r="E284" s="263" t="s">
        <v>1674</v>
      </c>
      <c r="F284" s="220"/>
      <c r="G284" s="220"/>
      <c r="H284" s="220"/>
      <c r="I284" s="220"/>
      <c r="J284" s="220"/>
      <c r="K284" s="168">
        <v>212686412</v>
      </c>
      <c r="L284" s="490" t="s">
        <v>1488</v>
      </c>
      <c r="M284" s="170"/>
      <c r="N284" s="263" t="str">
        <f>VLOOKUP(D284,'[6]Bao cao So GDDT'!$D$14:$S$282,11,FALSE)</f>
        <v>Giảng viên GDNN LT (hạng III)</v>
      </c>
      <c r="O284" s="662" t="s">
        <v>1438</v>
      </c>
      <c r="P284" s="251"/>
      <c r="Q284" s="251"/>
      <c r="R284" s="177">
        <v>3.33</v>
      </c>
      <c r="S284" s="176"/>
      <c r="T284" s="220"/>
      <c r="U284" s="176">
        <f>ROUND(R284*T284/100,4)</f>
        <v>0</v>
      </c>
      <c r="V284" s="175"/>
      <c r="W284" s="170"/>
      <c r="X284" s="179">
        <v>0.06</v>
      </c>
      <c r="Y284" s="216">
        <f>ROUND((R284+U284+W284)*X284,4)</f>
        <v>0.19980000000000001</v>
      </c>
      <c r="Z284" s="216">
        <f>R284+U284+W284+Y284</f>
        <v>3.5298000000000003</v>
      </c>
      <c r="AA284" s="180">
        <f>ROUND(Z284*$D$8,0)</f>
        <v>6353640</v>
      </c>
      <c r="AB284" s="180"/>
      <c r="AC284" s="180">
        <f>AA284/24*AB284</f>
        <v>0</v>
      </c>
      <c r="AD284" s="180">
        <f>AA284/24*AB284*75%</f>
        <v>0</v>
      </c>
      <c r="AE284" s="180">
        <f>ROUND(AA284-AC284+AD284,0)</f>
        <v>6353640</v>
      </c>
      <c r="AF284" s="178">
        <f>AA284*8%</f>
        <v>508291.2</v>
      </c>
      <c r="AG284" s="178">
        <f>AA284*1.5%</f>
        <v>95304.599999999991</v>
      </c>
      <c r="AH284" s="178">
        <f>AA284*1%</f>
        <v>63536.4</v>
      </c>
      <c r="AI284" s="178"/>
      <c r="AJ284" s="178">
        <f>SUM(AF284:AI284)</f>
        <v>667132.20000000007</v>
      </c>
      <c r="AK284" s="192"/>
      <c r="AL284" s="182"/>
      <c r="AM284" s="182"/>
      <c r="AN284" s="182"/>
      <c r="AO284" s="183">
        <f>R284+U284+W284</f>
        <v>3.33</v>
      </c>
      <c r="AP284" s="640">
        <v>0.25</v>
      </c>
      <c r="AQ284" s="185">
        <f>ROUND(AO284*AP284,4)</f>
        <v>0.83250000000000002</v>
      </c>
      <c r="AR284" s="178">
        <f>ROUND(AQ284*$D$8,0)</f>
        <v>1498500</v>
      </c>
      <c r="AS284" s="178"/>
      <c r="AT284" s="178">
        <f>ROUND(AE284-AJ284+AL284+AN284+AR284,0)</f>
        <v>7185008</v>
      </c>
      <c r="AU284" s="538">
        <f>A284</f>
        <v>266</v>
      </c>
      <c r="AV284" s="195"/>
      <c r="AW284" s="195" t="s">
        <v>1481</v>
      </c>
    </row>
    <row r="285" spans="1:59" s="189" customFormat="1" ht="48.75" customHeight="1" x14ac:dyDescent="0.25">
      <c r="A285" s="471">
        <f>_xlfn.AGGREGATE(4,7,A$13:A284)+1</f>
        <v>267</v>
      </c>
      <c r="B285" s="471" t="str">
        <f>VLOOKUP(D285,[1]LuongBC_T01!$B$9:$C$292,2,FALSE)</f>
        <v>0016100006557001</v>
      </c>
      <c r="C285" s="431" t="s">
        <v>1006</v>
      </c>
      <c r="D285" s="432" t="s">
        <v>1231</v>
      </c>
      <c r="E285" s="296" t="s">
        <v>1676</v>
      </c>
      <c r="F285" s="432" t="s">
        <v>549</v>
      </c>
      <c r="G285" s="921"/>
      <c r="H285" s="921" t="s">
        <v>283</v>
      </c>
      <c r="I285" s="921"/>
      <c r="J285" s="921"/>
      <c r="K285" s="438" t="str">
        <f>VLOOKUP(D285,[2]T3!$B$2:$D$328,3,FALSE)</f>
        <v>046085000069</v>
      </c>
      <c r="L285" s="922" t="s">
        <v>1</v>
      </c>
      <c r="M285" s="922" t="s">
        <v>1006</v>
      </c>
      <c r="N285" s="296" t="str">
        <f>VLOOKUP(D285,'[6]Bao cao So GDDT'!$D$14:$S$282,11,FALSE)</f>
        <v>Giảng viên GDNN LT (hạng III)</v>
      </c>
      <c r="O285" s="923" t="s">
        <v>1438</v>
      </c>
      <c r="P285" s="650" t="s">
        <v>692</v>
      </c>
      <c r="Q285" s="434">
        <v>3</v>
      </c>
      <c r="R285" s="924">
        <v>3.66</v>
      </c>
      <c r="S285" s="436">
        <f>U285+W285+Y285</f>
        <v>0.43919999999999998</v>
      </c>
      <c r="T285" s="632"/>
      <c r="U285" s="436">
        <f t="shared" si="208"/>
        <v>0</v>
      </c>
      <c r="V285" s="445">
        <f>R285*T285*$D$8/100</f>
        <v>0</v>
      </c>
      <c r="W285" s="438"/>
      <c r="X285" s="439">
        <v>0.12</v>
      </c>
      <c r="Y285" s="440">
        <f t="shared" si="209"/>
        <v>0.43919999999999998</v>
      </c>
      <c r="Z285" s="440">
        <f t="shared" si="210"/>
        <v>4.0991999999999997</v>
      </c>
      <c r="AA285" s="238">
        <f t="shared" si="211"/>
        <v>7378560</v>
      </c>
      <c r="AB285" s="238"/>
      <c r="AC285" s="238">
        <f t="shared" si="218"/>
        <v>0</v>
      </c>
      <c r="AD285" s="238">
        <f>AA285/24*AB285*75%</f>
        <v>0</v>
      </c>
      <c r="AE285" s="238">
        <f t="shared" si="212"/>
        <v>7378560</v>
      </c>
      <c r="AF285" s="225">
        <f t="shared" si="220"/>
        <v>590284.80000000005</v>
      </c>
      <c r="AG285" s="225">
        <f t="shared" si="221"/>
        <v>110678.39999999999</v>
      </c>
      <c r="AH285" s="225">
        <f t="shared" si="222"/>
        <v>73785.600000000006</v>
      </c>
      <c r="AI285" s="225"/>
      <c r="AJ285" s="225">
        <f t="shared" si="213"/>
        <v>774748.8</v>
      </c>
      <c r="AK285" s="487"/>
      <c r="AL285" s="488">
        <f>AK285*$D$8</f>
        <v>0</v>
      </c>
      <c r="AM285" s="488"/>
      <c r="AN285" s="488"/>
      <c r="AO285" s="441">
        <f t="shared" si="201"/>
        <v>3.66</v>
      </c>
      <c r="AP285" s="664">
        <v>0.25</v>
      </c>
      <c r="AQ285" s="442">
        <f t="shared" si="214"/>
        <v>0.91500000000000004</v>
      </c>
      <c r="AR285" s="225">
        <f t="shared" si="215"/>
        <v>1647000</v>
      </c>
      <c r="AS285" s="225"/>
      <c r="AT285" s="225">
        <f>ROUND(AE285-AJ285+AL285+AN285+AR285,0)</f>
        <v>8250811</v>
      </c>
      <c r="AU285" s="470">
        <f t="shared" si="223"/>
        <v>267</v>
      </c>
      <c r="AV285" s="542"/>
      <c r="AW285" s="198" t="s">
        <v>703</v>
      </c>
    </row>
    <row r="286" spans="1:59" s="191" customFormat="1" ht="35.25" customHeight="1" x14ac:dyDescent="0.25">
      <c r="A286" s="571"/>
      <c r="B286" s="571"/>
      <c r="C286" s="573"/>
      <c r="D286" s="573" t="s">
        <v>1417</v>
      </c>
      <c r="E286" s="574"/>
      <c r="F286" s="575"/>
      <c r="G286" s="576"/>
      <c r="H286" s="575"/>
      <c r="I286" s="575"/>
      <c r="J286" s="575"/>
      <c r="K286" s="577"/>
      <c r="L286" s="578"/>
      <c r="M286" s="578"/>
      <c r="N286" s="578"/>
      <c r="O286" s="579"/>
      <c r="P286" s="577"/>
      <c r="Q286" s="577"/>
      <c r="R286" s="580">
        <f>SUM(R87:R285)</f>
        <v>704.62</v>
      </c>
      <c r="S286" s="580">
        <f>SUM(S132:S285)</f>
        <v>63.549900000000001</v>
      </c>
      <c r="T286" s="580">
        <f>SUM(T132:T285)</f>
        <v>0</v>
      </c>
      <c r="U286" s="580">
        <f>SUM(U87:U285)</f>
        <v>0</v>
      </c>
      <c r="V286" s="580">
        <f>SUM(V132:V285)</f>
        <v>0</v>
      </c>
      <c r="W286" s="580">
        <f t="shared" ref="W286:AN286" si="224">SUM(W87:W285)</f>
        <v>13.399999999999997</v>
      </c>
      <c r="X286" s="580">
        <f t="shared" si="224"/>
        <v>16.11000000000001</v>
      </c>
      <c r="Y286" s="581">
        <f t="shared" si="224"/>
        <v>62.733599999999988</v>
      </c>
      <c r="Z286" s="581">
        <f t="shared" si="224"/>
        <v>780.75359999999978</v>
      </c>
      <c r="AA286" s="582">
        <f t="shared" si="224"/>
        <v>1405356480</v>
      </c>
      <c r="AB286" s="582">
        <f t="shared" si="224"/>
        <v>24.4</v>
      </c>
      <c r="AC286" s="582">
        <f t="shared" si="224"/>
        <v>9971640</v>
      </c>
      <c r="AD286" s="582">
        <f t="shared" si="224"/>
        <v>0</v>
      </c>
      <c r="AE286" s="582">
        <f t="shared" si="224"/>
        <v>1395384840</v>
      </c>
      <c r="AF286" s="582">
        <f t="shared" si="224"/>
        <v>111832963.19999999</v>
      </c>
      <c r="AG286" s="582">
        <f t="shared" si="224"/>
        <v>20905500.600000001</v>
      </c>
      <c r="AH286" s="582">
        <f t="shared" si="224"/>
        <v>13979120.399999999</v>
      </c>
      <c r="AI286" s="582">
        <f t="shared" si="224"/>
        <v>0</v>
      </c>
      <c r="AJ286" s="582">
        <f t="shared" si="224"/>
        <v>146717584.19999999</v>
      </c>
      <c r="AK286" s="583">
        <f t="shared" si="224"/>
        <v>0</v>
      </c>
      <c r="AL286" s="582">
        <f t="shared" si="224"/>
        <v>0</v>
      </c>
      <c r="AM286" s="582">
        <f t="shared" si="224"/>
        <v>0</v>
      </c>
      <c r="AN286" s="582">
        <f t="shared" si="224"/>
        <v>0</v>
      </c>
      <c r="AO286" s="582">
        <f ca="1">SUM(AO78:AO285)</f>
        <v>602.84600000000057</v>
      </c>
      <c r="AP286" s="582">
        <f ca="1">SUM(AP78:AP285)</f>
        <v>39.899999999999991</v>
      </c>
      <c r="AQ286" s="584">
        <f>SUM(AQ87:AQ285)</f>
        <v>144.15850000000009</v>
      </c>
      <c r="AR286" s="582">
        <f>SUM(AR87:AR285)</f>
        <v>259485300</v>
      </c>
      <c r="AS286" s="582" t="e">
        <f>SUM(AS78:AS285)</f>
        <v>#REF!</v>
      </c>
      <c r="AT286" s="582">
        <f>SUM(AT87:AT285)-4</f>
        <v>1508152556</v>
      </c>
      <c r="AU286" s="585"/>
      <c r="AV286" s="586"/>
      <c r="AW286" s="825"/>
      <c r="AX286" s="552"/>
      <c r="AY286" s="552"/>
      <c r="AZ286" s="552"/>
      <c r="BA286" s="552"/>
      <c r="BB286" s="552"/>
      <c r="BC286" s="552"/>
      <c r="BD286" s="552"/>
      <c r="BE286" s="552"/>
      <c r="BF286" s="552"/>
      <c r="BG286" s="552"/>
    </row>
    <row r="287" spans="1:59" s="99" customFormat="1" ht="22.5" customHeight="1" x14ac:dyDescent="0.25">
      <c r="A287" s="31"/>
      <c r="B287" s="31"/>
      <c r="C287" s="866"/>
      <c r="D287" s="118" t="s">
        <v>26</v>
      </c>
      <c r="E287" s="265"/>
      <c r="F287" s="118"/>
      <c r="G287" s="118">
        <f>COUNTIF(G132:G286,"x")</f>
        <v>42</v>
      </c>
      <c r="H287" s="118"/>
      <c r="I287" s="118"/>
      <c r="J287" s="118"/>
      <c r="K287" s="118"/>
      <c r="L287" s="119"/>
      <c r="M287" s="119"/>
      <c r="N287" s="119"/>
      <c r="O287" s="394"/>
      <c r="P287" s="120"/>
      <c r="Q287" s="103"/>
      <c r="R287" s="414">
        <f>R76+R84+R286</f>
        <v>1014.8939999999998</v>
      </c>
      <c r="S287" s="415"/>
      <c r="T287" s="416"/>
      <c r="U287" s="417">
        <f>U286+U84+U76</f>
        <v>13.4038</v>
      </c>
      <c r="V287" s="380" t="e">
        <f>V76+V84+#REF!</f>
        <v>#REF!</v>
      </c>
      <c r="W287" s="410">
        <f>W76+W84+W286</f>
        <v>22.799999999999997</v>
      </c>
      <c r="X287" s="380"/>
      <c r="Y287" s="413">
        <f>Y76+Y84+Y286</f>
        <v>125.30379999999998</v>
      </c>
      <c r="Z287" s="409">
        <f>Z76+Z84+Z286</f>
        <v>1176.4015999999999</v>
      </c>
      <c r="AA287" s="315">
        <f>AA76+AA84+AA286</f>
        <v>2117522880</v>
      </c>
      <c r="AB287" s="411"/>
      <c r="AC287" s="380">
        <f>AC76+AC84+AC286</f>
        <v>13551840</v>
      </c>
      <c r="AD287" s="411"/>
      <c r="AE287" s="234">
        <f>AE76+AE84+AE286</f>
        <v>2103971040</v>
      </c>
      <c r="AF287" s="380">
        <f>AF76+AF84+AF286</f>
        <v>168519859.19999999</v>
      </c>
      <c r="AG287" s="380">
        <f t="shared" ref="AG287:AN287" si="225">AG76+AG84+AG286</f>
        <v>31534293.600000001</v>
      </c>
      <c r="AH287" s="380">
        <f t="shared" si="225"/>
        <v>21064982.399999999</v>
      </c>
      <c r="AI287" s="380">
        <f t="shared" si="225"/>
        <v>0</v>
      </c>
      <c r="AJ287" s="380">
        <f>AJ76+AJ84+AJ286</f>
        <v>221119135.19999999</v>
      </c>
      <c r="AK287" s="412">
        <f t="shared" si="225"/>
        <v>0.2</v>
      </c>
      <c r="AL287" s="380">
        <f t="shared" si="225"/>
        <v>360000</v>
      </c>
      <c r="AM287" s="412">
        <f t="shared" si="225"/>
        <v>0</v>
      </c>
      <c r="AN287" s="380">
        <f t="shared" si="225"/>
        <v>0</v>
      </c>
      <c r="AO287" s="499" t="e">
        <f ca="1">AO76+AO84+#REF!</f>
        <v>#REF!</v>
      </c>
      <c r="AP287" s="411" t="e">
        <f ca="1">AP76+AP84+#REF!</f>
        <v>#REF!</v>
      </c>
      <c r="AQ287" s="409">
        <f>AQ76+AQ84+AQ286</f>
        <v>217.93780000000007</v>
      </c>
      <c r="AR287" s="380">
        <f>AR76+AR84+AR286</f>
        <v>392288040</v>
      </c>
      <c r="AS287" s="380" t="e">
        <f>AS76+AS84+#REF!</f>
        <v>#REF!</v>
      </c>
      <c r="AT287" s="380">
        <f>AT76+AT84+AT286</f>
        <v>2275499945</v>
      </c>
      <c r="AU287" s="156"/>
      <c r="AV287" s="145"/>
      <c r="AW287" s="70"/>
      <c r="AX287" s="29"/>
      <c r="AY287" s="29"/>
      <c r="AZ287" s="29"/>
      <c r="BA287" s="29"/>
      <c r="BB287" s="29"/>
      <c r="BC287" s="29"/>
      <c r="BD287" s="29"/>
      <c r="BE287" s="29"/>
      <c r="BF287" s="29"/>
      <c r="BG287" s="29"/>
    </row>
    <row r="288" spans="1:59" s="23" customFormat="1" ht="10.5" customHeight="1" x14ac:dyDescent="0.25">
      <c r="A288" s="16"/>
      <c r="B288" s="16"/>
      <c r="C288" s="867"/>
      <c r="D288" s="17"/>
      <c r="E288" s="266"/>
      <c r="F288" s="17"/>
      <c r="G288" s="62"/>
      <c r="H288" s="62"/>
      <c r="I288" s="62"/>
      <c r="J288" s="17"/>
      <c r="K288" s="62"/>
      <c r="L288" s="17"/>
      <c r="M288" s="17"/>
      <c r="N288" s="17"/>
      <c r="O288" s="424" t="s">
        <v>52</v>
      </c>
      <c r="P288" s="18"/>
      <c r="Q288" s="16"/>
      <c r="R288" s="19"/>
      <c r="S288" s="338"/>
      <c r="T288" s="354"/>
      <c r="U288" s="21"/>
      <c r="V288" s="20"/>
      <c r="W288" s="16"/>
      <c r="X288" s="138"/>
      <c r="Y288" s="22"/>
      <c r="Z288" s="22"/>
      <c r="AA288" s="38"/>
      <c r="AB288" s="38"/>
      <c r="AC288" s="38"/>
      <c r="AD288" s="38"/>
      <c r="AE288" s="38"/>
      <c r="AF288" s="22"/>
      <c r="AG288" s="22"/>
      <c r="AH288" s="22"/>
      <c r="AI288" s="22"/>
      <c r="AJ288" s="22"/>
      <c r="AL288" s="22"/>
      <c r="AM288" s="22"/>
      <c r="AN288" s="22"/>
      <c r="AO288" s="500"/>
      <c r="AP288" s="646"/>
      <c r="AQ288" s="45"/>
      <c r="AR288" s="22"/>
      <c r="AS288" s="24"/>
      <c r="AT288" s="24"/>
      <c r="AV288" s="70"/>
      <c r="AW288" s="70"/>
    </row>
    <row r="289" spans="1:59" s="314" customFormat="1" ht="57" customHeight="1" x14ac:dyDescent="0.2">
      <c r="A289" s="308"/>
      <c r="B289" s="308"/>
      <c r="C289" s="868"/>
      <c r="D289" s="265" t="s">
        <v>721</v>
      </c>
      <c r="E289" s="265" t="s">
        <v>722</v>
      </c>
      <c r="F289" s="265"/>
      <c r="G289" s="132" t="s">
        <v>280</v>
      </c>
      <c r="H289" s="132"/>
      <c r="I289" s="132">
        <f>COUNTIF(I$13:I$286,"QL")</f>
        <v>1</v>
      </c>
      <c r="J289" s="132" t="s">
        <v>548</v>
      </c>
      <c r="K289" s="132"/>
      <c r="L289" s="118"/>
      <c r="M289" s="118"/>
      <c r="N289" s="118"/>
      <c r="O289" s="394" t="s">
        <v>53</v>
      </c>
      <c r="P289" s="309" t="s">
        <v>722</v>
      </c>
      <c r="Q289" s="310" t="s">
        <v>22</v>
      </c>
      <c r="R289" s="311" t="s">
        <v>1066</v>
      </c>
      <c r="S289" s="339" t="s">
        <v>1067</v>
      </c>
      <c r="T289" s="355" t="s">
        <v>57</v>
      </c>
      <c r="U289" s="310" t="s">
        <v>1068</v>
      </c>
      <c r="V289" s="122" t="s">
        <v>723</v>
      </c>
      <c r="W289" s="310" t="s">
        <v>1069</v>
      </c>
      <c r="X289" s="140" t="s">
        <v>690</v>
      </c>
      <c r="Y289" s="121" t="s">
        <v>1070</v>
      </c>
      <c r="Z289" s="121" t="s">
        <v>827</v>
      </c>
      <c r="AA289" s="121" t="s">
        <v>718</v>
      </c>
      <c r="AB289" s="121"/>
      <c r="AC289" s="121" t="s">
        <v>1058</v>
      </c>
      <c r="AD289" s="121" t="s">
        <v>1059</v>
      </c>
      <c r="AE289" s="121" t="s">
        <v>1060</v>
      </c>
      <c r="AF289" s="121" t="s">
        <v>694</v>
      </c>
      <c r="AG289" s="121" t="s">
        <v>695</v>
      </c>
      <c r="AH289" s="121" t="s">
        <v>522</v>
      </c>
      <c r="AI289" s="121" t="s">
        <v>831</v>
      </c>
      <c r="AJ289" s="121" t="s">
        <v>1065</v>
      </c>
      <c r="AK289" s="310" t="s">
        <v>693</v>
      </c>
      <c r="AL289" s="121" t="s">
        <v>1111</v>
      </c>
      <c r="AM289" s="310" t="s">
        <v>693</v>
      </c>
      <c r="AN289" s="121" t="s">
        <v>1112</v>
      </c>
      <c r="AO289" s="570"/>
      <c r="AP289" s="140"/>
      <c r="AQ289" s="312" t="s">
        <v>1110</v>
      </c>
      <c r="AR289" s="121" t="s">
        <v>547</v>
      </c>
      <c r="AS289" s="122" t="s">
        <v>555</v>
      </c>
      <c r="AT289" s="121" t="s">
        <v>1071</v>
      </c>
      <c r="AU289" s="313"/>
      <c r="AV289" s="70"/>
      <c r="AW289" s="70"/>
      <c r="AX289" s="554"/>
      <c r="AY289" s="554"/>
      <c r="AZ289" s="554"/>
      <c r="BA289" s="554"/>
      <c r="BB289" s="554"/>
      <c r="BC289" s="554"/>
      <c r="BD289" s="554"/>
      <c r="BE289" s="554"/>
      <c r="BF289" s="554"/>
      <c r="BG289" s="554"/>
    </row>
    <row r="290" spans="1:59" ht="26.25" customHeight="1" x14ac:dyDescent="0.25">
      <c r="A290" s="16"/>
      <c r="B290" s="16"/>
      <c r="C290" s="868"/>
      <c r="D290" s="3" t="s">
        <v>724</v>
      </c>
      <c r="E290" s="267">
        <f>COUNTA(A14:A75)</f>
        <v>62</v>
      </c>
      <c r="F290" s="3"/>
      <c r="G290" s="25" t="s">
        <v>281</v>
      </c>
      <c r="H290" s="25"/>
      <c r="I290" s="50">
        <f>COUNTIF(I$13:I$286,"PPK")</f>
        <v>6</v>
      </c>
      <c r="J290" s="25"/>
      <c r="K290" s="25"/>
      <c r="L290" s="25"/>
      <c r="M290" s="25"/>
      <c r="N290" s="25"/>
      <c r="O290" s="395">
        <v>22</v>
      </c>
      <c r="P290" s="36">
        <v>105</v>
      </c>
      <c r="Q290" s="25">
        <v>40</v>
      </c>
      <c r="R290" s="322">
        <f t="shared" ref="R290:AA290" si="226">R76</f>
        <v>298.05999999999983</v>
      </c>
      <c r="S290" s="340">
        <f t="shared" si="226"/>
        <v>85.374000000000038</v>
      </c>
      <c r="T290" s="356">
        <f t="shared" si="226"/>
        <v>13.4038</v>
      </c>
      <c r="U290" s="323">
        <f t="shared" si="226"/>
        <v>13.4038</v>
      </c>
      <c r="V290" s="15">
        <f t="shared" si="226"/>
        <v>24126840</v>
      </c>
      <c r="W290" s="319">
        <f t="shared" si="226"/>
        <v>9.3999999999999986</v>
      </c>
      <c r="X290" s="33">
        <f t="shared" si="226"/>
        <v>0</v>
      </c>
      <c r="Y290" s="368">
        <f t="shared" si="226"/>
        <v>62.570199999999993</v>
      </c>
      <c r="Z290" s="368">
        <f t="shared" si="226"/>
        <v>383.4340000000002</v>
      </c>
      <c r="AA290" s="318">
        <f t="shared" si="226"/>
        <v>690181200</v>
      </c>
      <c r="AB290" s="33"/>
      <c r="AC290" s="318">
        <f t="shared" ref="AC290:AN290" si="227">AC76</f>
        <v>0</v>
      </c>
      <c r="AD290" s="319">
        <f t="shared" si="227"/>
        <v>0</v>
      </c>
      <c r="AE290" s="318">
        <f t="shared" si="227"/>
        <v>690181200</v>
      </c>
      <c r="AF290" s="49">
        <f t="shared" si="227"/>
        <v>55214496.000000015</v>
      </c>
      <c r="AG290" s="49">
        <f t="shared" si="227"/>
        <v>10352718</v>
      </c>
      <c r="AH290" s="49">
        <f t="shared" si="227"/>
        <v>6901812.0000000019</v>
      </c>
      <c r="AI290" s="73">
        <f t="shared" si="227"/>
        <v>0</v>
      </c>
      <c r="AJ290" s="49">
        <f t="shared" si="227"/>
        <v>72469026</v>
      </c>
      <c r="AK290" s="73">
        <f t="shared" si="227"/>
        <v>0.2</v>
      </c>
      <c r="AL290" s="49">
        <f t="shared" si="227"/>
        <v>360000</v>
      </c>
      <c r="AM290" s="73">
        <f t="shared" si="227"/>
        <v>0</v>
      </c>
      <c r="AN290" s="49">
        <f t="shared" si="227"/>
        <v>0</v>
      </c>
      <c r="AO290" s="501">
        <f>SUM(AO15:AO75)</f>
        <v>308.22779999999989</v>
      </c>
      <c r="AP290" s="642"/>
      <c r="AQ290" s="321">
        <f>SUM(AQ14:AQ75)</f>
        <v>70.725499999999982</v>
      </c>
      <c r="AR290" s="49">
        <f>AR76</f>
        <v>127305900</v>
      </c>
      <c r="AS290" s="48"/>
      <c r="AT290" s="15">
        <f>AT76</f>
        <v>745378074</v>
      </c>
      <c r="AU290" s="26"/>
      <c r="AV290" s="254"/>
      <c r="AW290" s="70"/>
    </row>
    <row r="291" spans="1:59" ht="26.25" customHeight="1" x14ac:dyDescent="0.25">
      <c r="A291" s="16"/>
      <c r="B291" s="16"/>
      <c r="C291" s="868"/>
      <c r="D291" s="3" t="s">
        <v>725</v>
      </c>
      <c r="E291" s="267">
        <f>COUNTA(A78:A83)</f>
        <v>6</v>
      </c>
      <c r="F291" s="3"/>
      <c r="G291" s="25" t="s">
        <v>282</v>
      </c>
      <c r="H291" s="25"/>
      <c r="I291" s="50">
        <f>COUNTIF(I$13:I$286,"TT")</f>
        <v>10</v>
      </c>
      <c r="J291" s="25"/>
      <c r="K291" s="25"/>
      <c r="L291" s="25"/>
      <c r="M291" s="25"/>
      <c r="N291" s="25"/>
      <c r="O291" s="395">
        <v>5</v>
      </c>
      <c r="P291" s="35">
        <v>12</v>
      </c>
      <c r="Q291" s="25">
        <v>9</v>
      </c>
      <c r="R291" s="324">
        <f t="shared" ref="R291:AA291" si="228">R84</f>
        <v>12.214000000000002</v>
      </c>
      <c r="S291" s="340">
        <f t="shared" si="228"/>
        <v>0</v>
      </c>
      <c r="T291" s="356">
        <f t="shared" si="228"/>
        <v>0</v>
      </c>
      <c r="U291" s="325">
        <f t="shared" si="228"/>
        <v>0</v>
      </c>
      <c r="V291" s="15">
        <f t="shared" si="228"/>
        <v>0</v>
      </c>
      <c r="W291" s="319">
        <f t="shared" si="228"/>
        <v>0</v>
      </c>
      <c r="X291" s="33">
        <f t="shared" ca="1" si="228"/>
        <v>0</v>
      </c>
      <c r="Y291" s="368">
        <f t="shared" si="228"/>
        <v>0</v>
      </c>
      <c r="Z291" s="368">
        <f t="shared" si="228"/>
        <v>12.214000000000002</v>
      </c>
      <c r="AA291" s="318">
        <f t="shared" si="228"/>
        <v>21985200</v>
      </c>
      <c r="AB291" s="33"/>
      <c r="AC291" s="318">
        <f t="shared" ref="AC291:AH291" si="229">AC84</f>
        <v>3580200</v>
      </c>
      <c r="AD291" s="319">
        <f t="shared" si="229"/>
        <v>0</v>
      </c>
      <c r="AE291" s="318">
        <f t="shared" si="229"/>
        <v>18405000</v>
      </c>
      <c r="AF291" s="49">
        <f t="shared" si="229"/>
        <v>1472400</v>
      </c>
      <c r="AG291" s="49">
        <f t="shared" si="229"/>
        <v>276075</v>
      </c>
      <c r="AH291" s="49">
        <f t="shared" si="229"/>
        <v>184050</v>
      </c>
      <c r="AI291" s="73">
        <f>AI77</f>
        <v>0</v>
      </c>
      <c r="AJ291" s="49">
        <f t="shared" ref="AJ291:AT291" si="230">AJ84</f>
        <v>1932525</v>
      </c>
      <c r="AK291" s="73">
        <f t="shared" si="230"/>
        <v>0</v>
      </c>
      <c r="AL291" s="49">
        <f t="shared" si="230"/>
        <v>0</v>
      </c>
      <c r="AM291" s="73">
        <f t="shared" si="230"/>
        <v>0</v>
      </c>
      <c r="AN291" s="49">
        <f t="shared" si="230"/>
        <v>0</v>
      </c>
      <c r="AO291" s="501">
        <f t="shared" ca="1" si="230"/>
        <v>3.9780000000000002</v>
      </c>
      <c r="AP291" s="643">
        <f t="shared" ca="1" si="230"/>
        <v>0.5</v>
      </c>
      <c r="AQ291" s="320">
        <f t="shared" si="230"/>
        <v>3.0538000000000003</v>
      </c>
      <c r="AR291" s="49">
        <f t="shared" si="230"/>
        <v>5496840</v>
      </c>
      <c r="AS291" s="49" t="e">
        <f t="shared" si="230"/>
        <v>#REF!</v>
      </c>
      <c r="AT291" s="49">
        <f t="shared" si="230"/>
        <v>21969315</v>
      </c>
      <c r="AU291" s="26"/>
      <c r="AV291" s="254"/>
      <c r="AW291" s="70"/>
    </row>
    <row r="292" spans="1:59" ht="26.25" customHeight="1" x14ac:dyDescent="0.25">
      <c r="A292" s="16"/>
      <c r="B292" s="16"/>
      <c r="C292" s="868"/>
      <c r="D292" s="3" t="s">
        <v>726</v>
      </c>
      <c r="E292" s="267">
        <f>COUNTA(A87:A285)</f>
        <v>199</v>
      </c>
      <c r="F292" s="3"/>
      <c r="G292" s="25"/>
      <c r="H292" s="25"/>
      <c r="I292" s="50"/>
      <c r="J292" s="25"/>
      <c r="K292" s="25"/>
      <c r="L292" s="25"/>
      <c r="M292" s="25"/>
      <c r="N292" s="25"/>
      <c r="O292" s="395">
        <v>86</v>
      </c>
      <c r="P292" s="35"/>
      <c r="Q292" s="25"/>
      <c r="R292" s="324">
        <f>R286</f>
        <v>704.62</v>
      </c>
      <c r="S292" s="340"/>
      <c r="T292" s="356"/>
      <c r="U292" s="325">
        <f>U286</f>
        <v>0</v>
      </c>
      <c r="V292" s="15"/>
      <c r="W292" s="319">
        <f>W286</f>
        <v>13.399999999999997</v>
      </c>
      <c r="X292" s="33">
        <f>X286</f>
        <v>16.11000000000001</v>
      </c>
      <c r="Y292" s="368">
        <f t="shared" ref="Y292:AA293" si="231">Y286</f>
        <v>62.733599999999988</v>
      </c>
      <c r="Z292" s="368">
        <f t="shared" si="231"/>
        <v>780.75359999999978</v>
      </c>
      <c r="AA292" s="318">
        <f t="shared" si="231"/>
        <v>1405356480</v>
      </c>
      <c r="AB292" s="33"/>
      <c r="AC292" s="318">
        <f t="shared" ref="AC292:AE293" si="232">AC286</f>
        <v>9971640</v>
      </c>
      <c r="AD292" s="319">
        <f t="shared" si="232"/>
        <v>0</v>
      </c>
      <c r="AE292" s="318">
        <f t="shared" si="232"/>
        <v>1395384840</v>
      </c>
      <c r="AF292" s="49">
        <f t="shared" ref="AF292:AN292" si="233">AF286</f>
        <v>111832963.19999999</v>
      </c>
      <c r="AG292" s="49">
        <f t="shared" si="233"/>
        <v>20905500.600000001</v>
      </c>
      <c r="AH292" s="49">
        <f t="shared" si="233"/>
        <v>13979120.399999999</v>
      </c>
      <c r="AI292" s="73">
        <f t="shared" si="233"/>
        <v>0</v>
      </c>
      <c r="AJ292" s="49">
        <f t="shared" si="233"/>
        <v>146717584.19999999</v>
      </c>
      <c r="AK292" s="73">
        <f t="shared" si="233"/>
        <v>0</v>
      </c>
      <c r="AL292" s="49">
        <f t="shared" si="233"/>
        <v>0</v>
      </c>
      <c r="AM292" s="73">
        <f t="shared" si="233"/>
        <v>0</v>
      </c>
      <c r="AN292" s="49">
        <f t="shared" si="233"/>
        <v>0</v>
      </c>
      <c r="AO292" s="501"/>
      <c r="AP292" s="643"/>
      <c r="AQ292" s="320">
        <f>AQ286</f>
        <v>144.15850000000009</v>
      </c>
      <c r="AR292" s="49">
        <f>AR286</f>
        <v>259485300</v>
      </c>
      <c r="AS292" s="49"/>
      <c r="AT292" s="49">
        <f>AT286</f>
        <v>1508152556</v>
      </c>
      <c r="AU292" s="26"/>
      <c r="AV292" s="254"/>
      <c r="AW292" s="70"/>
    </row>
    <row r="293" spans="1:59" ht="26.25" customHeight="1" x14ac:dyDescent="0.25">
      <c r="C293" s="868"/>
      <c r="D293" s="3" t="s">
        <v>26</v>
      </c>
      <c r="E293" s="267">
        <f>SUM(E290:E292)</f>
        <v>267</v>
      </c>
      <c r="F293" s="3"/>
      <c r="G293" s="25" t="s">
        <v>284</v>
      </c>
      <c r="H293" s="25"/>
      <c r="I293" s="50">
        <f>COUNTIF(I$13:I$286,"NV")</f>
        <v>34</v>
      </c>
      <c r="J293" s="50">
        <f>SUM(I289:I293)</f>
        <v>51</v>
      </c>
      <c r="K293" s="50"/>
      <c r="L293" s="3"/>
      <c r="M293" s="3"/>
      <c r="N293" s="3"/>
      <c r="O293" s="396">
        <f>SUM(O290:O292)</f>
        <v>113</v>
      </c>
      <c r="P293" s="37" t="e">
        <f>P290+P291+#REF!</f>
        <v>#REF!</v>
      </c>
      <c r="Q293" s="37" t="e">
        <f>Q290+Q291+#REF!</f>
        <v>#REF!</v>
      </c>
      <c r="R293" s="53">
        <f>R287</f>
        <v>1014.8939999999998</v>
      </c>
      <c r="S293" s="341" t="e">
        <f>S290+S291+#REF!</f>
        <v>#REF!</v>
      </c>
      <c r="T293" s="357" t="e">
        <f>T290+T291+#REF!</f>
        <v>#REF!</v>
      </c>
      <c r="U293" s="366">
        <f>U287</f>
        <v>13.4038</v>
      </c>
      <c r="V293" s="27" t="e">
        <f>V290+V291+#REF!</f>
        <v>#REF!</v>
      </c>
      <c r="W293" s="74">
        <f>W287</f>
        <v>22.799999999999997</v>
      </c>
      <c r="X293" s="32">
        <f>X287</f>
        <v>0</v>
      </c>
      <c r="Y293" s="369">
        <f t="shared" si="231"/>
        <v>125.30379999999998</v>
      </c>
      <c r="Z293" s="369">
        <f t="shared" si="231"/>
        <v>1176.4015999999999</v>
      </c>
      <c r="AA293" s="305">
        <f t="shared" si="231"/>
        <v>2117522880</v>
      </c>
      <c r="AB293" s="32"/>
      <c r="AC293" s="305">
        <f t="shared" si="232"/>
        <v>13551840</v>
      </c>
      <c r="AD293" s="557">
        <f t="shared" si="232"/>
        <v>0</v>
      </c>
      <c r="AE293" s="305">
        <f t="shared" si="232"/>
        <v>2103971040</v>
      </c>
      <c r="AF293" s="558">
        <f t="shared" ref="AF293:AN293" si="234">AF287</f>
        <v>168519859.19999999</v>
      </c>
      <c r="AG293" s="558">
        <f t="shared" si="234"/>
        <v>31534293.600000001</v>
      </c>
      <c r="AH293" s="558">
        <f t="shared" si="234"/>
        <v>21064982.399999999</v>
      </c>
      <c r="AI293" s="559">
        <f t="shared" si="234"/>
        <v>0</v>
      </c>
      <c r="AJ293" s="558">
        <f t="shared" si="234"/>
        <v>221119135.19999999</v>
      </c>
      <c r="AK293" s="559">
        <f t="shared" si="234"/>
        <v>0.2</v>
      </c>
      <c r="AL293" s="558">
        <f t="shared" si="234"/>
        <v>360000</v>
      </c>
      <c r="AM293" s="559">
        <f t="shared" si="234"/>
        <v>0</v>
      </c>
      <c r="AN293" s="558">
        <f t="shared" si="234"/>
        <v>0</v>
      </c>
      <c r="AO293" s="558" t="e">
        <f ca="1">AO290+AO291+AO292+#REF!</f>
        <v>#REF!</v>
      </c>
      <c r="AP293" s="558" t="e">
        <f ca="1">AP290+AP291+AP292+#REF!</f>
        <v>#REF!</v>
      </c>
      <c r="AQ293" s="560">
        <f>AQ287</f>
        <v>217.93780000000007</v>
      </c>
      <c r="AR293" s="558">
        <f>AR287</f>
        <v>392288040</v>
      </c>
      <c r="AS293" s="558" t="e">
        <f>AS290+AS291+AS292+#REF!</f>
        <v>#REF!</v>
      </c>
      <c r="AT293" s="558">
        <f>AT287</f>
        <v>2275499945</v>
      </c>
      <c r="AU293" s="26"/>
      <c r="AV293" s="70"/>
      <c r="AW293" s="51"/>
    </row>
    <row r="294" spans="1:59" ht="4.5" customHeight="1" x14ac:dyDescent="0.25">
      <c r="I294" s="47"/>
      <c r="AL294" s="9"/>
      <c r="AM294" s="9"/>
      <c r="AN294" s="9"/>
      <c r="AO294" s="502"/>
      <c r="AQ294" s="46"/>
      <c r="AR294" s="9"/>
      <c r="AV294" s="43"/>
      <c r="AW294" s="51"/>
    </row>
    <row r="295" spans="1:59" ht="19.5" customHeight="1" x14ac:dyDescent="0.25">
      <c r="C295" s="869"/>
      <c r="D295" s="516" t="s">
        <v>1372</v>
      </c>
      <c r="E295" s="668" t="s">
        <v>1685</v>
      </c>
      <c r="F295" s="317"/>
      <c r="G295" s="317"/>
      <c r="H295" s="317"/>
      <c r="I295" s="317"/>
      <c r="J295" s="317"/>
      <c r="K295" s="510"/>
      <c r="L295" s="317"/>
      <c r="M295" s="317"/>
      <c r="N295" s="317"/>
      <c r="O295" s="421"/>
      <c r="P295" s="317"/>
      <c r="Q295" s="317"/>
      <c r="R295" s="317"/>
      <c r="S295" s="342"/>
      <c r="T295" s="358"/>
      <c r="U295" s="317"/>
      <c r="V295" s="317"/>
      <c r="W295" s="317"/>
      <c r="X295" s="317"/>
      <c r="Y295" s="317"/>
      <c r="AP295" s="647"/>
      <c r="AV295" s="51"/>
      <c r="AW295" s="5"/>
    </row>
    <row r="296" spans="1:59" ht="6.75" customHeight="1" x14ac:dyDescent="0.25">
      <c r="G296" s="4"/>
      <c r="H296" s="4"/>
      <c r="I296" s="4"/>
      <c r="J296" s="1"/>
      <c r="K296" s="4"/>
      <c r="L296" s="1"/>
      <c r="M296" s="1"/>
      <c r="N296" s="1"/>
      <c r="O296" s="425"/>
      <c r="Q296" s="1"/>
      <c r="AV296" s="51"/>
      <c r="AW296" s="4"/>
    </row>
    <row r="297" spans="1:59" ht="15" customHeight="1" x14ac:dyDescent="0.25">
      <c r="E297" s="654"/>
      <c r="O297" s="425"/>
      <c r="AL297" s="1040" t="s">
        <v>1682</v>
      </c>
      <c r="AM297" s="1040"/>
      <c r="AN297" s="1040"/>
      <c r="AO297" s="1040"/>
      <c r="AP297" s="1040"/>
      <c r="AQ297" s="1040"/>
      <c r="AR297" s="1040"/>
      <c r="AS297" s="1040"/>
      <c r="AT297" s="1040"/>
      <c r="AU297" s="1040"/>
      <c r="AV297" s="1040"/>
      <c r="AW297" s="4"/>
    </row>
    <row r="298" spans="1:59" ht="18.75" customHeight="1" x14ac:dyDescent="0.25">
      <c r="D298" s="994" t="s">
        <v>27</v>
      </c>
      <c r="E298" s="994"/>
      <c r="F298" s="994"/>
      <c r="G298" s="994"/>
      <c r="H298" s="994"/>
      <c r="I298" s="994"/>
      <c r="J298" s="994"/>
      <c r="K298" s="994"/>
      <c r="L298" s="994"/>
      <c r="M298" s="994"/>
      <c r="N298" s="994"/>
      <c r="O298" s="994"/>
      <c r="P298" s="994"/>
      <c r="Q298" s="994"/>
      <c r="R298" s="994"/>
      <c r="S298" s="994"/>
      <c r="X298" s="852"/>
      <c r="Y298" s="852"/>
      <c r="Z298" s="994" t="s">
        <v>1114</v>
      </c>
      <c r="AA298" s="994"/>
      <c r="AB298" s="994"/>
      <c r="AC298" s="994"/>
      <c r="AD298" s="994"/>
      <c r="AE298" s="994"/>
      <c r="AF298" s="994"/>
      <c r="AG298" s="994"/>
      <c r="AH298" s="994"/>
      <c r="AI298" s="994"/>
      <c r="AJ298" s="994"/>
      <c r="AK298" s="1"/>
      <c r="AL298" s="994" t="s">
        <v>176</v>
      </c>
      <c r="AM298" s="994"/>
      <c r="AN298" s="994"/>
      <c r="AO298" s="994"/>
      <c r="AP298" s="994"/>
      <c r="AQ298" s="994"/>
      <c r="AR298" s="994"/>
      <c r="AS298" s="994"/>
      <c r="AT298" s="994"/>
      <c r="AU298" s="994"/>
      <c r="AV298" s="994"/>
    </row>
    <row r="299" spans="1:59" ht="9.75" customHeight="1" x14ac:dyDescent="0.25">
      <c r="D299" s="128"/>
      <c r="E299" s="268"/>
      <c r="F299" s="128"/>
      <c r="G299" s="4"/>
      <c r="H299" s="4"/>
      <c r="I299" s="4"/>
      <c r="J299" s="4"/>
      <c r="K299" s="4"/>
      <c r="L299" s="4"/>
      <c r="M299" s="4"/>
      <c r="N299" s="4"/>
      <c r="O299" s="260"/>
      <c r="P299" s="4"/>
      <c r="Q299" s="4"/>
      <c r="R299" s="4"/>
      <c r="S299" s="343"/>
      <c r="W299" s="4"/>
      <c r="X299" s="139"/>
      <c r="Y299" s="4"/>
      <c r="Z299" s="4"/>
      <c r="AA299" s="4"/>
      <c r="AB299" s="4"/>
      <c r="AC299" s="4"/>
      <c r="AD299" s="4"/>
      <c r="AE299" s="4"/>
      <c r="AF299" s="4"/>
      <c r="AG299" s="8"/>
      <c r="AH299" s="8"/>
      <c r="AI299" s="8"/>
      <c r="AJ299" s="8"/>
      <c r="AL299" s="994"/>
      <c r="AM299" s="994"/>
      <c r="AN299" s="994"/>
      <c r="AO299" s="994"/>
      <c r="AP299" s="994"/>
      <c r="AQ299" s="994"/>
      <c r="AR299" s="994"/>
      <c r="AS299" s="994"/>
      <c r="AT299" s="994"/>
      <c r="AU299" s="994"/>
      <c r="AV299" s="994"/>
    </row>
    <row r="300" spans="1:59" x14ac:dyDescent="0.25">
      <c r="T300" s="359"/>
      <c r="V300" s="34"/>
      <c r="AA300" s="10"/>
      <c r="AB300" s="10"/>
      <c r="AC300" s="10"/>
      <c r="AD300" s="10"/>
      <c r="AE300" s="10"/>
      <c r="AF300" s="28"/>
      <c r="AG300" s="8"/>
      <c r="AH300" s="8"/>
      <c r="AI300" s="8"/>
      <c r="AJ300" s="8"/>
      <c r="AK300" s="1"/>
      <c r="AL300" s="8"/>
      <c r="AM300" s="8"/>
      <c r="AN300" s="8"/>
      <c r="AO300" s="503"/>
      <c r="AP300" s="648"/>
      <c r="AQ300" s="41"/>
      <c r="AR300" s="8"/>
      <c r="AS300" s="1"/>
      <c r="AT300" s="1"/>
    </row>
    <row r="301" spans="1:59" ht="9" customHeight="1" x14ac:dyDescent="0.25">
      <c r="T301" s="359"/>
      <c r="V301" s="34"/>
      <c r="AA301" s="10"/>
      <c r="AB301" s="10"/>
      <c r="AC301" s="10"/>
      <c r="AD301" s="10"/>
      <c r="AE301" s="10"/>
      <c r="AF301" s="28"/>
      <c r="AG301" s="8"/>
      <c r="AH301" s="8"/>
      <c r="AI301" s="8"/>
      <c r="AJ301" s="8"/>
      <c r="AK301" s="1"/>
      <c r="AL301" s="8"/>
      <c r="AM301" s="8"/>
      <c r="AN301" s="8"/>
      <c r="AO301" s="503"/>
      <c r="AP301" s="648"/>
      <c r="AQ301" s="41"/>
      <c r="AR301" s="8"/>
      <c r="AS301" s="1"/>
      <c r="AT301" s="1"/>
    </row>
    <row r="302" spans="1:59" ht="7.5" customHeight="1" x14ac:dyDescent="0.25">
      <c r="T302" s="359"/>
      <c r="V302" s="34"/>
      <c r="AA302" s="10"/>
      <c r="AB302" s="10"/>
      <c r="AC302" s="10"/>
      <c r="AD302" s="10"/>
      <c r="AE302" s="10"/>
      <c r="AF302" s="28"/>
      <c r="AG302" s="8"/>
      <c r="AH302" s="8"/>
      <c r="AI302" s="8"/>
      <c r="AJ302" s="8"/>
      <c r="AK302" s="1"/>
      <c r="AL302" s="8"/>
      <c r="AM302" s="8"/>
      <c r="AN302" s="8"/>
      <c r="AO302" s="503"/>
      <c r="AP302" s="648"/>
      <c r="AQ302" s="41"/>
      <c r="AR302" s="8"/>
      <c r="AS302" s="1"/>
      <c r="AT302" s="1"/>
    </row>
    <row r="303" spans="1:59" x14ac:dyDescent="0.25">
      <c r="V303" s="34"/>
    </row>
    <row r="304" spans="1:59" ht="15.75" customHeight="1" x14ac:dyDescent="0.25">
      <c r="V304" s="54"/>
      <c r="AW304" s="4"/>
    </row>
    <row r="305" spans="1:49" s="1" customFormat="1" x14ac:dyDescent="0.25">
      <c r="A305" s="4"/>
      <c r="B305" s="4"/>
      <c r="C305" s="854"/>
      <c r="E305" s="260"/>
      <c r="G305" s="4"/>
      <c r="H305" s="4"/>
      <c r="I305" s="4"/>
      <c r="K305" s="4"/>
      <c r="O305" s="421"/>
      <c r="S305" s="328"/>
      <c r="T305" s="360"/>
      <c r="V305" s="8"/>
      <c r="X305" s="139"/>
      <c r="Y305" s="8"/>
      <c r="Z305" s="8"/>
      <c r="AA305" s="10"/>
      <c r="AB305" s="10"/>
      <c r="AC305" s="10"/>
      <c r="AD305" s="10"/>
      <c r="AE305" s="10"/>
      <c r="AF305" s="8"/>
      <c r="AG305" s="8"/>
      <c r="AH305" s="8"/>
      <c r="AI305" s="8"/>
      <c r="AJ305" s="8"/>
      <c r="AL305" s="8"/>
      <c r="AM305" s="8"/>
      <c r="AN305" s="8"/>
      <c r="AO305" s="503"/>
      <c r="AP305" s="648"/>
      <c r="AQ305" s="41"/>
      <c r="AR305" s="8"/>
      <c r="AU305" s="2"/>
      <c r="AV305" s="39"/>
      <c r="AW305" s="39"/>
    </row>
    <row r="306" spans="1:49" s="1" customFormat="1" x14ac:dyDescent="0.25">
      <c r="A306" s="4"/>
      <c r="B306" s="4"/>
      <c r="C306" s="854"/>
      <c r="D306" s="994" t="s">
        <v>1105</v>
      </c>
      <c r="E306" s="994"/>
      <c r="F306" s="994"/>
      <c r="G306" s="994"/>
      <c r="H306" s="994"/>
      <c r="I306" s="994"/>
      <c r="J306" s="994"/>
      <c r="K306" s="994"/>
      <c r="L306" s="994"/>
      <c r="M306" s="994"/>
      <c r="N306" s="994"/>
      <c r="O306" s="994"/>
      <c r="P306" s="994"/>
      <c r="Q306" s="994"/>
      <c r="R306" s="994"/>
      <c r="S306" s="994"/>
      <c r="T306" s="360"/>
      <c r="V306" s="55"/>
      <c r="X306" s="852"/>
      <c r="Y306" s="852"/>
      <c r="Z306" s="994" t="s">
        <v>803</v>
      </c>
      <c r="AA306" s="994"/>
      <c r="AB306" s="994"/>
      <c r="AC306" s="994"/>
      <c r="AD306" s="994"/>
      <c r="AE306" s="994"/>
      <c r="AF306" s="994"/>
      <c r="AG306" s="994"/>
      <c r="AH306" s="994"/>
      <c r="AI306" s="994"/>
      <c r="AJ306" s="994"/>
      <c r="AL306" s="994" t="s">
        <v>772</v>
      </c>
      <c r="AM306" s="994"/>
      <c r="AN306" s="994"/>
      <c r="AO306" s="994"/>
      <c r="AP306" s="994"/>
      <c r="AQ306" s="994"/>
      <c r="AR306" s="994"/>
      <c r="AS306" s="994"/>
      <c r="AT306" s="994"/>
      <c r="AU306" s="994"/>
      <c r="AV306" s="994"/>
      <c r="AW306" s="39"/>
    </row>
    <row r="307" spans="1:49" x14ac:dyDescent="0.25">
      <c r="V307" s="54"/>
    </row>
    <row r="308" spans="1:49" x14ac:dyDescent="0.25">
      <c r="V308" s="54"/>
    </row>
    <row r="309" spans="1:49" x14ac:dyDescent="0.25">
      <c r="V309" s="54"/>
    </row>
    <row r="310" spans="1:49" x14ac:dyDescent="0.25">
      <c r="V310" s="54"/>
    </row>
    <row r="311" spans="1:49" x14ac:dyDescent="0.25">
      <c r="V311" s="54"/>
    </row>
    <row r="312" spans="1:49" x14ac:dyDescent="0.25">
      <c r="V312" s="54"/>
    </row>
    <row r="313" spans="1:49" x14ac:dyDescent="0.25">
      <c r="V313" s="54"/>
    </row>
    <row r="314" spans="1:49" x14ac:dyDescent="0.25">
      <c r="V314" s="54"/>
    </row>
    <row r="315" spans="1:49" x14ac:dyDescent="0.25">
      <c r="V315" s="54"/>
    </row>
    <row r="316" spans="1:49" x14ac:dyDescent="0.25">
      <c r="V316" s="54"/>
    </row>
    <row r="317" spans="1:49" x14ac:dyDescent="0.25">
      <c r="V317" s="54"/>
    </row>
    <row r="318" spans="1:49" x14ac:dyDescent="0.25">
      <c r="V318" s="54"/>
    </row>
    <row r="319" spans="1:49" x14ac:dyDescent="0.25">
      <c r="V319" s="54"/>
    </row>
    <row r="320" spans="1:49" x14ac:dyDescent="0.25">
      <c r="V320" s="54"/>
    </row>
    <row r="321" spans="4:22" x14ac:dyDescent="0.25">
      <c r="V321" s="54"/>
    </row>
    <row r="322" spans="4:22" x14ac:dyDescent="0.25">
      <c r="V322" s="54"/>
    </row>
    <row r="323" spans="4:22" x14ac:dyDescent="0.25">
      <c r="V323" s="54"/>
    </row>
    <row r="324" spans="4:22" x14ac:dyDescent="0.25">
      <c r="V324" s="54"/>
    </row>
    <row r="325" spans="4:22" x14ac:dyDescent="0.25">
      <c r="V325" s="54"/>
    </row>
    <row r="326" spans="4:22" x14ac:dyDescent="0.25">
      <c r="V326" s="54"/>
    </row>
    <row r="327" spans="4:22" x14ac:dyDescent="0.25">
      <c r="V327" s="54"/>
    </row>
    <row r="328" spans="4:22" x14ac:dyDescent="0.25">
      <c r="V328" s="54"/>
    </row>
    <row r="329" spans="4:22" x14ac:dyDescent="0.25">
      <c r="V329" s="54"/>
    </row>
    <row r="330" spans="4:22" x14ac:dyDescent="0.25">
      <c r="V330" s="54"/>
    </row>
    <row r="331" spans="4:22" x14ac:dyDescent="0.25">
      <c r="V331" s="54"/>
    </row>
    <row r="332" spans="4:22" x14ac:dyDescent="0.25">
      <c r="V332" s="54"/>
    </row>
    <row r="333" spans="4:22" x14ac:dyDescent="0.25">
      <c r="V333" s="54"/>
    </row>
    <row r="334" spans="4:22" x14ac:dyDescent="0.25">
      <c r="V334" s="54"/>
    </row>
    <row r="335" spans="4:22" x14ac:dyDescent="0.25">
      <c r="D335" s="71"/>
      <c r="E335" s="269"/>
      <c r="F335" s="71"/>
      <c r="G335" s="5" t="s">
        <v>596</v>
      </c>
      <c r="V335" s="54"/>
    </row>
    <row r="336" spans="4:22" x14ac:dyDescent="0.25">
      <c r="V336" s="54"/>
    </row>
    <row r="337" spans="22:22" x14ac:dyDescent="0.25">
      <c r="V337" s="54"/>
    </row>
    <row r="338" spans="22:22" x14ac:dyDescent="0.25">
      <c r="V338" s="56"/>
    </row>
  </sheetData>
  <mergeCells count="47">
    <mergeCell ref="V6:AL6"/>
    <mergeCell ref="AD9:AD10"/>
    <mergeCell ref="AE9:AE10"/>
    <mergeCell ref="R9:Y9"/>
    <mergeCell ref="A9:A10"/>
    <mergeCell ref="C9:C10"/>
    <mergeCell ref="D9:D10"/>
    <mergeCell ref="AC9:AC10"/>
    <mergeCell ref="E9:E10"/>
    <mergeCell ref="G9:G10"/>
    <mergeCell ref="J9:J10"/>
    <mergeCell ref="AA9:AA10"/>
    <mergeCell ref="AB9:AB10"/>
    <mergeCell ref="K9:K10"/>
    <mergeCell ref="Z9:Z10"/>
    <mergeCell ref="M9:M10"/>
    <mergeCell ref="AR5:AV5"/>
    <mergeCell ref="A1:P1"/>
    <mergeCell ref="AL1:AV1"/>
    <mergeCell ref="A2:P2"/>
    <mergeCell ref="AL2:AV2"/>
    <mergeCell ref="A3:P3"/>
    <mergeCell ref="AL3:AV3"/>
    <mergeCell ref="V4:AL5"/>
    <mergeCell ref="O9:O10"/>
    <mergeCell ref="P9:P10"/>
    <mergeCell ref="Q9:Q10"/>
    <mergeCell ref="N9:N10"/>
    <mergeCell ref="AF9:AJ9"/>
    <mergeCell ref="AK9:AL9"/>
    <mergeCell ref="AM9:AN9"/>
    <mergeCell ref="AO9:AO10"/>
    <mergeCell ref="AP9:AP10"/>
    <mergeCell ref="AL297:AV297"/>
    <mergeCell ref="AR9:AR10"/>
    <mergeCell ref="AS9:AS10"/>
    <mergeCell ref="AT9:AT10"/>
    <mergeCell ref="AU9:AV10"/>
    <mergeCell ref="AU11:AV11"/>
    <mergeCell ref="AQ9:AQ10"/>
    <mergeCell ref="AL299:AV299"/>
    <mergeCell ref="D306:S306"/>
    <mergeCell ref="AL306:AV306"/>
    <mergeCell ref="Z298:AJ298"/>
    <mergeCell ref="Z306:AJ306"/>
    <mergeCell ref="D298:S298"/>
    <mergeCell ref="AL298:AV298"/>
  </mergeCells>
  <printOptions horizontalCentered="1"/>
  <pageMargins left="0.26" right="0.118110236220472" top="0.35" bottom="0.28000000000000003" header="0.2" footer="0.15748031496063"/>
  <pageSetup paperSize="9" scale="48"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44"/>
  <sheetViews>
    <sheetView tabSelected="1" topLeftCell="A25" zoomScale="120" zoomScaleNormal="120" workbookViewId="0">
      <selection activeCell="V32" sqref="V32"/>
    </sheetView>
  </sheetViews>
  <sheetFormatPr defaultRowHeight="15.75" x14ac:dyDescent="0.25"/>
  <cols>
    <col min="1" max="1" width="3.875" style="2" bestFit="1" customWidth="1"/>
    <col min="2" max="2" width="7.375" style="76" customWidth="1"/>
    <col min="3" max="3" width="6.625" style="76" hidden="1" customWidth="1"/>
    <col min="4" max="4" width="5" style="76" customWidth="1"/>
    <col min="5" max="5" width="17.125" style="76" customWidth="1"/>
    <col min="6" max="6" width="9.875" style="79" customWidth="1"/>
    <col min="7" max="7" width="6.75" style="76" customWidth="1"/>
    <col min="8" max="8" width="4.5" style="148" hidden="1" customWidth="1"/>
    <col min="9" max="9" width="7.875" style="148" customWidth="1"/>
    <col min="10" max="10" width="5.375" style="79" customWidth="1"/>
    <col min="11" max="11" width="4.5" style="79" hidden="1" customWidth="1"/>
    <col min="12" max="12" width="7.5" style="46" customWidth="1"/>
    <col min="13" max="13" width="8" style="76" customWidth="1"/>
    <col min="14" max="14" width="9.75" style="76" customWidth="1"/>
    <col min="15" max="15" width="6.5" style="76" customWidth="1"/>
    <col min="16" max="16" width="4.5" style="148" hidden="1" customWidth="1"/>
    <col min="17" max="17" width="7.125" style="76" customWidth="1"/>
    <col min="18" max="18" width="5.125" style="76" customWidth="1"/>
    <col min="19" max="19" width="4.5" style="76" hidden="1" customWidth="1"/>
    <col min="20" max="20" width="7.125" style="76" customWidth="1"/>
    <col min="21" max="21" width="8" style="76" customWidth="1"/>
    <col min="22" max="22" width="36.125" style="151" customWidth="1"/>
    <col min="23" max="23" width="11.375" style="76" bestFit="1" customWidth="1"/>
    <col min="24" max="24" width="16.125" style="76" customWidth="1"/>
    <col min="25" max="25" width="12.25" style="76" customWidth="1"/>
    <col min="26" max="16384" width="9" style="76"/>
  </cols>
  <sheetData>
    <row r="1" spans="1:22" x14ac:dyDescent="0.25">
      <c r="A1" s="1056" t="s">
        <v>681</v>
      </c>
      <c r="B1" s="1056"/>
      <c r="C1" s="1056"/>
      <c r="D1" s="1056"/>
      <c r="E1" s="1056"/>
      <c r="F1" s="1056"/>
      <c r="G1" s="1056"/>
      <c r="H1" s="1056"/>
      <c r="I1" s="1056"/>
      <c r="J1" s="155"/>
      <c r="K1" s="155"/>
      <c r="M1" s="75"/>
      <c r="N1" s="1048" t="s">
        <v>58</v>
      </c>
      <c r="O1" s="1048"/>
      <c r="P1" s="1048"/>
      <c r="Q1" s="1048"/>
      <c r="R1" s="1048"/>
      <c r="S1" s="1048"/>
      <c r="T1" s="1048"/>
      <c r="U1" s="1048"/>
      <c r="V1" s="1048"/>
    </row>
    <row r="2" spans="1:22" s="77" customFormat="1" ht="16.5" customHeight="1" x14ac:dyDescent="0.25">
      <c r="A2" s="1057" t="s">
        <v>1132</v>
      </c>
      <c r="B2" s="1057"/>
      <c r="C2" s="1057"/>
      <c r="D2" s="1057"/>
      <c r="E2" s="1057"/>
      <c r="F2" s="1057"/>
      <c r="G2" s="1057"/>
      <c r="H2" s="1057"/>
      <c r="I2" s="1057"/>
      <c r="J2" s="78"/>
      <c r="K2" s="78"/>
      <c r="L2" s="46"/>
      <c r="N2" s="994" t="s">
        <v>33</v>
      </c>
      <c r="O2" s="994"/>
      <c r="P2" s="994"/>
      <c r="Q2" s="994"/>
      <c r="R2" s="994"/>
      <c r="S2" s="994"/>
      <c r="T2" s="994"/>
      <c r="U2" s="994"/>
      <c r="V2" s="994"/>
    </row>
    <row r="3" spans="1:22" s="77" customFormat="1" ht="5.25" customHeight="1" x14ac:dyDescent="0.25">
      <c r="A3" s="2"/>
      <c r="F3" s="78"/>
      <c r="H3" s="146"/>
      <c r="I3" s="146"/>
      <c r="J3" s="78"/>
      <c r="K3" s="78"/>
      <c r="L3" s="46"/>
      <c r="P3" s="146"/>
      <c r="V3" s="149"/>
    </row>
    <row r="4" spans="1:22" s="81" customFormat="1" ht="21" customHeight="1" x14ac:dyDescent="0.3">
      <c r="A4" s="1051" t="s">
        <v>1684</v>
      </c>
      <c r="B4" s="1051"/>
      <c r="C4" s="1051"/>
      <c r="D4" s="1051"/>
      <c r="E4" s="1051"/>
      <c r="F4" s="1051"/>
      <c r="G4" s="1051"/>
      <c r="H4" s="1051"/>
      <c r="I4" s="1051"/>
      <c r="J4" s="1051"/>
      <c r="K4" s="1051"/>
      <c r="L4" s="1051"/>
      <c r="M4" s="1051"/>
      <c r="N4" s="1051"/>
      <c r="O4" s="1051"/>
      <c r="P4" s="1051"/>
      <c r="Q4" s="1051"/>
      <c r="R4" s="1051"/>
      <c r="S4" s="1051"/>
      <c r="T4" s="1051"/>
      <c r="U4" s="1051"/>
      <c r="V4" s="1051"/>
    </row>
    <row r="5" spans="1:22" s="82" customFormat="1" ht="6.75" customHeight="1" x14ac:dyDescent="0.25">
      <c r="A5" s="2"/>
      <c r="F5" s="83"/>
      <c r="H5" s="147"/>
      <c r="I5" s="147"/>
      <c r="J5" s="83"/>
      <c r="K5" s="83"/>
      <c r="L5" s="46"/>
      <c r="P5" s="147"/>
      <c r="V5" s="150"/>
    </row>
    <row r="6" spans="1:22" s="80" customFormat="1" ht="16.5" customHeight="1" x14ac:dyDescent="0.25">
      <c r="A6" s="1050" t="s">
        <v>282</v>
      </c>
      <c r="B6" s="1049" t="s">
        <v>55</v>
      </c>
      <c r="C6" s="405"/>
      <c r="D6" s="1049" t="s">
        <v>1266</v>
      </c>
      <c r="E6" s="1053" t="s">
        <v>28</v>
      </c>
      <c r="F6" s="1054" t="s">
        <v>1652</v>
      </c>
      <c r="G6" s="1055"/>
      <c r="H6" s="1055"/>
      <c r="I6" s="1055"/>
      <c r="J6" s="1055"/>
      <c r="K6" s="1055"/>
      <c r="L6" s="1055"/>
      <c r="M6" s="1055"/>
      <c r="N6" s="1054" t="s">
        <v>1681</v>
      </c>
      <c r="O6" s="1055"/>
      <c r="P6" s="1055"/>
      <c r="Q6" s="1055"/>
      <c r="R6" s="1055"/>
      <c r="S6" s="1055"/>
      <c r="T6" s="1055"/>
      <c r="U6" s="1055"/>
      <c r="V6" s="1053" t="s">
        <v>32</v>
      </c>
    </row>
    <row r="7" spans="1:22" s="80" customFormat="1" ht="24.75" customHeight="1" x14ac:dyDescent="0.25">
      <c r="A7" s="1050"/>
      <c r="B7" s="1049"/>
      <c r="C7" s="405"/>
      <c r="D7" s="1049"/>
      <c r="E7" s="1053"/>
      <c r="F7" s="232" t="s">
        <v>29</v>
      </c>
      <c r="G7" s="232" t="s">
        <v>30</v>
      </c>
      <c r="H7" s="316"/>
      <c r="I7" s="233" t="s">
        <v>1089</v>
      </c>
      <c r="J7" s="232" t="s">
        <v>31</v>
      </c>
      <c r="K7" s="400"/>
      <c r="L7" s="344" t="s">
        <v>1078</v>
      </c>
      <c r="M7" s="232" t="s">
        <v>54</v>
      </c>
      <c r="N7" s="232" t="s">
        <v>29</v>
      </c>
      <c r="O7" s="232" t="s">
        <v>30</v>
      </c>
      <c r="P7" s="316"/>
      <c r="Q7" s="233" t="s">
        <v>1088</v>
      </c>
      <c r="R7" s="232" t="s">
        <v>31</v>
      </c>
      <c r="S7" s="400"/>
      <c r="T7" s="232" t="s">
        <v>1078</v>
      </c>
      <c r="U7" s="232" t="s">
        <v>54</v>
      </c>
      <c r="V7" s="1053"/>
    </row>
    <row r="8" spans="1:22" s="80" customFormat="1" ht="18.75" customHeight="1" x14ac:dyDescent="0.25">
      <c r="A8" s="401" t="s">
        <v>5</v>
      </c>
      <c r="B8" s="401" t="s">
        <v>6</v>
      </c>
      <c r="C8" s="406" t="s">
        <v>1138</v>
      </c>
      <c r="D8" s="401" t="s">
        <v>7</v>
      </c>
      <c r="E8" s="401" t="s">
        <v>8</v>
      </c>
      <c r="F8" s="401" t="s">
        <v>177</v>
      </c>
      <c r="G8" s="401" t="s">
        <v>9</v>
      </c>
      <c r="H8" s="472" t="s">
        <v>1138</v>
      </c>
      <c r="I8" s="402" t="s">
        <v>10</v>
      </c>
      <c r="J8" s="403" t="s">
        <v>11</v>
      </c>
      <c r="K8" s="406" t="s">
        <v>1138</v>
      </c>
      <c r="L8" s="404" t="s">
        <v>12</v>
      </c>
      <c r="M8" s="404" t="s">
        <v>13</v>
      </c>
      <c r="N8" s="404" t="s">
        <v>14</v>
      </c>
      <c r="O8" s="404" t="s">
        <v>15</v>
      </c>
      <c r="P8" s="472" t="s">
        <v>1138</v>
      </c>
      <c r="Q8" s="402" t="s">
        <v>16</v>
      </c>
      <c r="R8" s="403" t="s">
        <v>17</v>
      </c>
      <c r="S8" s="406" t="s">
        <v>1138</v>
      </c>
      <c r="T8" s="403" t="s">
        <v>18</v>
      </c>
      <c r="U8" s="403" t="s">
        <v>19</v>
      </c>
      <c r="V8" s="403" t="s">
        <v>20</v>
      </c>
    </row>
    <row r="9" spans="1:22" s="42" customFormat="1" ht="55.5" customHeight="1" x14ac:dyDescent="0.25">
      <c r="A9" s="880" t="s">
        <v>5</v>
      </c>
      <c r="B9" s="878">
        <v>12</v>
      </c>
      <c r="C9" s="168"/>
      <c r="D9" s="878"/>
      <c r="E9" s="875" t="s">
        <v>1147</v>
      </c>
      <c r="F9" s="876" t="s">
        <v>39</v>
      </c>
      <c r="G9" s="177">
        <v>4.9800000000000004</v>
      </c>
      <c r="H9" s="179">
        <v>7.0000000000000007E-2</v>
      </c>
      <c r="I9" s="176">
        <f>G9*H9</f>
        <v>0.34860000000000008</v>
      </c>
      <c r="J9" s="168">
        <v>0.45</v>
      </c>
      <c r="K9" s="399"/>
      <c r="L9" s="216"/>
      <c r="M9" s="170"/>
      <c r="N9" s="876" t="s">
        <v>39</v>
      </c>
      <c r="O9" s="177">
        <v>4.9800000000000004</v>
      </c>
      <c r="P9" s="179">
        <v>7.0000000000000007E-2</v>
      </c>
      <c r="Q9" s="194">
        <f>P9*O9</f>
        <v>0.34860000000000008</v>
      </c>
      <c r="R9" s="168"/>
      <c r="S9" s="399"/>
      <c r="T9" s="216"/>
      <c r="U9" s="879"/>
      <c r="V9" s="877" t="s">
        <v>1672</v>
      </c>
    </row>
    <row r="10" spans="1:22" s="42" customFormat="1" ht="55.5" customHeight="1" x14ac:dyDescent="0.25">
      <c r="A10" s="880" t="s">
        <v>6</v>
      </c>
      <c r="B10" s="878">
        <v>13</v>
      </c>
      <c r="C10" s="168"/>
      <c r="D10" s="878"/>
      <c r="E10" s="875" t="s">
        <v>1173</v>
      </c>
      <c r="F10" s="876" t="s">
        <v>1438</v>
      </c>
      <c r="G10" s="177">
        <v>4.9800000000000004</v>
      </c>
      <c r="H10" s="179">
        <v>0.06</v>
      </c>
      <c r="I10" s="176">
        <f>G10*H10</f>
        <v>0.29880000000000001</v>
      </c>
      <c r="J10" s="168"/>
      <c r="K10" s="399">
        <v>0.24</v>
      </c>
      <c r="L10" s="216">
        <f>(G10+I10+J10)*K10</f>
        <v>1.266912</v>
      </c>
      <c r="M10" s="170" t="s">
        <v>1093</v>
      </c>
      <c r="N10" s="876" t="s">
        <v>1438</v>
      </c>
      <c r="O10" s="177">
        <v>4.9800000000000004</v>
      </c>
      <c r="P10" s="179">
        <v>7.0000000000000007E-2</v>
      </c>
      <c r="Q10" s="194">
        <f>P10*O10</f>
        <v>0.34860000000000008</v>
      </c>
      <c r="R10" s="168"/>
      <c r="S10" s="399">
        <v>0.24</v>
      </c>
      <c r="T10" s="216">
        <f>(O10+Q10+R10)*S10</f>
        <v>1.2788640000000002</v>
      </c>
      <c r="U10" s="879" t="s">
        <v>1093</v>
      </c>
      <c r="V10" s="877" t="s">
        <v>1664</v>
      </c>
    </row>
    <row r="11" spans="1:22" s="42" customFormat="1" ht="55.5" customHeight="1" x14ac:dyDescent="0.25">
      <c r="A11" s="880" t="s">
        <v>7</v>
      </c>
      <c r="B11" s="878">
        <v>51</v>
      </c>
      <c r="C11" s="168"/>
      <c r="D11" s="878"/>
      <c r="E11" s="875" t="s">
        <v>1163</v>
      </c>
      <c r="F11" s="876" t="s">
        <v>1438</v>
      </c>
      <c r="G11" s="177">
        <v>4.9800000000000004</v>
      </c>
      <c r="H11" s="179">
        <v>0.1</v>
      </c>
      <c r="I11" s="176">
        <f>G11*H11</f>
        <v>0.49800000000000005</v>
      </c>
      <c r="J11" s="168"/>
      <c r="K11" s="399">
        <v>0.32</v>
      </c>
      <c r="L11" s="216">
        <f>(G11+I11+J11)*K11</f>
        <v>1.7529600000000003</v>
      </c>
      <c r="M11" s="170" t="s">
        <v>1093</v>
      </c>
      <c r="N11" s="876" t="s">
        <v>1438</v>
      </c>
      <c r="O11" s="177">
        <v>4.9800000000000004</v>
      </c>
      <c r="P11" s="179">
        <v>0.11</v>
      </c>
      <c r="Q11" s="194">
        <f>P11*O11</f>
        <v>0.54780000000000006</v>
      </c>
      <c r="R11" s="168"/>
      <c r="S11" s="399">
        <v>0.32</v>
      </c>
      <c r="T11" s="216">
        <f>(O11+Q11+R11)*S11</f>
        <v>1.7688960000000002</v>
      </c>
      <c r="U11" s="879" t="s">
        <v>1093</v>
      </c>
      <c r="V11" s="877" t="s">
        <v>1664</v>
      </c>
    </row>
    <row r="12" spans="1:22" s="42" customFormat="1" ht="45" customHeight="1" x14ac:dyDescent="0.25">
      <c r="A12" s="880" t="s">
        <v>8</v>
      </c>
      <c r="B12" s="878">
        <v>59</v>
      </c>
      <c r="C12" s="168"/>
      <c r="D12" s="878"/>
      <c r="E12" s="875" t="s">
        <v>1150</v>
      </c>
      <c r="F12" s="876" t="s">
        <v>1438</v>
      </c>
      <c r="G12" s="177">
        <v>4.6500000000000004</v>
      </c>
      <c r="H12" s="179"/>
      <c r="I12" s="176">
        <f t="shared" ref="I12:I20" si="0">G12*H12</f>
        <v>0</v>
      </c>
      <c r="J12" s="168">
        <v>0.35</v>
      </c>
      <c r="K12" s="399">
        <v>0.2</v>
      </c>
      <c r="L12" s="216">
        <f t="shared" ref="L12:L20" si="1">(G12+I12+J12)*K12</f>
        <v>1</v>
      </c>
      <c r="M12" s="170" t="s">
        <v>1093</v>
      </c>
      <c r="N12" s="876" t="s">
        <v>1438</v>
      </c>
      <c r="O12" s="177">
        <v>4.9800000000000004</v>
      </c>
      <c r="P12" s="179"/>
      <c r="Q12" s="194">
        <f>P12*O12</f>
        <v>0</v>
      </c>
      <c r="R12" s="168">
        <v>0.35</v>
      </c>
      <c r="S12" s="399">
        <v>0.2</v>
      </c>
      <c r="T12" s="216">
        <f>(O12+Q12+R12)*S12</f>
        <v>1.0660000000000001</v>
      </c>
      <c r="U12" s="879" t="s">
        <v>1093</v>
      </c>
      <c r="V12" s="877" t="s">
        <v>1663</v>
      </c>
    </row>
    <row r="13" spans="1:22" s="42" customFormat="1" ht="60" customHeight="1" x14ac:dyDescent="0.25">
      <c r="A13" s="880" t="s">
        <v>177</v>
      </c>
      <c r="B13" s="878">
        <v>66</v>
      </c>
      <c r="C13" s="168"/>
      <c r="D13" s="878"/>
      <c r="E13" s="875" t="s">
        <v>1633</v>
      </c>
      <c r="F13" s="446" t="s">
        <v>1438</v>
      </c>
      <c r="G13" s="177">
        <v>1.9890000000000001</v>
      </c>
      <c r="H13" s="179"/>
      <c r="I13" s="176">
        <f t="shared" si="0"/>
        <v>0</v>
      </c>
      <c r="J13" s="168"/>
      <c r="K13" s="399"/>
      <c r="L13" s="216">
        <f t="shared" si="1"/>
        <v>0</v>
      </c>
      <c r="M13" s="879" t="s">
        <v>1093</v>
      </c>
      <c r="N13" s="446" t="s">
        <v>1438</v>
      </c>
      <c r="O13" s="177"/>
      <c r="P13" s="179"/>
      <c r="Q13" s="194"/>
      <c r="R13" s="168"/>
      <c r="S13" s="399"/>
      <c r="T13" s="216"/>
      <c r="U13" s="879"/>
      <c r="V13" s="877" t="s">
        <v>1655</v>
      </c>
    </row>
    <row r="14" spans="1:22" s="42" customFormat="1" ht="42.75" customHeight="1" x14ac:dyDescent="0.25">
      <c r="A14" s="880" t="s">
        <v>9</v>
      </c>
      <c r="B14" s="878">
        <v>72</v>
      </c>
      <c r="C14" s="168"/>
      <c r="D14" s="878"/>
      <c r="E14" s="875" t="s">
        <v>1274</v>
      </c>
      <c r="F14" s="876" t="s">
        <v>1660</v>
      </c>
      <c r="G14" s="177">
        <f>2.26+0.15</f>
        <v>2.4099999999999997</v>
      </c>
      <c r="H14" s="179"/>
      <c r="I14" s="176">
        <f t="shared" si="0"/>
        <v>0</v>
      </c>
      <c r="J14" s="168"/>
      <c r="K14" s="399"/>
      <c r="L14" s="216">
        <f t="shared" si="1"/>
        <v>0</v>
      </c>
      <c r="M14" s="170"/>
      <c r="N14" s="876" t="s">
        <v>1660</v>
      </c>
      <c r="O14" s="177">
        <f>2.46+0.15</f>
        <v>2.61</v>
      </c>
      <c r="P14" s="179"/>
      <c r="Q14" s="194">
        <f>P14*O14</f>
        <v>0</v>
      </c>
      <c r="R14" s="168"/>
      <c r="S14" s="399"/>
      <c r="T14" s="216">
        <f>(O14+Q14+R14)*S14</f>
        <v>0</v>
      </c>
      <c r="U14" s="879"/>
      <c r="V14" s="877" t="s">
        <v>1659</v>
      </c>
    </row>
    <row r="15" spans="1:22" s="42" customFormat="1" ht="42.75" customHeight="1" x14ac:dyDescent="0.25">
      <c r="A15" s="880" t="s">
        <v>10</v>
      </c>
      <c r="B15" s="878">
        <v>74</v>
      </c>
      <c r="C15" s="168"/>
      <c r="D15" s="878"/>
      <c r="E15" s="875" t="s">
        <v>652</v>
      </c>
      <c r="F15" s="876" t="s">
        <v>39</v>
      </c>
      <c r="G15" s="177">
        <v>3.33</v>
      </c>
      <c r="H15" s="179"/>
      <c r="I15" s="176">
        <f t="shared" si="0"/>
        <v>0</v>
      </c>
      <c r="J15" s="168"/>
      <c r="K15" s="399"/>
      <c r="L15" s="216">
        <f t="shared" si="1"/>
        <v>0</v>
      </c>
      <c r="M15" s="170"/>
      <c r="N15" s="876" t="s">
        <v>39</v>
      </c>
      <c r="O15" s="177">
        <v>3.66</v>
      </c>
      <c r="P15" s="179"/>
      <c r="Q15" s="194"/>
      <c r="R15" s="168"/>
      <c r="S15" s="399"/>
      <c r="T15" s="216"/>
      <c r="U15" s="879"/>
      <c r="V15" s="877" t="s">
        <v>1662</v>
      </c>
    </row>
    <row r="16" spans="1:22" s="42" customFormat="1" ht="42.75" customHeight="1" x14ac:dyDescent="0.25">
      <c r="A16" s="880" t="s">
        <v>11</v>
      </c>
      <c r="B16" s="878">
        <v>78</v>
      </c>
      <c r="C16" s="168"/>
      <c r="D16" s="878"/>
      <c r="E16" s="875" t="s">
        <v>1105</v>
      </c>
      <c r="F16" s="876" t="s">
        <v>38</v>
      </c>
      <c r="G16" s="177">
        <v>3.66</v>
      </c>
      <c r="H16" s="179"/>
      <c r="I16" s="176">
        <f t="shared" si="0"/>
        <v>0</v>
      </c>
      <c r="J16" s="168"/>
      <c r="K16" s="399"/>
      <c r="L16" s="216">
        <f t="shared" si="1"/>
        <v>0</v>
      </c>
      <c r="M16" s="170"/>
      <c r="N16" s="876" t="s">
        <v>38</v>
      </c>
      <c r="O16" s="177">
        <v>3.99</v>
      </c>
      <c r="P16" s="179"/>
      <c r="Q16" s="194"/>
      <c r="R16" s="168"/>
      <c r="S16" s="399"/>
      <c r="T16" s="216"/>
      <c r="U16" s="879"/>
      <c r="V16" s="877" t="s">
        <v>1666</v>
      </c>
    </row>
    <row r="17" spans="1:24" s="42" customFormat="1" ht="42.75" customHeight="1" x14ac:dyDescent="0.25">
      <c r="A17" s="880" t="s">
        <v>12</v>
      </c>
      <c r="B17" s="878">
        <v>88</v>
      </c>
      <c r="C17" s="168"/>
      <c r="D17" s="878"/>
      <c r="E17" s="875" t="s">
        <v>1216</v>
      </c>
      <c r="F17" s="876" t="s">
        <v>1118</v>
      </c>
      <c r="G17" s="177">
        <v>3.26</v>
      </c>
      <c r="H17" s="179"/>
      <c r="I17" s="176">
        <f t="shared" si="0"/>
        <v>0</v>
      </c>
      <c r="J17" s="168"/>
      <c r="K17" s="399"/>
      <c r="L17" s="216">
        <f t="shared" si="1"/>
        <v>0</v>
      </c>
      <c r="M17" s="170"/>
      <c r="N17" s="876" t="s">
        <v>1118</v>
      </c>
      <c r="O17" s="177">
        <v>3.46</v>
      </c>
      <c r="P17" s="179"/>
      <c r="Q17" s="194"/>
      <c r="R17" s="168"/>
      <c r="S17" s="399"/>
      <c r="T17" s="216"/>
      <c r="U17" s="879"/>
      <c r="V17" s="877" t="s">
        <v>1667</v>
      </c>
    </row>
    <row r="18" spans="1:24" s="42" customFormat="1" ht="55.5" customHeight="1" x14ac:dyDescent="0.25">
      <c r="A18" s="880" t="s">
        <v>13</v>
      </c>
      <c r="B18" s="878">
        <v>105</v>
      </c>
      <c r="C18" s="168"/>
      <c r="D18" s="878"/>
      <c r="E18" s="875" t="s">
        <v>804</v>
      </c>
      <c r="F18" s="876" t="s">
        <v>39</v>
      </c>
      <c r="G18" s="177">
        <v>4.32</v>
      </c>
      <c r="H18" s="179"/>
      <c r="I18" s="176">
        <f t="shared" si="0"/>
        <v>0</v>
      </c>
      <c r="J18" s="168"/>
      <c r="K18" s="399"/>
      <c r="L18" s="216">
        <f t="shared" si="1"/>
        <v>0</v>
      </c>
      <c r="M18" s="170"/>
      <c r="N18" s="876" t="s">
        <v>39</v>
      </c>
      <c r="O18" s="177">
        <v>4.6500000000000004</v>
      </c>
      <c r="P18" s="179"/>
      <c r="Q18" s="194"/>
      <c r="R18" s="168"/>
      <c r="S18" s="399"/>
      <c r="T18" s="216"/>
      <c r="U18" s="879"/>
      <c r="V18" s="877" t="s">
        <v>1665</v>
      </c>
    </row>
    <row r="19" spans="1:24" s="42" customFormat="1" ht="42.75" customHeight="1" x14ac:dyDescent="0.25">
      <c r="A19" s="880" t="s">
        <v>14</v>
      </c>
      <c r="B19" s="878">
        <v>113</v>
      </c>
      <c r="C19" s="168"/>
      <c r="D19" s="878"/>
      <c r="E19" s="875" t="s">
        <v>823</v>
      </c>
      <c r="F19" s="876" t="s">
        <v>1438</v>
      </c>
      <c r="G19" s="177">
        <v>4.4000000000000004</v>
      </c>
      <c r="H19" s="179"/>
      <c r="I19" s="176">
        <f t="shared" si="0"/>
        <v>0</v>
      </c>
      <c r="J19" s="168">
        <v>0.45</v>
      </c>
      <c r="K19" s="399">
        <v>0.19</v>
      </c>
      <c r="L19" s="216">
        <f t="shared" si="1"/>
        <v>0.9215000000000001</v>
      </c>
      <c r="M19" s="879" t="s">
        <v>1093</v>
      </c>
      <c r="N19" s="876" t="s">
        <v>1438</v>
      </c>
      <c r="O19" s="177">
        <v>4.74</v>
      </c>
      <c r="P19" s="179"/>
      <c r="Q19" s="194">
        <f>P19*O19</f>
        <v>0</v>
      </c>
      <c r="R19" s="168">
        <v>0.45</v>
      </c>
      <c r="S19" s="399">
        <v>0.19</v>
      </c>
      <c r="T19" s="216">
        <f>(O19+Q19+R19)*S19</f>
        <v>0.98610000000000009</v>
      </c>
      <c r="U19" s="879" t="s">
        <v>1093</v>
      </c>
      <c r="V19" s="877" t="s">
        <v>1658</v>
      </c>
    </row>
    <row r="20" spans="1:24" s="42" customFormat="1" ht="42.75" customHeight="1" x14ac:dyDescent="0.25">
      <c r="A20" s="880" t="s">
        <v>15</v>
      </c>
      <c r="B20" s="878">
        <v>138</v>
      </c>
      <c r="C20" s="168"/>
      <c r="D20" s="878"/>
      <c r="E20" s="875" t="s">
        <v>1496</v>
      </c>
      <c r="F20" s="876" t="s">
        <v>1438</v>
      </c>
      <c r="G20" s="177">
        <v>234</v>
      </c>
      <c r="H20" s="179"/>
      <c r="I20" s="176">
        <f t="shared" si="0"/>
        <v>0</v>
      </c>
      <c r="J20" s="168">
        <v>0.45</v>
      </c>
      <c r="K20" s="399"/>
      <c r="L20" s="216">
        <f t="shared" si="1"/>
        <v>0</v>
      </c>
      <c r="M20" s="879" t="s">
        <v>1093</v>
      </c>
      <c r="N20" s="876" t="s">
        <v>1438</v>
      </c>
      <c r="O20" s="177">
        <v>2.67</v>
      </c>
      <c r="P20" s="179"/>
      <c r="Q20" s="194">
        <f>P20*O20</f>
        <v>0</v>
      </c>
      <c r="R20" s="168">
        <v>0.45</v>
      </c>
      <c r="S20" s="399"/>
      <c r="T20" s="216">
        <f>(O20+Q20+R20)*S20</f>
        <v>0</v>
      </c>
      <c r="U20" s="879" t="s">
        <v>1093</v>
      </c>
      <c r="V20" s="877" t="s">
        <v>1657</v>
      </c>
    </row>
    <row r="21" spans="1:24" s="42" customFormat="1" ht="102.75" customHeight="1" x14ac:dyDescent="0.25">
      <c r="A21" s="880" t="s">
        <v>16</v>
      </c>
      <c r="B21" s="168">
        <v>140</v>
      </c>
      <c r="C21" s="168"/>
      <c r="D21" s="168"/>
      <c r="E21" s="875" t="s">
        <v>1497</v>
      </c>
      <c r="F21" s="446" t="s">
        <v>1438</v>
      </c>
      <c r="G21" s="177">
        <v>2.34</v>
      </c>
      <c r="H21" s="179"/>
      <c r="I21" s="176"/>
      <c r="J21" s="168"/>
      <c r="K21" s="399"/>
      <c r="L21" s="216"/>
      <c r="M21" s="170" t="s">
        <v>1093</v>
      </c>
      <c r="N21" s="446" t="s">
        <v>1438</v>
      </c>
      <c r="O21" s="908" t="s">
        <v>1607</v>
      </c>
      <c r="P21" s="179"/>
      <c r="Q21" s="194"/>
      <c r="R21" s="168"/>
      <c r="S21" s="399"/>
      <c r="T21" s="216"/>
      <c r="U21" s="170"/>
      <c r="V21" s="877" t="s">
        <v>1608</v>
      </c>
      <c r="X21" s="938" t="s">
        <v>1650</v>
      </c>
    </row>
    <row r="22" spans="1:24" s="42" customFormat="1" ht="43.5" customHeight="1" x14ac:dyDescent="0.25">
      <c r="A22" s="880" t="s">
        <v>17</v>
      </c>
      <c r="B22" s="168">
        <v>146</v>
      </c>
      <c r="C22" s="168"/>
      <c r="D22" s="168"/>
      <c r="E22" s="875" t="s">
        <v>574</v>
      </c>
      <c r="F22" s="446" t="s">
        <v>1438</v>
      </c>
      <c r="G22" s="177">
        <v>3.66</v>
      </c>
      <c r="H22" s="179"/>
      <c r="I22" s="176"/>
      <c r="J22" s="168"/>
      <c r="K22" s="399">
        <v>0.12</v>
      </c>
      <c r="L22" s="216">
        <f t="shared" ref="L22:L32" si="2">(G22+I22+J22)*K22</f>
        <v>0.43919999999999998</v>
      </c>
      <c r="M22" s="879" t="s">
        <v>1093</v>
      </c>
      <c r="N22" s="876" t="s">
        <v>1438</v>
      </c>
      <c r="O22" s="908">
        <v>3.66</v>
      </c>
      <c r="P22" s="179"/>
      <c r="Q22" s="194"/>
      <c r="R22" s="168"/>
      <c r="S22" s="399">
        <v>0.13</v>
      </c>
      <c r="T22" s="216">
        <f t="shared" ref="T22:T32" si="3">(O22+Q22+R22)*S22</f>
        <v>0.47580000000000006</v>
      </c>
      <c r="U22" s="879" t="s">
        <v>1093</v>
      </c>
      <c r="V22" s="877" t="s">
        <v>1670</v>
      </c>
      <c r="X22" s="938"/>
    </row>
    <row r="23" spans="1:24" s="42" customFormat="1" ht="42" customHeight="1" x14ac:dyDescent="0.25">
      <c r="A23" s="880" t="s">
        <v>18</v>
      </c>
      <c r="B23" s="168">
        <v>149</v>
      </c>
      <c r="C23" s="168"/>
      <c r="D23" s="168"/>
      <c r="E23" s="875" t="s">
        <v>1134</v>
      </c>
      <c r="F23" s="446" t="s">
        <v>1438</v>
      </c>
      <c r="G23" s="177">
        <v>3</v>
      </c>
      <c r="H23" s="179"/>
      <c r="I23" s="176"/>
      <c r="J23" s="168"/>
      <c r="K23" s="399">
        <v>0.05</v>
      </c>
      <c r="L23" s="216">
        <f t="shared" si="2"/>
        <v>0.15000000000000002</v>
      </c>
      <c r="M23" s="879" t="s">
        <v>1093</v>
      </c>
      <c r="N23" s="876" t="s">
        <v>1438</v>
      </c>
      <c r="O23" s="908">
        <v>3.33</v>
      </c>
      <c r="P23" s="179"/>
      <c r="Q23" s="194"/>
      <c r="R23" s="168"/>
      <c r="S23" s="399">
        <v>0.05</v>
      </c>
      <c r="T23" s="216">
        <f t="shared" si="3"/>
        <v>0.16650000000000001</v>
      </c>
      <c r="U23" s="879" t="s">
        <v>1093</v>
      </c>
      <c r="V23" s="877" t="s">
        <v>1661</v>
      </c>
      <c r="X23" s="938"/>
    </row>
    <row r="24" spans="1:24" s="42" customFormat="1" ht="59.25" customHeight="1" x14ac:dyDescent="0.25">
      <c r="A24" s="880" t="s">
        <v>19</v>
      </c>
      <c r="B24" s="168">
        <v>154</v>
      </c>
      <c r="C24" s="168"/>
      <c r="D24" s="168"/>
      <c r="E24" s="875" t="s">
        <v>313</v>
      </c>
      <c r="F24" s="876" t="s">
        <v>807</v>
      </c>
      <c r="G24" s="177">
        <v>3.99</v>
      </c>
      <c r="H24" s="179"/>
      <c r="I24" s="176"/>
      <c r="J24" s="168"/>
      <c r="K24" s="399">
        <v>0.21</v>
      </c>
      <c r="L24" s="216">
        <f t="shared" si="2"/>
        <v>0.83789999999999998</v>
      </c>
      <c r="M24" s="879" t="s">
        <v>1093</v>
      </c>
      <c r="N24" s="876" t="s">
        <v>1438</v>
      </c>
      <c r="O24" s="908">
        <v>4.32</v>
      </c>
      <c r="P24" s="179"/>
      <c r="Q24" s="194"/>
      <c r="R24" s="168"/>
      <c r="S24" s="399">
        <v>0.21</v>
      </c>
      <c r="T24" s="216">
        <f t="shared" si="3"/>
        <v>0.90720000000000001</v>
      </c>
      <c r="U24" s="879" t="s">
        <v>1093</v>
      </c>
      <c r="V24" s="877" t="s">
        <v>1665</v>
      </c>
      <c r="X24" s="938"/>
    </row>
    <row r="25" spans="1:24" s="42" customFormat="1" ht="51" customHeight="1" x14ac:dyDescent="0.25">
      <c r="A25" s="880" t="s">
        <v>20</v>
      </c>
      <c r="B25" s="878">
        <v>181</v>
      </c>
      <c r="C25" s="168"/>
      <c r="D25" s="878"/>
      <c r="E25" s="875" t="s">
        <v>1224</v>
      </c>
      <c r="F25" s="876" t="s">
        <v>1438</v>
      </c>
      <c r="G25" s="177">
        <v>3.66</v>
      </c>
      <c r="H25" s="179"/>
      <c r="I25" s="176"/>
      <c r="J25" s="168"/>
      <c r="K25" s="399">
        <v>0.13</v>
      </c>
      <c r="L25" s="216">
        <f>(G25+I25+J25)*K25</f>
        <v>0.47580000000000006</v>
      </c>
      <c r="M25" s="879" t="s">
        <v>1640</v>
      </c>
      <c r="N25" s="876" t="s">
        <v>1438</v>
      </c>
      <c r="O25" s="177">
        <v>0</v>
      </c>
      <c r="P25" s="179"/>
      <c r="Q25" s="194">
        <f>P25*O25</f>
        <v>0</v>
      </c>
      <c r="R25" s="168">
        <v>0</v>
      </c>
      <c r="S25" s="399">
        <v>0</v>
      </c>
      <c r="T25" s="216">
        <f>(O25+Q25+R25)*S25</f>
        <v>0</v>
      </c>
      <c r="U25" s="879" t="s">
        <v>1640</v>
      </c>
      <c r="V25" s="877" t="s">
        <v>1641</v>
      </c>
    </row>
    <row r="26" spans="1:24" s="42" customFormat="1" ht="47.25" customHeight="1" x14ac:dyDescent="0.25">
      <c r="A26" s="880" t="s">
        <v>21</v>
      </c>
      <c r="B26" s="168">
        <v>238</v>
      </c>
      <c r="C26" s="168"/>
      <c r="D26" s="168"/>
      <c r="E26" s="875" t="s">
        <v>1198</v>
      </c>
      <c r="F26" s="446" t="s">
        <v>1438</v>
      </c>
      <c r="G26" s="177">
        <v>4.32</v>
      </c>
      <c r="H26" s="179"/>
      <c r="I26" s="176"/>
      <c r="J26" s="168">
        <v>0.45</v>
      </c>
      <c r="K26" s="399">
        <v>0.17</v>
      </c>
      <c r="L26" s="216">
        <f t="shared" si="2"/>
        <v>0.81090000000000018</v>
      </c>
      <c r="M26" s="879" t="s">
        <v>1093</v>
      </c>
      <c r="N26" s="876" t="s">
        <v>1438</v>
      </c>
      <c r="O26" s="908">
        <v>4.6500000000000004</v>
      </c>
      <c r="P26" s="179"/>
      <c r="Q26" s="194"/>
      <c r="R26" s="168">
        <v>0.45</v>
      </c>
      <c r="S26" s="399">
        <v>0.17</v>
      </c>
      <c r="T26" s="216">
        <f t="shared" si="3"/>
        <v>0.8670000000000001</v>
      </c>
      <c r="U26" s="879" t="s">
        <v>1093</v>
      </c>
      <c r="V26" s="877" t="s">
        <v>1663</v>
      </c>
      <c r="X26" s="938"/>
    </row>
    <row r="27" spans="1:24" s="42" customFormat="1" ht="51" customHeight="1" x14ac:dyDescent="0.25">
      <c r="A27" s="880" t="s">
        <v>34</v>
      </c>
      <c r="B27" s="939">
        <v>204</v>
      </c>
      <c r="C27" s="565"/>
      <c r="D27" s="939"/>
      <c r="E27" s="911" t="s">
        <v>61</v>
      </c>
      <c r="F27" s="876" t="s">
        <v>1438</v>
      </c>
      <c r="G27" s="551">
        <v>3.99</v>
      </c>
      <c r="H27" s="937"/>
      <c r="I27" s="546"/>
      <c r="J27" s="565"/>
      <c r="K27" s="940">
        <v>0.15</v>
      </c>
      <c r="L27" s="216">
        <f t="shared" si="2"/>
        <v>0.59850000000000003</v>
      </c>
      <c r="M27" s="879" t="s">
        <v>1093</v>
      </c>
      <c r="N27" s="876" t="s">
        <v>1438</v>
      </c>
      <c r="O27" s="551">
        <v>4.32</v>
      </c>
      <c r="P27" s="937"/>
      <c r="Q27" s="941"/>
      <c r="R27" s="565"/>
      <c r="S27" s="940">
        <v>0.15</v>
      </c>
      <c r="T27" s="216">
        <f t="shared" si="3"/>
        <v>0.64800000000000002</v>
      </c>
      <c r="U27" s="879" t="s">
        <v>1093</v>
      </c>
      <c r="V27" s="942" t="s">
        <v>1656</v>
      </c>
    </row>
    <row r="28" spans="1:24" s="42" customFormat="1" ht="45" customHeight="1" x14ac:dyDescent="0.25">
      <c r="A28" s="880" t="s">
        <v>35</v>
      </c>
      <c r="B28" s="939">
        <v>223</v>
      </c>
      <c r="C28" s="565"/>
      <c r="D28" s="939"/>
      <c r="E28" s="911" t="s">
        <v>1516</v>
      </c>
      <c r="F28" s="876" t="s">
        <v>1438</v>
      </c>
      <c r="G28" s="551">
        <v>4.32</v>
      </c>
      <c r="H28" s="937"/>
      <c r="I28" s="546"/>
      <c r="J28" s="565"/>
      <c r="K28" s="940">
        <v>0.18</v>
      </c>
      <c r="L28" s="216">
        <f t="shared" si="2"/>
        <v>0.77760000000000007</v>
      </c>
      <c r="M28" s="879" t="s">
        <v>1093</v>
      </c>
      <c r="N28" s="876" t="s">
        <v>1438</v>
      </c>
      <c r="O28" s="551">
        <v>4.32</v>
      </c>
      <c r="P28" s="937"/>
      <c r="Q28" s="941"/>
      <c r="R28" s="565"/>
      <c r="S28" s="940">
        <v>0.19</v>
      </c>
      <c r="T28" s="216">
        <f t="shared" si="3"/>
        <v>0.82080000000000009</v>
      </c>
      <c r="U28" s="879" t="s">
        <v>1093</v>
      </c>
      <c r="V28" s="942" t="s">
        <v>1670</v>
      </c>
    </row>
    <row r="29" spans="1:24" s="42" customFormat="1" ht="51" customHeight="1" x14ac:dyDescent="0.25">
      <c r="A29" s="880" t="s">
        <v>36</v>
      </c>
      <c r="B29" s="939">
        <v>233</v>
      </c>
      <c r="C29" s="565"/>
      <c r="D29" s="939"/>
      <c r="E29" s="911" t="s">
        <v>1271</v>
      </c>
      <c r="F29" s="876" t="s">
        <v>1438</v>
      </c>
      <c r="G29" s="551">
        <v>3</v>
      </c>
      <c r="H29" s="937"/>
      <c r="I29" s="546"/>
      <c r="J29" s="565"/>
      <c r="K29" s="940"/>
      <c r="L29" s="216"/>
      <c r="M29" s="879" t="s">
        <v>1093</v>
      </c>
      <c r="N29" s="876" t="s">
        <v>1438</v>
      </c>
      <c r="O29" s="551">
        <v>3.33</v>
      </c>
      <c r="P29" s="937"/>
      <c r="Q29" s="941"/>
      <c r="R29" s="565"/>
      <c r="S29" s="940">
        <v>0.05</v>
      </c>
      <c r="T29" s="216">
        <f t="shared" si="3"/>
        <v>0.16650000000000001</v>
      </c>
      <c r="U29" s="879" t="s">
        <v>1093</v>
      </c>
      <c r="V29" s="942" t="s">
        <v>1669</v>
      </c>
    </row>
    <row r="30" spans="1:24" s="42" customFormat="1" ht="51" customHeight="1" x14ac:dyDescent="0.25">
      <c r="A30" s="880" t="s">
        <v>37</v>
      </c>
      <c r="B30" s="939">
        <v>235</v>
      </c>
      <c r="C30" s="565"/>
      <c r="D30" s="939"/>
      <c r="E30" s="911" t="s">
        <v>1273</v>
      </c>
      <c r="F30" s="876" t="s">
        <v>1438</v>
      </c>
      <c r="G30" s="551">
        <v>2.67</v>
      </c>
      <c r="H30" s="937"/>
      <c r="I30" s="546"/>
      <c r="J30" s="565">
        <v>0.25</v>
      </c>
      <c r="K30" s="940"/>
      <c r="L30" s="216"/>
      <c r="M30" s="879" t="s">
        <v>1093</v>
      </c>
      <c r="N30" s="876" t="s">
        <v>1438</v>
      </c>
      <c r="O30" s="551">
        <v>2.67</v>
      </c>
      <c r="P30" s="937"/>
      <c r="Q30" s="941"/>
      <c r="R30" s="565">
        <v>0.25</v>
      </c>
      <c r="S30" s="940">
        <v>0.05</v>
      </c>
      <c r="T30" s="216">
        <f t="shared" si="3"/>
        <v>0.14599999999999999</v>
      </c>
      <c r="U30" s="879" t="s">
        <v>1093</v>
      </c>
      <c r="V30" s="942" t="s">
        <v>1668</v>
      </c>
    </row>
    <row r="31" spans="1:24" s="42" customFormat="1" ht="51" customHeight="1" x14ac:dyDescent="0.25">
      <c r="A31" s="880" t="s">
        <v>315</v>
      </c>
      <c r="B31" s="939">
        <v>251</v>
      </c>
      <c r="C31" s="565"/>
      <c r="D31" s="939"/>
      <c r="E31" s="911" t="s">
        <v>1232</v>
      </c>
      <c r="F31" s="876" t="s">
        <v>1438</v>
      </c>
      <c r="G31" s="551">
        <v>3.66</v>
      </c>
      <c r="H31" s="937"/>
      <c r="I31" s="546"/>
      <c r="J31" s="565"/>
      <c r="K31" s="940">
        <v>0.1</v>
      </c>
      <c r="L31" s="216">
        <f t="shared" si="2"/>
        <v>0.36600000000000005</v>
      </c>
      <c r="M31" s="879" t="s">
        <v>1093</v>
      </c>
      <c r="N31" s="876" t="s">
        <v>1438</v>
      </c>
      <c r="O31" s="551">
        <v>3.66</v>
      </c>
      <c r="P31" s="937"/>
      <c r="Q31" s="941"/>
      <c r="R31" s="565"/>
      <c r="S31" s="940">
        <v>0.1</v>
      </c>
      <c r="T31" s="216">
        <f t="shared" si="3"/>
        <v>0.36600000000000005</v>
      </c>
      <c r="U31" s="879" t="s">
        <v>1093</v>
      </c>
      <c r="V31" s="942" t="s">
        <v>1656</v>
      </c>
    </row>
    <row r="32" spans="1:24" s="42" customFormat="1" ht="51" customHeight="1" x14ac:dyDescent="0.25">
      <c r="A32" s="993" t="s">
        <v>175</v>
      </c>
      <c r="B32" s="909">
        <v>257</v>
      </c>
      <c r="C32" s="471"/>
      <c r="D32" s="909"/>
      <c r="E32" s="873" t="s">
        <v>1494</v>
      </c>
      <c r="F32" s="936" t="s">
        <v>1438</v>
      </c>
      <c r="G32" s="486">
        <v>3.33</v>
      </c>
      <c r="H32" s="439"/>
      <c r="I32" s="436"/>
      <c r="J32" s="471"/>
      <c r="K32" s="556">
        <v>0.11</v>
      </c>
      <c r="L32" s="440">
        <f t="shared" si="2"/>
        <v>0.36630000000000001</v>
      </c>
      <c r="M32" s="907" t="s">
        <v>1093</v>
      </c>
      <c r="N32" s="936" t="s">
        <v>1438</v>
      </c>
      <c r="O32" s="486">
        <v>3.66</v>
      </c>
      <c r="P32" s="439"/>
      <c r="Q32" s="442"/>
      <c r="R32" s="471"/>
      <c r="S32" s="556">
        <v>0.11</v>
      </c>
      <c r="T32" s="440">
        <f t="shared" si="3"/>
        <v>0.40260000000000001</v>
      </c>
      <c r="U32" s="907" t="s">
        <v>1093</v>
      </c>
      <c r="V32" s="874" t="s">
        <v>1656</v>
      </c>
    </row>
    <row r="33" spans="1:24" s="42" customFormat="1" ht="6.75" customHeight="1" x14ac:dyDescent="0.25">
      <c r="A33" s="208"/>
      <c r="B33" s="208"/>
      <c r="C33" s="208"/>
      <c r="D33" s="209"/>
      <c r="E33" s="797"/>
      <c r="F33" s="205"/>
      <c r="G33" s="798"/>
      <c r="H33" s="792"/>
      <c r="I33" s="799"/>
      <c r="J33" s="208"/>
      <c r="K33" s="793"/>
      <c r="L33" s="794"/>
      <c r="M33" s="209"/>
      <c r="N33" s="205"/>
      <c r="O33" s="798"/>
      <c r="P33" s="792"/>
      <c r="Q33" s="795"/>
      <c r="R33" s="208"/>
      <c r="S33" s="793"/>
      <c r="T33" s="794"/>
      <c r="U33" s="209"/>
      <c r="V33" s="796"/>
    </row>
    <row r="34" spans="1:24" s="42" customFormat="1" ht="18" hidden="1" customHeight="1" x14ac:dyDescent="0.25">
      <c r="A34" s="208"/>
      <c r="B34" s="208"/>
      <c r="C34" s="208"/>
      <c r="D34" s="209"/>
      <c r="E34" s="1052" t="s">
        <v>1626</v>
      </c>
      <c r="F34" s="1052"/>
      <c r="G34" s="1052"/>
      <c r="H34" s="1052"/>
      <c r="I34" s="1052"/>
      <c r="J34" s="1052"/>
      <c r="K34" s="1052"/>
      <c r="L34" s="1052"/>
      <c r="M34" s="1052"/>
      <c r="N34" s="1052"/>
      <c r="O34" s="1052"/>
      <c r="P34" s="1052"/>
      <c r="Q34" s="1052"/>
      <c r="R34" s="1052"/>
      <c r="S34" s="1052"/>
      <c r="T34" s="1052"/>
      <c r="U34" s="209"/>
      <c r="V34" s="796"/>
    </row>
    <row r="35" spans="1:24" s="212" customFormat="1" ht="15.75" customHeight="1" x14ac:dyDescent="0.25">
      <c r="A35" s="202"/>
      <c r="B35" s="203"/>
      <c r="C35" s="203"/>
      <c r="D35" s="204" t="s">
        <v>52</v>
      </c>
      <c r="E35" s="204"/>
      <c r="F35" s="205"/>
      <c r="G35" s="206"/>
      <c r="H35" s="473"/>
      <c r="I35" s="207"/>
      <c r="J35" s="208"/>
      <c r="K35" s="208"/>
      <c r="L35" s="345"/>
      <c r="M35" s="209"/>
      <c r="N35" s="210"/>
      <c r="O35" s="211"/>
      <c r="P35" s="398"/>
      <c r="Q35" s="211"/>
      <c r="R35" s="204"/>
      <c r="S35" s="204"/>
      <c r="T35" s="204"/>
      <c r="V35" s="381" t="s">
        <v>1686</v>
      </c>
    </row>
    <row r="36" spans="1:24" s="1" customFormat="1" ht="17.25" customHeight="1" x14ac:dyDescent="0.25">
      <c r="A36" s="994" t="s">
        <v>1098</v>
      </c>
      <c r="B36" s="994"/>
      <c r="C36" s="994"/>
      <c r="D36" s="994"/>
      <c r="E36" s="994"/>
      <c r="F36" s="994"/>
      <c r="G36" s="994" t="s">
        <v>1114</v>
      </c>
      <c r="H36" s="994"/>
      <c r="I36" s="994"/>
      <c r="J36" s="994"/>
      <c r="K36" s="994"/>
      <c r="L36" s="994"/>
      <c r="M36" s="994"/>
      <c r="N36" s="994"/>
      <c r="O36" s="994"/>
      <c r="P36" s="994"/>
      <c r="Q36" s="994"/>
      <c r="R36" s="994"/>
      <c r="S36" s="4"/>
      <c r="T36" s="4"/>
      <c r="U36" s="994" t="s">
        <v>176</v>
      </c>
      <c r="V36" s="994"/>
    </row>
    <row r="37" spans="1:24" ht="12.75" customHeight="1" x14ac:dyDescent="0.25">
      <c r="U37" s="1048"/>
      <c r="V37" s="1048"/>
      <c r="X37" s="1"/>
    </row>
    <row r="38" spans="1:24" ht="12.75" customHeight="1" x14ac:dyDescent="0.25"/>
    <row r="39" spans="1:24" ht="7.5" customHeight="1" x14ac:dyDescent="0.25"/>
    <row r="40" spans="1:24" ht="15" hidden="1" customHeight="1" x14ac:dyDescent="0.25"/>
    <row r="41" spans="1:24" ht="11.25" customHeight="1" x14ac:dyDescent="0.25"/>
    <row r="42" spans="1:24" ht="14.25" customHeight="1" x14ac:dyDescent="0.25"/>
    <row r="43" spans="1:24" ht="20.25" customHeight="1" x14ac:dyDescent="0.25"/>
    <row r="44" spans="1:24" s="1" customFormat="1" x14ac:dyDescent="0.25">
      <c r="A44" s="994" t="s">
        <v>1105</v>
      </c>
      <c r="B44" s="994"/>
      <c r="C44" s="994"/>
      <c r="D44" s="994"/>
      <c r="E44" s="994"/>
      <c r="F44" s="994"/>
      <c r="G44" s="994" t="s">
        <v>803</v>
      </c>
      <c r="H44" s="994"/>
      <c r="I44" s="994"/>
      <c r="J44" s="994"/>
      <c r="K44" s="994"/>
      <c r="L44" s="994"/>
      <c r="M44" s="994"/>
      <c r="N44" s="994"/>
      <c r="O44" s="994"/>
      <c r="P44" s="994"/>
      <c r="Q44" s="994"/>
      <c r="R44" s="994"/>
      <c r="U44" s="994" t="s">
        <v>772</v>
      </c>
      <c r="V44" s="994"/>
    </row>
  </sheetData>
  <mergeCells count="20">
    <mergeCell ref="F6:M6"/>
    <mergeCell ref="N6:U6"/>
    <mergeCell ref="A1:I1"/>
    <mergeCell ref="A2:I2"/>
    <mergeCell ref="A44:F44"/>
    <mergeCell ref="G44:R44"/>
    <mergeCell ref="U44:V44"/>
    <mergeCell ref="U37:V37"/>
    <mergeCell ref="N1:V1"/>
    <mergeCell ref="N2:V2"/>
    <mergeCell ref="U36:V36"/>
    <mergeCell ref="D6:D7"/>
    <mergeCell ref="A36:F36"/>
    <mergeCell ref="G36:R36"/>
    <mergeCell ref="A6:A7"/>
    <mergeCell ref="B6:B7"/>
    <mergeCell ref="A4:V4"/>
    <mergeCell ref="E34:T34"/>
    <mergeCell ref="V6:V7"/>
    <mergeCell ref="E6:E7"/>
  </mergeCells>
  <phoneticPr fontId="3" type="noConversion"/>
  <printOptions horizontalCentered="1"/>
  <pageMargins left="0.25" right="0.15748031496063" top="0.22" bottom="0.34" header="0.14000000000000001" footer="0.16"/>
  <pageSetup paperSize="9" scale="85" orientation="landscape" r:id="rId1"/>
  <headerFooter scaleWithDoc="0" alignWithMargins="0">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21"/>
  <sheetViews>
    <sheetView topLeftCell="A4" workbookViewId="0">
      <selection activeCell="F11" sqref="F11"/>
    </sheetView>
  </sheetViews>
  <sheetFormatPr defaultRowHeight="15.75" x14ac:dyDescent="0.25"/>
  <cols>
    <col min="1" max="1" width="5.875" customWidth="1"/>
    <col min="2" max="2" width="16.75" customWidth="1"/>
    <col min="3" max="3" width="15.125" customWidth="1"/>
    <col min="4" max="4" width="12.625" bestFit="1" customWidth="1"/>
    <col min="6" max="6" width="16.25" customWidth="1"/>
  </cols>
  <sheetData>
    <row r="2" spans="1:4" ht="25.5" customHeight="1" x14ac:dyDescent="0.25">
      <c r="A2" s="1058" t="s">
        <v>1529</v>
      </c>
      <c r="B2" s="1058"/>
      <c r="C2" s="1058"/>
      <c r="D2" s="1058"/>
    </row>
    <row r="4" spans="1:4" ht="24.75" customHeight="1" x14ac:dyDescent="0.25">
      <c r="A4" s="809" t="s">
        <v>5</v>
      </c>
      <c r="B4" s="802" t="s">
        <v>1517</v>
      </c>
      <c r="C4" s="802">
        <v>5.76</v>
      </c>
      <c r="D4" s="803">
        <f>C4*1490000</f>
        <v>8582400</v>
      </c>
    </row>
    <row r="5" spans="1:4" ht="24.75" customHeight="1" x14ac:dyDescent="0.25">
      <c r="A5" s="809" t="s">
        <v>6</v>
      </c>
      <c r="B5" s="802" t="s">
        <v>1519</v>
      </c>
      <c r="C5" s="802">
        <v>0.45</v>
      </c>
      <c r="D5" s="803">
        <f>C5*1490000</f>
        <v>670500</v>
      </c>
    </row>
    <row r="6" spans="1:4" ht="24.75" customHeight="1" x14ac:dyDescent="0.25">
      <c r="A6" s="809" t="s">
        <v>7</v>
      </c>
      <c r="B6" s="802" t="s">
        <v>1520</v>
      </c>
      <c r="C6" s="802">
        <v>1.738</v>
      </c>
      <c r="D6" s="803">
        <f>C6*1490000</f>
        <v>2589620</v>
      </c>
    </row>
    <row r="7" spans="1:4" ht="24.75" customHeight="1" x14ac:dyDescent="0.25">
      <c r="A7" s="809" t="s">
        <v>8</v>
      </c>
      <c r="B7" s="802" t="s">
        <v>1521</v>
      </c>
      <c r="C7" s="802">
        <f>(C4+C5)*25%</f>
        <v>1.5525</v>
      </c>
      <c r="D7" s="803">
        <f>C7*1490000</f>
        <v>2313225</v>
      </c>
    </row>
    <row r="8" spans="1:4" ht="24.75" customHeight="1" x14ac:dyDescent="0.25">
      <c r="A8" s="809" t="s">
        <v>177</v>
      </c>
      <c r="B8" s="802" t="s">
        <v>1522</v>
      </c>
      <c r="C8" s="804" t="s">
        <v>1523</v>
      </c>
      <c r="D8" s="803">
        <f>22*50000</f>
        <v>1100000</v>
      </c>
    </row>
    <row r="9" spans="1:4" ht="24.75" customHeight="1" x14ac:dyDescent="0.25">
      <c r="A9" s="809" t="s">
        <v>9</v>
      </c>
      <c r="B9" s="802" t="s">
        <v>1518</v>
      </c>
      <c r="C9" s="805" t="s">
        <v>692</v>
      </c>
      <c r="D9" s="803">
        <f>(C4+C5)*1490000*1.4</f>
        <v>12954060</v>
      </c>
    </row>
    <row r="10" spans="1:4" ht="24.75" customHeight="1" x14ac:dyDescent="0.25">
      <c r="A10" s="809" t="s">
        <v>10</v>
      </c>
      <c r="B10" s="806" t="s">
        <v>1525</v>
      </c>
      <c r="C10" s="804"/>
      <c r="D10" s="803">
        <v>4321000</v>
      </c>
    </row>
    <row r="11" spans="1:4" ht="24.75" customHeight="1" x14ac:dyDescent="0.25">
      <c r="A11" s="809" t="s">
        <v>11</v>
      </c>
      <c r="B11" s="806" t="s">
        <v>1526</v>
      </c>
      <c r="C11" s="804"/>
      <c r="D11" s="803">
        <v>5000000</v>
      </c>
    </row>
    <row r="12" spans="1:4" ht="24.75" customHeight="1" x14ac:dyDescent="0.25">
      <c r="A12" s="809" t="s">
        <v>12</v>
      </c>
      <c r="B12" s="806" t="s">
        <v>1527</v>
      </c>
      <c r="C12" s="804"/>
      <c r="D12" s="803">
        <v>2500000</v>
      </c>
    </row>
    <row r="13" spans="1:4" ht="24.75" customHeight="1" x14ac:dyDescent="0.25">
      <c r="A13" s="809" t="s">
        <v>13</v>
      </c>
      <c r="B13" s="806" t="s">
        <v>1528</v>
      </c>
      <c r="C13" s="804"/>
      <c r="D13" s="803">
        <v>400000</v>
      </c>
    </row>
    <row r="14" spans="1:4" ht="24.75" customHeight="1" x14ac:dyDescent="0.25">
      <c r="A14" s="809" t="s">
        <v>14</v>
      </c>
      <c r="B14" s="806" t="s">
        <v>1530</v>
      </c>
      <c r="C14" s="804"/>
      <c r="D14" s="803">
        <f>(C4+C5)*1490000*1.2</f>
        <v>11103480</v>
      </c>
    </row>
    <row r="15" spans="1:4" s="801" customFormat="1" ht="24.75" customHeight="1" x14ac:dyDescent="0.25">
      <c r="A15" s="807"/>
      <c r="B15" s="807" t="s">
        <v>1524</v>
      </c>
      <c r="C15" s="807"/>
      <c r="D15" s="808">
        <f>SUM(D4:D14)</f>
        <v>51534285</v>
      </c>
    </row>
    <row r="16" spans="1:4" x14ac:dyDescent="0.25">
      <c r="D16" s="800"/>
    </row>
    <row r="17" spans="4:4" x14ac:dyDescent="0.25">
      <c r="D17" s="800"/>
    </row>
    <row r="18" spans="4:4" x14ac:dyDescent="0.25">
      <c r="D18" s="800"/>
    </row>
    <row r="19" spans="4:4" x14ac:dyDescent="0.25">
      <c r="D19" s="800"/>
    </row>
    <row r="20" spans="4:4" x14ac:dyDescent="0.25">
      <c r="D20" s="800"/>
    </row>
    <row r="21" spans="4:4" x14ac:dyDescent="0.25">
      <c r="D21" s="800"/>
    </row>
  </sheetData>
  <mergeCells count="1">
    <mergeCell ref="A2:D2"/>
  </mergeCell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workbookViewId="0">
      <selection activeCell="G11" sqref="G11"/>
    </sheetView>
  </sheetViews>
  <sheetFormatPr defaultRowHeight="15.75" x14ac:dyDescent="0.25"/>
  <cols>
    <col min="4" max="4" width="11.125" bestFit="1" customWidth="1"/>
    <col min="8" max="8" width="12.125" customWidth="1"/>
    <col min="9" max="9" width="11.125" customWidth="1"/>
    <col min="10" max="10" width="11.75" customWidth="1"/>
    <col min="11" max="11" width="15.375" customWidth="1"/>
    <col min="12" max="12" width="13.875" customWidth="1"/>
  </cols>
  <sheetData>
    <row r="1" spans="1:12" ht="21.75" customHeight="1" x14ac:dyDescent="0.25">
      <c r="A1" s="1059"/>
      <c r="B1" s="1059"/>
      <c r="C1" s="1059"/>
      <c r="D1" s="1059"/>
      <c r="E1" s="1059"/>
      <c r="F1" s="1059"/>
      <c r="G1" s="1059"/>
      <c r="H1" s="1059"/>
      <c r="I1" s="1059"/>
      <c r="J1" s="1059"/>
      <c r="K1" s="1059"/>
      <c r="L1" s="1059"/>
    </row>
    <row r="2" spans="1:12" ht="21.75" customHeight="1" x14ac:dyDescent="0.25"/>
    <row r="3" spans="1:12" s="812" customFormat="1" ht="47.25" x14ac:dyDescent="0.25">
      <c r="A3" s="813" t="s">
        <v>1545</v>
      </c>
      <c r="B3" s="813" t="s">
        <v>1536</v>
      </c>
      <c r="C3" s="813" t="s">
        <v>1537</v>
      </c>
      <c r="D3" s="813" t="s">
        <v>1517</v>
      </c>
      <c r="E3" s="813" t="s">
        <v>1538</v>
      </c>
      <c r="F3" s="813" t="s">
        <v>30</v>
      </c>
      <c r="G3" s="813" t="s">
        <v>1540</v>
      </c>
      <c r="H3" s="813" t="s">
        <v>1541</v>
      </c>
      <c r="I3" s="813" t="s">
        <v>1542</v>
      </c>
      <c r="J3" s="813" t="s">
        <v>1543</v>
      </c>
      <c r="K3" s="813" t="s">
        <v>1544</v>
      </c>
      <c r="L3" s="813" t="s">
        <v>1550</v>
      </c>
    </row>
    <row r="4" spans="1:12" s="819" customFormat="1" ht="23.25" customHeight="1" x14ac:dyDescent="0.25">
      <c r="A4" s="818" t="s">
        <v>1546</v>
      </c>
      <c r="B4" s="818">
        <v>1</v>
      </c>
      <c r="C4" s="818">
        <v>2</v>
      </c>
      <c r="D4" s="818" t="s">
        <v>1548</v>
      </c>
      <c r="E4" s="818">
        <v>4</v>
      </c>
      <c r="F4" s="818">
        <v>5</v>
      </c>
      <c r="G4" s="818" t="s">
        <v>1547</v>
      </c>
      <c r="H4" s="818" t="s">
        <v>1549</v>
      </c>
      <c r="I4" s="818">
        <v>8</v>
      </c>
      <c r="J4" s="818">
        <v>9</v>
      </c>
      <c r="K4" s="818">
        <v>10</v>
      </c>
      <c r="L4" s="818" t="s">
        <v>698</v>
      </c>
    </row>
    <row r="5" spans="1:12" s="811" customFormat="1" ht="40.5" customHeight="1" x14ac:dyDescent="0.25">
      <c r="A5" s="814" t="s">
        <v>813</v>
      </c>
      <c r="B5" s="821">
        <v>3</v>
      </c>
      <c r="C5" s="815">
        <v>1490000</v>
      </c>
      <c r="D5" s="815">
        <f>B5*C5</f>
        <v>4470000</v>
      </c>
      <c r="E5" s="820" t="s">
        <v>1539</v>
      </c>
      <c r="F5" s="820">
        <v>0.8</v>
      </c>
      <c r="G5" s="820">
        <f>B5*F5</f>
        <v>2.4000000000000004</v>
      </c>
      <c r="H5" s="815">
        <f>G5*C5</f>
        <v>3576000.0000000005</v>
      </c>
      <c r="I5" s="820">
        <v>22</v>
      </c>
      <c r="J5" s="820">
        <v>13</v>
      </c>
      <c r="K5" s="816">
        <f>IF(J5&gt;=I5,H5,H5/I5*J5)</f>
        <v>2113090.9090909092</v>
      </c>
      <c r="L5" s="817" t="s">
        <v>1551</v>
      </c>
    </row>
    <row r="6" spans="1:12" s="810" customFormat="1" x14ac:dyDescent="0.25"/>
    <row r="7" spans="1:12" s="810" customFormat="1" x14ac:dyDescent="0.25"/>
    <row r="8" spans="1:12" s="810" customFormat="1" x14ac:dyDescent="0.25"/>
  </sheetData>
  <mergeCells count="1">
    <mergeCell ref="A1:L1"/>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57"/>
  <sheetViews>
    <sheetView topLeftCell="A22" workbookViewId="0">
      <selection activeCell="B10" sqref="B10"/>
    </sheetView>
  </sheetViews>
  <sheetFormatPr defaultRowHeight="15.75" x14ac:dyDescent="0.25"/>
  <cols>
    <col min="1" max="1" width="4.625" customWidth="1"/>
    <col min="2" max="2" width="24.5" customWidth="1"/>
    <col min="3" max="3" width="6.5" customWidth="1"/>
    <col min="4" max="4" width="25.75" customWidth="1"/>
    <col min="5" max="5" width="18.625" customWidth="1"/>
  </cols>
  <sheetData>
    <row r="3" spans="1:5" x14ac:dyDescent="0.25">
      <c r="A3" s="904" t="s">
        <v>1610</v>
      </c>
      <c r="B3" t="s">
        <v>1271</v>
      </c>
      <c r="C3" s="827" t="s">
        <v>5</v>
      </c>
      <c r="D3" s="905" t="s">
        <v>740</v>
      </c>
      <c r="E3" s="906" t="s">
        <v>1617</v>
      </c>
    </row>
    <row r="4" spans="1:5" x14ac:dyDescent="0.25">
      <c r="A4" s="904" t="s">
        <v>1616</v>
      </c>
      <c r="B4" t="s">
        <v>1279</v>
      </c>
      <c r="C4" s="827" t="s">
        <v>6</v>
      </c>
      <c r="D4" s="905" t="s">
        <v>1184</v>
      </c>
      <c r="E4" s="906"/>
    </row>
    <row r="5" spans="1:5" x14ac:dyDescent="0.25">
      <c r="A5" s="904" t="s">
        <v>1611</v>
      </c>
      <c r="B5" t="s">
        <v>1140</v>
      </c>
      <c r="C5" s="827" t="s">
        <v>7</v>
      </c>
      <c r="D5" s="905" t="s">
        <v>42</v>
      </c>
      <c r="E5" s="906"/>
    </row>
    <row r="6" spans="1:5" x14ac:dyDescent="0.25">
      <c r="A6" s="904" t="s">
        <v>172</v>
      </c>
      <c r="B6" t="s">
        <v>1294</v>
      </c>
      <c r="C6" s="827" t="s">
        <v>8</v>
      </c>
      <c r="E6" s="906"/>
    </row>
    <row r="7" spans="1:5" x14ac:dyDescent="0.25">
      <c r="A7" s="904" t="s">
        <v>173</v>
      </c>
      <c r="B7" t="s">
        <v>62</v>
      </c>
      <c r="C7" s="827" t="s">
        <v>177</v>
      </c>
    </row>
    <row r="8" spans="1:5" x14ac:dyDescent="0.25">
      <c r="A8" s="904" t="s">
        <v>1612</v>
      </c>
      <c r="B8" t="s">
        <v>809</v>
      </c>
      <c r="C8" s="827" t="s">
        <v>9</v>
      </c>
      <c r="D8" t="s">
        <v>779</v>
      </c>
    </row>
    <row r="9" spans="1:5" x14ac:dyDescent="0.25">
      <c r="A9" s="904" t="s">
        <v>1613</v>
      </c>
      <c r="B9" t="s">
        <v>1280</v>
      </c>
      <c r="C9" s="827" t="s">
        <v>10</v>
      </c>
      <c r="D9" s="881" t="s">
        <v>771</v>
      </c>
    </row>
    <row r="10" spans="1:5" x14ac:dyDescent="0.25">
      <c r="A10" s="904" t="s">
        <v>1614</v>
      </c>
      <c r="B10" s="881" t="s">
        <v>1292</v>
      </c>
      <c r="C10" s="827" t="s">
        <v>11</v>
      </c>
      <c r="D10" t="s">
        <v>656</v>
      </c>
    </row>
    <row r="11" spans="1:5" x14ac:dyDescent="0.25">
      <c r="A11" s="904" t="s">
        <v>1615</v>
      </c>
      <c r="B11" s="955"/>
      <c r="C11" s="827" t="s">
        <v>12</v>
      </c>
      <c r="D11" s="881" t="s">
        <v>804</v>
      </c>
    </row>
    <row r="12" spans="1:5" x14ac:dyDescent="0.25">
      <c r="C12" s="827" t="s">
        <v>13</v>
      </c>
      <c r="D12" t="s">
        <v>1575</v>
      </c>
    </row>
    <row r="13" spans="1:5" x14ac:dyDescent="0.25">
      <c r="C13" s="827" t="s">
        <v>14</v>
      </c>
      <c r="D13" t="s">
        <v>783</v>
      </c>
    </row>
    <row r="14" spans="1:5" x14ac:dyDescent="0.25">
      <c r="C14" s="827" t="s">
        <v>15</v>
      </c>
      <c r="D14" t="s">
        <v>1440</v>
      </c>
    </row>
    <row r="15" spans="1:5" x14ac:dyDescent="0.25">
      <c r="C15" s="827" t="s">
        <v>16</v>
      </c>
      <c r="D15" s="881" t="s">
        <v>1576</v>
      </c>
    </row>
    <row r="16" spans="1:5" x14ac:dyDescent="0.25">
      <c r="C16" s="827" t="s">
        <v>17</v>
      </c>
      <c r="D16" t="s">
        <v>308</v>
      </c>
    </row>
    <row r="17" spans="3:4" x14ac:dyDescent="0.25">
      <c r="C17" s="827" t="s">
        <v>18</v>
      </c>
      <c r="D17" s="881" t="s">
        <v>1577</v>
      </c>
    </row>
    <row r="18" spans="3:4" x14ac:dyDescent="0.25">
      <c r="C18" s="827" t="s">
        <v>19</v>
      </c>
      <c r="D18" s="906" t="s">
        <v>1191</v>
      </c>
    </row>
    <row r="19" spans="3:4" x14ac:dyDescent="0.25">
      <c r="C19" s="827" t="s">
        <v>20</v>
      </c>
      <c r="D19" t="s">
        <v>1578</v>
      </c>
    </row>
    <row r="20" spans="3:4" x14ac:dyDescent="0.25">
      <c r="C20" s="827" t="s">
        <v>21</v>
      </c>
      <c r="D20" t="s">
        <v>1208</v>
      </c>
    </row>
    <row r="21" spans="3:4" x14ac:dyDescent="0.25">
      <c r="C21" s="827" t="s">
        <v>34</v>
      </c>
      <c r="D21" t="s">
        <v>566</v>
      </c>
    </row>
    <row r="22" spans="3:4" x14ac:dyDescent="0.25">
      <c r="C22" s="827" t="s">
        <v>35</v>
      </c>
      <c r="D22" t="s">
        <v>1439</v>
      </c>
    </row>
    <row r="23" spans="3:4" x14ac:dyDescent="0.25">
      <c r="C23" s="827" t="s">
        <v>36</v>
      </c>
      <c r="D23" t="s">
        <v>1457</v>
      </c>
    </row>
    <row r="24" spans="3:4" x14ac:dyDescent="0.25">
      <c r="C24" s="827" t="s">
        <v>37</v>
      </c>
      <c r="D24" t="s">
        <v>814</v>
      </c>
    </row>
    <row r="25" spans="3:4" x14ac:dyDescent="0.25">
      <c r="C25" s="827" t="s">
        <v>315</v>
      </c>
      <c r="D25" t="s">
        <v>739</v>
      </c>
    </row>
    <row r="26" spans="3:4" x14ac:dyDescent="0.25">
      <c r="C26" s="827" t="s">
        <v>175</v>
      </c>
      <c r="D26" s="881" t="s">
        <v>296</v>
      </c>
    </row>
    <row r="27" spans="3:4" x14ac:dyDescent="0.25">
      <c r="C27" s="827" t="s">
        <v>316</v>
      </c>
      <c r="D27" s="881" t="s">
        <v>1224</v>
      </c>
    </row>
    <row r="28" spans="3:4" x14ac:dyDescent="0.25">
      <c r="C28" s="827" t="s">
        <v>317</v>
      </c>
      <c r="D28" t="s">
        <v>568</v>
      </c>
    </row>
    <row r="29" spans="3:4" x14ac:dyDescent="0.25">
      <c r="C29" s="827" t="s">
        <v>318</v>
      </c>
      <c r="D29" t="s">
        <v>301</v>
      </c>
    </row>
    <row r="30" spans="3:4" x14ac:dyDescent="0.25">
      <c r="C30" s="827" t="s">
        <v>319</v>
      </c>
    </row>
    <row r="31" spans="3:4" x14ac:dyDescent="0.25">
      <c r="C31" s="827" t="s">
        <v>320</v>
      </c>
      <c r="D31" t="s">
        <v>1579</v>
      </c>
    </row>
    <row r="32" spans="3:4" x14ac:dyDescent="0.25">
      <c r="C32" s="827" t="s">
        <v>321</v>
      </c>
      <c r="D32" t="s">
        <v>1580</v>
      </c>
    </row>
    <row r="33" spans="3:5" x14ac:dyDescent="0.25">
      <c r="C33" s="827" t="s">
        <v>322</v>
      </c>
      <c r="D33" t="s">
        <v>1586</v>
      </c>
    </row>
    <row r="34" spans="3:5" x14ac:dyDescent="0.25">
      <c r="C34" s="827" t="s">
        <v>323</v>
      </c>
      <c r="D34" t="s">
        <v>297</v>
      </c>
    </row>
    <row r="35" spans="3:5" x14ac:dyDescent="0.25">
      <c r="C35" s="827" t="s">
        <v>324</v>
      </c>
      <c r="D35" t="s">
        <v>1298</v>
      </c>
    </row>
    <row r="36" spans="3:5" x14ac:dyDescent="0.25">
      <c r="C36" s="827" t="s">
        <v>429</v>
      </c>
      <c r="D36" s="905" t="s">
        <v>1223</v>
      </c>
    </row>
    <row r="37" spans="3:5" x14ac:dyDescent="0.25">
      <c r="C37" s="827" t="s">
        <v>343</v>
      </c>
      <c r="D37" t="s">
        <v>561</v>
      </c>
    </row>
    <row r="38" spans="3:5" x14ac:dyDescent="0.25">
      <c r="C38" s="827" t="s">
        <v>344</v>
      </c>
      <c r="D38" s="905" t="s">
        <v>314</v>
      </c>
    </row>
    <row r="39" spans="3:5" x14ac:dyDescent="0.25">
      <c r="C39" s="827" t="s">
        <v>345</v>
      </c>
      <c r="D39" s="905"/>
      <c r="E39" s="905"/>
    </row>
    <row r="40" spans="3:5" x14ac:dyDescent="0.25">
      <c r="C40" s="827" t="s">
        <v>565</v>
      </c>
      <c r="D40" t="s">
        <v>557</v>
      </c>
    </row>
    <row r="41" spans="3:5" x14ac:dyDescent="0.25">
      <c r="C41" s="827" t="s">
        <v>1126</v>
      </c>
      <c r="D41" t="s">
        <v>307</v>
      </c>
    </row>
    <row r="42" spans="3:5" x14ac:dyDescent="0.25">
      <c r="C42" s="827" t="s">
        <v>346</v>
      </c>
      <c r="D42" t="s">
        <v>300</v>
      </c>
    </row>
    <row r="43" spans="3:5" x14ac:dyDescent="0.25">
      <c r="C43" s="827" t="s">
        <v>347</v>
      </c>
      <c r="D43" t="s">
        <v>290</v>
      </c>
    </row>
    <row r="44" spans="3:5" x14ac:dyDescent="0.25">
      <c r="C44" s="827" t="s">
        <v>348</v>
      </c>
      <c r="D44" t="s">
        <v>68</v>
      </c>
    </row>
    <row r="45" spans="3:5" x14ac:dyDescent="0.25">
      <c r="C45" s="827" t="s">
        <v>349</v>
      </c>
      <c r="D45" t="s">
        <v>748</v>
      </c>
    </row>
    <row r="46" spans="3:5" x14ac:dyDescent="0.25">
      <c r="C46" s="827" t="s">
        <v>350</v>
      </c>
      <c r="D46" t="s">
        <v>749</v>
      </c>
    </row>
    <row r="47" spans="3:5" x14ac:dyDescent="0.25">
      <c r="C47" s="827" t="s">
        <v>351</v>
      </c>
      <c r="D47" s="881" t="s">
        <v>63</v>
      </c>
    </row>
    <row r="48" spans="3:5" x14ac:dyDescent="0.25">
      <c r="C48" s="827" t="s">
        <v>352</v>
      </c>
      <c r="D48" t="s">
        <v>299</v>
      </c>
    </row>
    <row r="49" spans="3:4" x14ac:dyDescent="0.25">
      <c r="C49" s="827" t="s">
        <v>556</v>
      </c>
      <c r="D49" s="881" t="s">
        <v>1226</v>
      </c>
    </row>
    <row r="50" spans="3:4" x14ac:dyDescent="0.25">
      <c r="C50" s="827" t="s">
        <v>353</v>
      </c>
      <c r="D50" t="s">
        <v>572</v>
      </c>
    </row>
    <row r="51" spans="3:4" x14ac:dyDescent="0.25">
      <c r="C51" s="827" t="s">
        <v>354</v>
      </c>
    </row>
    <row r="52" spans="3:4" x14ac:dyDescent="0.25">
      <c r="C52" s="827" t="s">
        <v>355</v>
      </c>
    </row>
    <row r="53" spans="3:4" x14ac:dyDescent="0.25">
      <c r="C53" s="827" t="s">
        <v>356</v>
      </c>
      <c r="D53" s="881" t="s">
        <v>1581</v>
      </c>
    </row>
    <row r="54" spans="3:4" x14ac:dyDescent="0.25">
      <c r="C54" s="827" t="s">
        <v>357</v>
      </c>
      <c r="D54" t="s">
        <v>1443</v>
      </c>
    </row>
    <row r="55" spans="3:4" x14ac:dyDescent="0.25">
      <c r="C55" s="827" t="s">
        <v>358</v>
      </c>
      <c r="D55" s="881" t="s">
        <v>1177</v>
      </c>
    </row>
    <row r="56" spans="3:4" x14ac:dyDescent="0.25">
      <c r="C56" s="827" t="s">
        <v>359</v>
      </c>
      <c r="D56" t="s">
        <v>658</v>
      </c>
    </row>
    <row r="57" spans="3:4" x14ac:dyDescent="0.25">
      <c r="C57" s="827" t="s">
        <v>360</v>
      </c>
      <c r="D57" s="881" t="s">
        <v>1216</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PCTN</vt:lpstr>
      <vt:lpstr>HD</vt:lpstr>
      <vt:lpstr>BC</vt:lpstr>
      <vt:lpstr>BĐC-BC T04.2024</vt:lpstr>
      <vt:lpstr>Sheet1</vt:lpstr>
      <vt:lpstr>Anh Tuyet</vt:lpstr>
      <vt:lpstr>Sheet2</vt:lpstr>
      <vt:lpstr>BC!Print_Titles</vt:lpstr>
      <vt:lpstr>'BĐC-BC T04.2024'!Print_Titles</vt:lpstr>
      <vt:lpstr>HD!Print_Titles</vt:lpstr>
      <vt:lpstr>PCTN!Print_Titles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2024-04-02T03:31:01Z</cp:lastPrinted>
  <dcterms:created xsi:type="dcterms:W3CDTF">2007-10-11T08:38:52Z</dcterms:created>
  <dcterms:modified xsi:type="dcterms:W3CDTF">2024-04-19T09:41:24Z</dcterms:modified>
</cp:coreProperties>
</file>