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nda\Desktop\"/>
    </mc:Choice>
  </mc:AlternateContent>
  <bookViews>
    <workbookView xWindow="0" yWindow="0" windowWidth="20490" windowHeight="7320" tabRatio="948" activeTab="9"/>
  </bookViews>
  <sheets>
    <sheet name="KH" sheetId="3" r:id="rId1"/>
    <sheet name="NCC" sheetId="25" r:id="rId2"/>
    <sheet name="NHANVIEN" sheetId="16" r:id="rId3"/>
    <sheet name="TKNH" sheetId="15" r:id="rId4"/>
    <sheet name="HTK" sheetId="12" r:id="rId5"/>
    <sheet name="DINH KHOAN" sheetId="33" r:id="rId6"/>
    <sheet name="Bang PB TL va BHXH" sheetId="22" r:id="rId7"/>
    <sheet name="LUONG1" sheetId="20" r:id="rId8"/>
    <sheet name="LUONG2" sheetId="28" r:id="rId9"/>
    <sheet name="BCNXT" sheetId="7" r:id="rId10"/>
    <sheet name="Bang PBCCDC" sheetId="34" r:id="rId11"/>
    <sheet name="Bang KHTSCD" sheetId="35" r:id="rId12"/>
    <sheet name="Bang PB CPTT" sheetId="36" r:id="rId13"/>
  </sheets>
  <externalReferences>
    <externalReference r:id="rId14"/>
    <externalReference r:id="rId15"/>
  </externalReferences>
  <definedNames>
    <definedName name="_xlnm._FilterDatabase" localSheetId="5" hidden="1">'DINH KHOAN'!$A$6:$M$6</definedName>
    <definedName name="_xlnm._FilterDatabase" localSheetId="2" hidden="1">NHANVIEN!$A$7:$M$30</definedName>
    <definedName name="BDMTK" localSheetId="4">#REF!</definedName>
    <definedName name="BDMTK" localSheetId="8">#REF!</definedName>
    <definedName name="BDMTK" localSheetId="1">#REF!</definedName>
    <definedName name="BDMTK" localSheetId="2">#REF!</definedName>
    <definedName name="BDMTK" localSheetId="3">#REF!</definedName>
    <definedName name="BDMTK">#REF!</definedName>
    <definedName name="FERGE" localSheetId="8">#REF!</definedName>
    <definedName name="FERGE" localSheetId="1">#REF!</definedName>
    <definedName name="FERGE" localSheetId="2">#REF!</definedName>
    <definedName name="FERGE">#REF!</definedName>
    <definedName name="LAPPHIEUTHUCHI" localSheetId="4">#REF!</definedName>
    <definedName name="LAPPHIEUTHUCHI" localSheetId="8">#REF!</definedName>
    <definedName name="LAPPHIEUTHUCHI" localSheetId="1">#REF!</definedName>
    <definedName name="LAPPHIEUTHUCHI" localSheetId="2">#REF!</definedName>
    <definedName name="LAPPHIEUTHUCHI" localSheetId="3">#REF!</definedName>
    <definedName name="LAPPHIEUTHUCHI">#REF!</definedName>
    <definedName name="sktm" localSheetId="8">#REF!</definedName>
    <definedName name="sktm" localSheetId="1">#REF!</definedName>
    <definedName name="sktm" localSheetId="2">#REF!</definedName>
    <definedName name="sktm">#REF!</definedName>
    <definedName name="SLTDK" localSheetId="4">#REF!</definedName>
    <definedName name="SLTDK" localSheetId="8">#REF!</definedName>
    <definedName name="SLTDK" localSheetId="1">#REF!</definedName>
    <definedName name="SLTDK" localSheetId="2">#REF!</definedName>
    <definedName name="SLTDK" localSheetId="3">#REF!</definedName>
    <definedName name="SLTDK">#REF!</definedName>
    <definedName name="SODDK" localSheetId="4">#REF!</definedName>
    <definedName name="SODDK" localSheetId="8">#REF!</definedName>
    <definedName name="SODDK" localSheetId="1">#REF!</definedName>
    <definedName name="SODDK" localSheetId="2">#REF!</definedName>
    <definedName name="SODDK" localSheetId="3">#REF!</definedName>
    <definedName name="SODDK">#REF!</definedName>
    <definedName name="SOHIEUTK" localSheetId="4">#REF!</definedName>
    <definedName name="SOHIEUTK" localSheetId="8">#REF!</definedName>
    <definedName name="SOHIEUTK" localSheetId="1">#REF!</definedName>
    <definedName name="SOHIEUTK" localSheetId="2">#REF!</definedName>
    <definedName name="SOHIEUTK" localSheetId="3">#REF!</definedName>
    <definedName name="SOHIEUTK">#REF!</definedName>
    <definedName name="SOKTMAY" localSheetId="4">#REF!</definedName>
    <definedName name="SOKTMAY" localSheetId="8">#REF!</definedName>
    <definedName name="SOKTMAY" localSheetId="1">#REF!</definedName>
    <definedName name="SOKTMAY" localSheetId="2">#REF!</definedName>
    <definedName name="SOKTMAY" localSheetId="3">#REF!</definedName>
    <definedName name="SOKTMAY">#REF!</definedName>
    <definedName name="SOLUONGPS" localSheetId="4">#REF!</definedName>
    <definedName name="SOLUONGPS" localSheetId="8">#REF!</definedName>
    <definedName name="SOLUONGPS" localSheetId="1">#REF!</definedName>
    <definedName name="SOLUONGPS" localSheetId="2">#REF!</definedName>
    <definedName name="SOLUONGPS" localSheetId="3">#REF!</definedName>
    <definedName name="SOLUONGPS">#REF!</definedName>
    <definedName name="SOPHIEUTHUCHI" localSheetId="4">#REF!</definedName>
    <definedName name="SOPHIEUTHUCHI" localSheetId="8">#REF!</definedName>
    <definedName name="SOPHIEUTHUCHI" localSheetId="1">#REF!</definedName>
    <definedName name="SOPHIEUTHUCHI" localSheetId="2">#REF!</definedName>
    <definedName name="SOPHIEUTHUCHI" localSheetId="3">#REF!</definedName>
    <definedName name="SOPHIEUTHUCHI">#REF!</definedName>
    <definedName name="SOTIENPS" localSheetId="4">#REF!</definedName>
    <definedName name="SOTIENPS" localSheetId="8">#REF!</definedName>
    <definedName name="SOTIENPS" localSheetId="1">#REF!</definedName>
    <definedName name="SOTIENPS" localSheetId="2">#REF!</definedName>
    <definedName name="SOTIENPS" localSheetId="3">#REF!</definedName>
    <definedName name="SOTIENPS">#REF!</definedName>
    <definedName name="TKGHICO" localSheetId="4">#REF!</definedName>
    <definedName name="TKGHICO" localSheetId="8">#REF!</definedName>
    <definedName name="TKGHICO" localSheetId="1">#REF!</definedName>
    <definedName name="TKGHICO" localSheetId="2">#REF!</definedName>
    <definedName name="TKGHICO" localSheetId="3">#REF!</definedName>
    <definedName name="TKGHICO">#REF!</definedName>
    <definedName name="TKGHINO" localSheetId="4">#REF!</definedName>
    <definedName name="TKGHINO" localSheetId="8">#REF!</definedName>
    <definedName name="TKGHINO" localSheetId="1">#REF!</definedName>
    <definedName name="TKGHINO" localSheetId="2">#REF!</definedName>
    <definedName name="TKGHINO" localSheetId="3">#REF!</definedName>
    <definedName name="TKGHINO">#REF!</definedName>
  </definedNames>
  <calcPr calcId="162913"/>
</workbook>
</file>

<file path=xl/calcChain.xml><?xml version="1.0" encoding="utf-8"?>
<calcChain xmlns="http://schemas.openxmlformats.org/spreadsheetml/2006/main">
  <c r="U22" i="20" l="1"/>
  <c r="U23" i="20"/>
  <c r="U24" i="20"/>
  <c r="U21" i="20"/>
  <c r="V10" i="20"/>
  <c r="D130" i="33"/>
  <c r="D129" i="33"/>
  <c r="D128" i="33"/>
  <c r="D127" i="33"/>
  <c r="D126" i="33"/>
  <c r="P26" i="20"/>
  <c r="D120" i="33"/>
  <c r="D123" i="33"/>
  <c r="D122" i="33"/>
  <c r="D121" i="33"/>
  <c r="D227" i="33"/>
  <c r="D215" i="33"/>
  <c r="D214" i="33"/>
  <c r="D213" i="33"/>
  <c r="D210" i="33"/>
  <c r="D209" i="33"/>
  <c r="D208" i="33"/>
  <c r="D205" i="33"/>
  <c r="D204" i="33"/>
  <c r="D206" i="33" s="1"/>
  <c r="D124" i="33" l="1"/>
  <c r="H122" i="33"/>
  <c r="H121" i="33"/>
  <c r="D216" i="33"/>
  <c r="D211" i="33"/>
  <c r="D105" i="33" l="1"/>
  <c r="D104" i="33"/>
  <c r="D101" i="33"/>
  <c r="D100" i="33"/>
  <c r="D97" i="33"/>
  <c r="D96" i="33"/>
  <c r="D93" i="33"/>
  <c r="D92" i="33"/>
  <c r="D51" i="33"/>
  <c r="D50" i="33"/>
  <c r="D49" i="33"/>
  <c r="D48" i="33"/>
  <c r="J9" i="7"/>
  <c r="J10" i="7"/>
  <c r="J11" i="7"/>
  <c r="J12" i="7"/>
  <c r="J17" i="7"/>
  <c r="J18" i="7"/>
  <c r="J19" i="7"/>
  <c r="J20" i="7"/>
  <c r="J8" i="7"/>
  <c r="K10" i="7"/>
  <c r="K9" i="7"/>
  <c r="K8" i="7"/>
  <c r="G12" i="36"/>
  <c r="N11" i="36"/>
  <c r="I11" i="36"/>
  <c r="G11" i="36"/>
  <c r="F11" i="36"/>
  <c r="G10" i="36"/>
  <c r="H10" i="36" s="1"/>
  <c r="I9" i="36"/>
  <c r="F9" i="36"/>
  <c r="A3" i="36"/>
  <c r="A2" i="36"/>
  <c r="A1" i="36"/>
  <c r="G18" i="35"/>
  <c r="J18" i="35" s="1"/>
  <c r="J15" i="35" s="1"/>
  <c r="J17" i="35"/>
  <c r="K17" i="35" s="1"/>
  <c r="L17" i="35" s="1"/>
  <c r="H17" i="35"/>
  <c r="J16" i="35"/>
  <c r="K16" i="35" s="1"/>
  <c r="H16" i="35"/>
  <c r="H15" i="35" s="1"/>
  <c r="F15" i="35"/>
  <c r="E15" i="35"/>
  <c r="G14" i="35"/>
  <c r="G12" i="35" s="1"/>
  <c r="J13" i="35"/>
  <c r="K13" i="35" s="1"/>
  <c r="H13" i="35"/>
  <c r="H12" i="35" s="1"/>
  <c r="I12" i="35"/>
  <c r="F12" i="35"/>
  <c r="E12" i="35"/>
  <c r="J11" i="35"/>
  <c r="K11" i="35" s="1"/>
  <c r="L11" i="35" s="1"/>
  <c r="H11" i="35"/>
  <c r="J10" i="35"/>
  <c r="K10" i="35" s="1"/>
  <c r="H10" i="35"/>
  <c r="H9" i="35" s="1"/>
  <c r="J9" i="35"/>
  <c r="I9" i="35"/>
  <c r="G9" i="35"/>
  <c r="F9" i="35"/>
  <c r="F19" i="35" s="1"/>
  <c r="E9" i="35"/>
  <c r="E19" i="35" s="1"/>
  <c r="A3" i="35"/>
  <c r="A2" i="35"/>
  <c r="A1" i="35"/>
  <c r="E29" i="34"/>
  <c r="F29" i="34" s="1"/>
  <c r="E28" i="34"/>
  <c r="F28" i="34" s="1"/>
  <c r="H27" i="34"/>
  <c r="E27" i="34"/>
  <c r="F27" i="34" s="1"/>
  <c r="F26" i="34"/>
  <c r="E26" i="34"/>
  <c r="E25" i="34"/>
  <c r="F25" i="34" s="1"/>
  <c r="E24" i="34"/>
  <c r="F24" i="34" s="1"/>
  <c r="E23" i="34"/>
  <c r="F23" i="34" s="1"/>
  <c r="N22" i="34"/>
  <c r="I22" i="34"/>
  <c r="G22" i="34"/>
  <c r="E22" i="34"/>
  <c r="E21" i="34"/>
  <c r="F21" i="34" s="1"/>
  <c r="E20" i="34"/>
  <c r="F20" i="34" s="1"/>
  <c r="H20" i="34" s="1"/>
  <c r="F19" i="34"/>
  <c r="H19" i="34" s="1"/>
  <c r="E19" i="34"/>
  <c r="E18" i="34"/>
  <c r="F18" i="34" s="1"/>
  <c r="E17" i="34"/>
  <c r="N16" i="34"/>
  <c r="I16" i="34"/>
  <c r="G16" i="34"/>
  <c r="G30" i="34" s="1"/>
  <c r="F15" i="34"/>
  <c r="E14" i="34"/>
  <c r="F14" i="34" s="1"/>
  <c r="H14" i="34" s="1"/>
  <c r="F13" i="34"/>
  <c r="H13" i="34" s="1"/>
  <c r="E13" i="34"/>
  <c r="E12" i="34"/>
  <c r="F12" i="34" s="1"/>
  <c r="E11" i="34"/>
  <c r="F11" i="34" s="1"/>
  <c r="E10" i="34"/>
  <c r="F10" i="34" s="1"/>
  <c r="N9" i="34"/>
  <c r="N30" i="34" s="1"/>
  <c r="I9" i="34"/>
  <c r="I30" i="34" s="1"/>
  <c r="G9" i="34"/>
  <c r="A3" i="34"/>
  <c r="A2" i="34"/>
  <c r="A1" i="34"/>
  <c r="K10" i="36" l="1"/>
  <c r="K9" i="36" s="1"/>
  <c r="J10" i="36"/>
  <c r="H9" i="36"/>
  <c r="G9" i="36"/>
  <c r="G13" i="36" s="1"/>
  <c r="I13" i="36"/>
  <c r="F13" i="36"/>
  <c r="J9" i="36"/>
  <c r="H12" i="36"/>
  <c r="L10" i="35"/>
  <c r="L9" i="35" s="1"/>
  <c r="K9" i="35"/>
  <c r="L16" i="35"/>
  <c r="H19" i="35"/>
  <c r="L13" i="35"/>
  <c r="J14" i="35"/>
  <c r="I18" i="35"/>
  <c r="G15" i="35"/>
  <c r="G19" i="35" s="1"/>
  <c r="K19" i="34"/>
  <c r="J19" i="34"/>
  <c r="L19" i="34" s="1"/>
  <c r="M19" i="34" s="1"/>
  <c r="K20" i="34"/>
  <c r="J20" i="34"/>
  <c r="L20" i="34" s="1"/>
  <c r="M20" i="34" s="1"/>
  <c r="H18" i="34"/>
  <c r="K14" i="34"/>
  <c r="J14" i="34"/>
  <c r="L14" i="34" s="1"/>
  <c r="M14" i="34" s="1"/>
  <c r="H12" i="34"/>
  <c r="F9" i="34"/>
  <c r="K13" i="34"/>
  <c r="J13" i="34"/>
  <c r="F22" i="34"/>
  <c r="H26" i="34"/>
  <c r="H29" i="34"/>
  <c r="E9" i="34"/>
  <c r="E30" i="34" s="1"/>
  <c r="H10" i="34"/>
  <c r="E16" i="34"/>
  <c r="F17" i="34"/>
  <c r="H21" i="34"/>
  <c r="H23" i="34"/>
  <c r="H25" i="34"/>
  <c r="H28" i="34"/>
  <c r="H24" i="34"/>
  <c r="K27" i="34"/>
  <c r="J27" i="34"/>
  <c r="H11" i="34"/>
  <c r="H15" i="34"/>
  <c r="D47" i="33"/>
  <c r="D71" i="33"/>
  <c r="D70" i="33"/>
  <c r="D69" i="33"/>
  <c r="D226" i="33"/>
  <c r="N9" i="7"/>
  <c r="M9" i="7"/>
  <c r="M10" i="7"/>
  <c r="M11" i="7"/>
  <c r="M12" i="7"/>
  <c r="M13" i="7"/>
  <c r="M14" i="7"/>
  <c r="M15" i="7"/>
  <c r="M16" i="7"/>
  <c r="M17" i="7"/>
  <c r="M18" i="7"/>
  <c r="M19" i="7"/>
  <c r="M20" i="7"/>
  <c r="M8" i="7"/>
  <c r="F21" i="7"/>
  <c r="L9" i="7"/>
  <c r="L10" i="7"/>
  <c r="N10" i="7" s="1"/>
  <c r="L11" i="7"/>
  <c r="N11" i="7" s="1"/>
  <c r="L12" i="7"/>
  <c r="N12" i="7" s="1"/>
  <c r="L17" i="7"/>
  <c r="N17" i="7" s="1"/>
  <c r="L18" i="7"/>
  <c r="N18" i="7" s="1"/>
  <c r="L19" i="7"/>
  <c r="N19" i="7" s="1"/>
  <c r="L20" i="7"/>
  <c r="N20" i="7" s="1"/>
  <c r="L8" i="7"/>
  <c r="N8" i="7" s="1"/>
  <c r="I10" i="7"/>
  <c r="I9" i="7"/>
  <c r="I8" i="7"/>
  <c r="G21" i="7"/>
  <c r="D225" i="33" l="1"/>
  <c r="F225" i="33"/>
  <c r="L10" i="36"/>
  <c r="J12" i="36"/>
  <c r="H11" i="36"/>
  <c r="H13" i="36" s="1"/>
  <c r="K12" i="36"/>
  <c r="K11" i="36" s="1"/>
  <c r="K13" i="36" s="1"/>
  <c r="I15" i="35"/>
  <c r="I19" i="35" s="1"/>
  <c r="K18" i="35"/>
  <c r="K14" i="35"/>
  <c r="J12" i="35"/>
  <c r="J19" i="35" s="1"/>
  <c r="H9" i="34"/>
  <c r="K10" i="34"/>
  <c r="J10" i="34"/>
  <c r="K26" i="34"/>
  <c r="J26" i="34"/>
  <c r="L26" i="34" s="1"/>
  <c r="M26" i="34" s="1"/>
  <c r="K11" i="34"/>
  <c r="J11" i="34"/>
  <c r="L11" i="34" s="1"/>
  <c r="M11" i="34" s="1"/>
  <c r="F30" i="34"/>
  <c r="K21" i="34"/>
  <c r="J21" i="34"/>
  <c r="K24" i="34"/>
  <c r="J24" i="34"/>
  <c r="L24" i="34" s="1"/>
  <c r="M24" i="34" s="1"/>
  <c r="H17" i="34"/>
  <c r="F16" i="34"/>
  <c r="J29" i="34"/>
  <c r="K29" i="34"/>
  <c r="J12" i="34"/>
  <c r="K12" i="34"/>
  <c r="J18" i="34"/>
  <c r="K18" i="34"/>
  <c r="J25" i="34"/>
  <c r="K25" i="34"/>
  <c r="J15" i="34"/>
  <c r="K15" i="34"/>
  <c r="L27" i="34"/>
  <c r="M27" i="34" s="1"/>
  <c r="K28" i="34"/>
  <c r="J28" i="34"/>
  <c r="L28" i="34" s="1"/>
  <c r="M28" i="34" s="1"/>
  <c r="H22" i="34"/>
  <c r="K23" i="34"/>
  <c r="J23" i="34"/>
  <c r="L13" i="34"/>
  <c r="M13" i="34" s="1"/>
  <c r="D72" i="33"/>
  <c r="D73" i="33" s="1"/>
  <c r="D131" i="33"/>
  <c r="D11" i="28"/>
  <c r="M10" i="36" l="1"/>
  <c r="M9" i="36" s="1"/>
  <c r="L9" i="36"/>
  <c r="J11" i="36"/>
  <c r="J13" i="36" s="1"/>
  <c r="L12" i="36"/>
  <c r="L14" i="35"/>
  <c r="L12" i="35" s="1"/>
  <c r="K12" i="35"/>
  <c r="L18" i="35"/>
  <c r="L15" i="35" s="1"/>
  <c r="K15" i="35"/>
  <c r="L15" i="34"/>
  <c r="M15" i="34" s="1"/>
  <c r="L23" i="34"/>
  <c r="J22" i="34"/>
  <c r="L10" i="34"/>
  <c r="J9" i="34"/>
  <c r="L18" i="34"/>
  <c r="M18" i="34" s="1"/>
  <c r="L29" i="34"/>
  <c r="M29" i="34" s="1"/>
  <c r="K22" i="34"/>
  <c r="L25" i="34"/>
  <c r="M25" i="34" s="1"/>
  <c r="L12" i="34"/>
  <c r="M12" i="34" s="1"/>
  <c r="H16" i="34"/>
  <c r="H30" i="34" s="1"/>
  <c r="J17" i="34"/>
  <c r="K17" i="34"/>
  <c r="K16" i="34" s="1"/>
  <c r="L21" i="34"/>
  <c r="M21" i="34" s="1"/>
  <c r="K9" i="34"/>
  <c r="K30" i="34" s="1"/>
  <c r="J20" i="28"/>
  <c r="K20" i="28"/>
  <c r="M20" i="28"/>
  <c r="N20" i="28"/>
  <c r="O20" i="28"/>
  <c r="P20" i="28"/>
  <c r="Q20" i="28"/>
  <c r="S20" i="28"/>
  <c r="T20" i="28"/>
  <c r="W20" i="28"/>
  <c r="L11" i="36" l="1"/>
  <c r="L13" i="36" s="1"/>
  <c r="M12" i="36"/>
  <c r="M11" i="36" s="1"/>
  <c r="M13" i="36" s="1"/>
  <c r="K19" i="35"/>
  <c r="L19" i="35"/>
  <c r="L9" i="34"/>
  <c r="M10" i="34"/>
  <c r="M9" i="34" s="1"/>
  <c r="L22" i="34"/>
  <c r="M23" i="34"/>
  <c r="M22" i="34" s="1"/>
  <c r="L17" i="34"/>
  <c r="J16" i="34"/>
  <c r="J30" i="34"/>
  <c r="D95" i="33"/>
  <c r="D103" i="33"/>
  <c r="D91" i="33"/>
  <c r="D99" i="33"/>
  <c r="D56" i="33"/>
  <c r="D54" i="33" s="1"/>
  <c r="D169" i="33" l="1"/>
  <c r="H154" i="33"/>
  <c r="D171" i="33" s="1"/>
  <c r="H142" i="33"/>
  <c r="D170" i="33" s="1"/>
  <c r="H157" i="33"/>
  <c r="D176" i="33" s="1"/>
  <c r="D174" i="33"/>
  <c r="H145" i="33"/>
  <c r="D175" i="33" s="1"/>
  <c r="H151" i="33"/>
  <c r="D166" i="33" s="1"/>
  <c r="D164" i="33"/>
  <c r="H139" i="33"/>
  <c r="D165" i="33" s="1"/>
  <c r="H160" i="33"/>
  <c r="D181" i="33" s="1"/>
  <c r="D179" i="33"/>
  <c r="H148" i="33"/>
  <c r="D180" i="33" s="1"/>
  <c r="L16" i="34"/>
  <c r="M17" i="34"/>
  <c r="M16" i="34" s="1"/>
  <c r="M30" i="34" s="1"/>
  <c r="L30" i="34"/>
  <c r="D45" i="33"/>
  <c r="D39" i="33"/>
  <c r="D43" i="33" l="1"/>
  <c r="F201" i="33"/>
  <c r="D40" i="33"/>
  <c r="F200" i="33"/>
  <c r="D163" i="33"/>
  <c r="D185" i="33" s="1"/>
  <c r="I13" i="7" s="1"/>
  <c r="J13" i="7" s="1"/>
  <c r="D178" i="33"/>
  <c r="D173" i="33"/>
  <c r="D168" i="33"/>
  <c r="E20" i="7"/>
  <c r="D20" i="7"/>
  <c r="C20" i="7"/>
  <c r="E19" i="7"/>
  <c r="D19" i="7"/>
  <c r="C19" i="7"/>
  <c r="E18" i="7"/>
  <c r="D18" i="7"/>
  <c r="C18" i="7"/>
  <c r="E17" i="7"/>
  <c r="D17" i="7"/>
  <c r="C17" i="7"/>
  <c r="E16" i="7"/>
  <c r="D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E11" i="7"/>
  <c r="D11" i="7"/>
  <c r="C11" i="7"/>
  <c r="E10" i="7"/>
  <c r="D10" i="7"/>
  <c r="C10" i="7"/>
  <c r="E9" i="7"/>
  <c r="D9" i="7"/>
  <c r="C9" i="7"/>
  <c r="E8" i="7"/>
  <c r="D8" i="7"/>
  <c r="C8" i="7"/>
  <c r="O19" i="28"/>
  <c r="P19" i="28" s="1"/>
  <c r="N19" i="28"/>
  <c r="M19" i="28"/>
  <c r="I19" i="28"/>
  <c r="L19" i="28" s="1"/>
  <c r="H19" i="28"/>
  <c r="G19" i="28"/>
  <c r="O18" i="28"/>
  <c r="N18" i="28"/>
  <c r="P18" i="28" s="1"/>
  <c r="M18" i="28"/>
  <c r="I18" i="28"/>
  <c r="H18" i="28"/>
  <c r="G18" i="28"/>
  <c r="G11" i="28" s="1"/>
  <c r="G20" i="28" s="1"/>
  <c r="O17" i="28"/>
  <c r="N17" i="28"/>
  <c r="M17" i="28"/>
  <c r="I17" i="28"/>
  <c r="H17" i="28"/>
  <c r="G17" i="28"/>
  <c r="O16" i="28"/>
  <c r="N16" i="28"/>
  <c r="M16" i="28"/>
  <c r="P16" i="28" s="1"/>
  <c r="I16" i="28"/>
  <c r="H16" i="28"/>
  <c r="G16" i="28"/>
  <c r="R16" i="28" s="1"/>
  <c r="U16" i="28" s="1"/>
  <c r="V16" i="28" s="1"/>
  <c r="R15" i="28"/>
  <c r="U15" i="28" s="1"/>
  <c r="V15" i="28" s="1"/>
  <c r="O15" i="28"/>
  <c r="N15" i="28"/>
  <c r="M15" i="28"/>
  <c r="P15" i="28" s="1"/>
  <c r="I15" i="28"/>
  <c r="H15" i="28"/>
  <c r="G15" i="28"/>
  <c r="O14" i="28"/>
  <c r="N14" i="28"/>
  <c r="M14" i="28"/>
  <c r="I14" i="28"/>
  <c r="H14" i="28"/>
  <c r="G14" i="28"/>
  <c r="O13" i="28"/>
  <c r="N13" i="28"/>
  <c r="M13" i="28"/>
  <c r="P13" i="28" s="1"/>
  <c r="I13" i="28"/>
  <c r="H13" i="28"/>
  <c r="G13" i="28"/>
  <c r="O12" i="28"/>
  <c r="N12" i="28"/>
  <c r="M12" i="28"/>
  <c r="I12" i="28"/>
  <c r="H12" i="28"/>
  <c r="G12" i="28"/>
  <c r="T11" i="28"/>
  <c r="S11" i="28"/>
  <c r="Q11" i="28"/>
  <c r="K11" i="28"/>
  <c r="J11" i="28"/>
  <c r="F11" i="28"/>
  <c r="E11" i="28"/>
  <c r="D20" i="28"/>
  <c r="O10" i="28"/>
  <c r="O9" i="28" s="1"/>
  <c r="N10" i="28"/>
  <c r="N9" i="28" s="1"/>
  <c r="M10" i="28"/>
  <c r="P10" i="28" s="1"/>
  <c r="P9" i="28" s="1"/>
  <c r="I10" i="28"/>
  <c r="I9" i="28" s="1"/>
  <c r="H10" i="28"/>
  <c r="H9" i="28" s="1"/>
  <c r="G10" i="28"/>
  <c r="L10" i="28" s="1"/>
  <c r="L9" i="28" s="1"/>
  <c r="T9" i="28"/>
  <c r="S9" i="28"/>
  <c r="Q9" i="28"/>
  <c r="K9" i="28"/>
  <c r="J9" i="28"/>
  <c r="F9" i="28"/>
  <c r="E9" i="28"/>
  <c r="D9" i="28"/>
  <c r="AA4" i="28"/>
  <c r="Y4" i="28"/>
  <c r="X4" i="28"/>
  <c r="Q25" i="20"/>
  <c r="K25" i="20"/>
  <c r="F25" i="20"/>
  <c r="E25" i="20"/>
  <c r="V24" i="20"/>
  <c r="P24" i="20"/>
  <c r="O24" i="20"/>
  <c r="N24" i="20"/>
  <c r="M24" i="20"/>
  <c r="L24" i="20"/>
  <c r="I24" i="20"/>
  <c r="H24" i="20"/>
  <c r="G24" i="20"/>
  <c r="R24" i="20" s="1"/>
  <c r="V23" i="20"/>
  <c r="P23" i="20"/>
  <c r="O23" i="20"/>
  <c r="N23" i="20"/>
  <c r="M23" i="20"/>
  <c r="L23" i="20"/>
  <c r="I23" i="20"/>
  <c r="H23" i="20"/>
  <c r="G23" i="20"/>
  <c r="R23" i="20" s="1"/>
  <c r="V22" i="20"/>
  <c r="V20" i="20" s="1"/>
  <c r="O22" i="20"/>
  <c r="N22" i="20"/>
  <c r="P22" i="20" s="1"/>
  <c r="M22" i="20"/>
  <c r="I22" i="20"/>
  <c r="H22" i="20"/>
  <c r="L22" i="20" s="1"/>
  <c r="G22" i="20"/>
  <c r="V21" i="20"/>
  <c r="P21" i="20"/>
  <c r="P20" i="20" s="1"/>
  <c r="O21" i="20"/>
  <c r="O20" i="20" s="1"/>
  <c r="N21" i="20"/>
  <c r="M21" i="20"/>
  <c r="L21" i="20"/>
  <c r="L20" i="20" s="1"/>
  <c r="I21" i="20"/>
  <c r="I20" i="20" s="1"/>
  <c r="H21" i="20"/>
  <c r="G21" i="20"/>
  <c r="R21" i="20" s="1"/>
  <c r="W20" i="20"/>
  <c r="W25" i="20" s="1"/>
  <c r="U20" i="20"/>
  <c r="T20" i="20"/>
  <c r="S20" i="20"/>
  <c r="S25" i="20" s="1"/>
  <c r="Q20" i="20"/>
  <c r="N20" i="20"/>
  <c r="M20" i="20"/>
  <c r="K20" i="20"/>
  <c r="J20" i="20"/>
  <c r="G20" i="20"/>
  <c r="F20" i="20"/>
  <c r="E20" i="20"/>
  <c r="D20" i="20"/>
  <c r="O19" i="20"/>
  <c r="N19" i="20"/>
  <c r="M19" i="20"/>
  <c r="I19" i="20"/>
  <c r="H19" i="20"/>
  <c r="G19" i="20"/>
  <c r="P18" i="20"/>
  <c r="O18" i="20"/>
  <c r="N18" i="20"/>
  <c r="M18" i="20"/>
  <c r="L18" i="20"/>
  <c r="I18" i="20"/>
  <c r="H18" i="20"/>
  <c r="G18" i="20"/>
  <c r="R18" i="20" s="1"/>
  <c r="U18" i="20" s="1"/>
  <c r="V18" i="20" s="1"/>
  <c r="R17" i="20"/>
  <c r="U17" i="20" s="1"/>
  <c r="V17" i="20" s="1"/>
  <c r="O17" i="20"/>
  <c r="N17" i="20"/>
  <c r="M17" i="20"/>
  <c r="P17" i="20" s="1"/>
  <c r="I17" i="20"/>
  <c r="H17" i="20"/>
  <c r="G17" i="20"/>
  <c r="L17" i="20" s="1"/>
  <c r="O16" i="20"/>
  <c r="P16" i="20" s="1"/>
  <c r="N16" i="20"/>
  <c r="M16" i="20"/>
  <c r="I16" i="20"/>
  <c r="L16" i="20" s="1"/>
  <c r="H16" i="20"/>
  <c r="G16" i="20"/>
  <c r="R16" i="20" s="1"/>
  <c r="U16" i="20" s="1"/>
  <c r="V16" i="20" s="1"/>
  <c r="O15" i="20"/>
  <c r="N15" i="20"/>
  <c r="M15" i="20"/>
  <c r="P15" i="20" s="1"/>
  <c r="I15" i="20"/>
  <c r="H15" i="20"/>
  <c r="G15" i="20"/>
  <c r="O14" i="20"/>
  <c r="N14" i="20"/>
  <c r="P14" i="20" s="1"/>
  <c r="M14" i="20"/>
  <c r="I14" i="20"/>
  <c r="H14" i="20"/>
  <c r="L14" i="20" s="1"/>
  <c r="G14" i="20"/>
  <c r="P13" i="20"/>
  <c r="O13" i="20"/>
  <c r="N13" i="20"/>
  <c r="M13" i="20"/>
  <c r="L13" i="20"/>
  <c r="I13" i="20"/>
  <c r="H13" i="20"/>
  <c r="G13" i="20"/>
  <c r="R13" i="20" s="1"/>
  <c r="U13" i="20" s="1"/>
  <c r="V13" i="20" s="1"/>
  <c r="O12" i="20"/>
  <c r="N12" i="20"/>
  <c r="M12" i="20"/>
  <c r="I12" i="20"/>
  <c r="H12" i="20"/>
  <c r="G12" i="20"/>
  <c r="R11" i="20"/>
  <c r="U11" i="20" s="1"/>
  <c r="O11" i="20"/>
  <c r="N11" i="20"/>
  <c r="M11" i="20"/>
  <c r="P11" i="20" s="1"/>
  <c r="I11" i="20"/>
  <c r="H11" i="20"/>
  <c r="G11" i="20"/>
  <c r="W10" i="20"/>
  <c r="T10" i="20"/>
  <c r="T25" i="20" s="1"/>
  <c r="S10" i="20"/>
  <c r="Q10" i="20"/>
  <c r="N10" i="20"/>
  <c r="N25" i="20" s="1"/>
  <c r="M10" i="20"/>
  <c r="K10" i="20"/>
  <c r="J10" i="20"/>
  <c r="I10" i="20"/>
  <c r="F10" i="20"/>
  <c r="E10" i="20"/>
  <c r="D10" i="20"/>
  <c r="D25" i="20" s="1"/>
  <c r="AC4" i="20"/>
  <c r="E16" i="22"/>
  <c r="J14" i="22"/>
  <c r="I14" i="22"/>
  <c r="H14" i="22"/>
  <c r="F14" i="22"/>
  <c r="G14" i="22" s="1"/>
  <c r="J13" i="22"/>
  <c r="I13" i="22"/>
  <c r="H13" i="22"/>
  <c r="F13" i="22"/>
  <c r="G13" i="22" s="1"/>
  <c r="J12" i="22"/>
  <c r="I12" i="22"/>
  <c r="H12" i="22"/>
  <c r="F12" i="22"/>
  <c r="J11" i="22"/>
  <c r="I11" i="22"/>
  <c r="H11" i="22"/>
  <c r="F11" i="22"/>
  <c r="H185" i="33" l="1"/>
  <c r="I185" i="33" s="1"/>
  <c r="D186" i="33"/>
  <c r="D200" i="33"/>
  <c r="D201" i="33"/>
  <c r="D59" i="33"/>
  <c r="L13" i="7"/>
  <c r="N13" i="7" s="1"/>
  <c r="D191" i="33"/>
  <c r="D192" i="33"/>
  <c r="D195" i="33"/>
  <c r="D194" i="33"/>
  <c r="D189" i="33"/>
  <c r="D188" i="33"/>
  <c r="K21" i="7"/>
  <c r="F15" i="22"/>
  <c r="D16" i="22"/>
  <c r="I15" i="22"/>
  <c r="J15" i="22"/>
  <c r="J16" i="22" s="1"/>
  <c r="L18" i="28"/>
  <c r="F20" i="28"/>
  <c r="O11" i="28"/>
  <c r="G9" i="28"/>
  <c r="M9" i="28"/>
  <c r="L14" i="28"/>
  <c r="L15" i="28"/>
  <c r="R18" i="28"/>
  <c r="U18" i="28" s="1"/>
  <c r="V18" i="28" s="1"/>
  <c r="R19" i="28"/>
  <c r="U19" i="28" s="1"/>
  <c r="V19" i="28" s="1"/>
  <c r="E20" i="28"/>
  <c r="R10" i="28"/>
  <c r="R14" i="28"/>
  <c r="U14" i="28" s="1"/>
  <c r="V14" i="28" s="1"/>
  <c r="L16" i="28"/>
  <c r="V11" i="20"/>
  <c r="Z4" i="20"/>
  <c r="K13" i="22"/>
  <c r="H11" i="28"/>
  <c r="L12" i="28"/>
  <c r="J25" i="20"/>
  <c r="P14" i="28"/>
  <c r="L15" i="20"/>
  <c r="R15" i="20"/>
  <c r="U15" i="20" s="1"/>
  <c r="V15" i="20" s="1"/>
  <c r="L19" i="20"/>
  <c r="R19" i="20"/>
  <c r="U19" i="20" s="1"/>
  <c r="V19" i="20" s="1"/>
  <c r="R22" i="20"/>
  <c r="R20" i="20" s="1"/>
  <c r="L13" i="28"/>
  <c r="R13" i="28"/>
  <c r="U13" i="28" s="1"/>
  <c r="V13" i="28" s="1"/>
  <c r="L17" i="28"/>
  <c r="R17" i="28"/>
  <c r="U17" i="28" s="1"/>
  <c r="V17" i="28" s="1"/>
  <c r="L13" i="22"/>
  <c r="I25" i="20"/>
  <c r="H10" i="20"/>
  <c r="L12" i="20"/>
  <c r="F16" i="22"/>
  <c r="G11" i="22"/>
  <c r="K14" i="22"/>
  <c r="L14" i="22" s="1"/>
  <c r="M25" i="20"/>
  <c r="P12" i="20"/>
  <c r="P10" i="20" s="1"/>
  <c r="P25" i="20" s="1"/>
  <c r="R14" i="20"/>
  <c r="U14" i="20" s="1"/>
  <c r="V14" i="20" s="1"/>
  <c r="R12" i="28"/>
  <c r="N11" i="28"/>
  <c r="P12" i="28"/>
  <c r="P11" i="28" s="1"/>
  <c r="L11" i="20"/>
  <c r="G10" i="20"/>
  <c r="G12" i="22"/>
  <c r="H15" i="22"/>
  <c r="O10" i="20"/>
  <c r="O25" i="20" s="1"/>
  <c r="R12" i="20"/>
  <c r="U12" i="20" s="1"/>
  <c r="V12" i="20" s="1"/>
  <c r="P19" i="20"/>
  <c r="H20" i="20"/>
  <c r="M11" i="28"/>
  <c r="I11" i="28"/>
  <c r="P17" i="28"/>
  <c r="H21" i="7"/>
  <c r="H188" i="33" l="1"/>
  <c r="I188" i="33" s="1"/>
  <c r="I14" i="7"/>
  <c r="J14" i="7" s="1"/>
  <c r="H191" i="33"/>
  <c r="I191" i="33" s="1"/>
  <c r="I15" i="7"/>
  <c r="J15" i="7" s="1"/>
  <c r="H194" i="33"/>
  <c r="I194" i="33" s="1"/>
  <c r="I16" i="7"/>
  <c r="J16" i="7" s="1"/>
  <c r="I16" i="22"/>
  <c r="H20" i="28"/>
  <c r="I20" i="28"/>
  <c r="U10" i="28"/>
  <c r="R9" i="28"/>
  <c r="K11" i="22"/>
  <c r="G16" i="22"/>
  <c r="H25" i="20"/>
  <c r="U10" i="20"/>
  <c r="U25" i="20" s="1"/>
  <c r="L10" i="20"/>
  <c r="L25" i="20" s="1"/>
  <c r="R11" i="28"/>
  <c r="R20" i="28" s="1"/>
  <c r="U12" i="28"/>
  <c r="L11" i="28"/>
  <c r="L20" i="28" s="1"/>
  <c r="AA4" i="20"/>
  <c r="K12" i="22"/>
  <c r="L12" i="22" s="1"/>
  <c r="G25" i="20"/>
  <c r="M21" i="7"/>
  <c r="K15" i="22"/>
  <c r="L15" i="22" s="1"/>
  <c r="L16" i="22" s="1"/>
  <c r="H16" i="22"/>
  <c r="R10" i="20"/>
  <c r="R25" i="20" s="1"/>
  <c r="V25" i="20"/>
  <c r="D133" i="33" s="1"/>
  <c r="D134" i="33" s="1"/>
  <c r="D61" i="33" l="1"/>
  <c r="L15" i="7"/>
  <c r="N15" i="7" s="1"/>
  <c r="D62" i="33"/>
  <c r="L16" i="7"/>
  <c r="N16" i="7" s="1"/>
  <c r="D60" i="33"/>
  <c r="L14" i="7"/>
  <c r="N14" i="7" s="1"/>
  <c r="U9" i="28"/>
  <c r="V10" i="28"/>
  <c r="V9" i="28" s="1"/>
  <c r="K16" i="22"/>
  <c r="L11" i="22"/>
  <c r="V12" i="28"/>
  <c r="V11" i="28" s="1"/>
  <c r="V20" i="28" s="1"/>
  <c r="U11" i="28"/>
  <c r="U20" i="28" s="1"/>
  <c r="D58" i="33" l="1"/>
  <c r="D224" i="33" s="1"/>
  <c r="D223" i="33" s="1"/>
  <c r="I21" i="7"/>
  <c r="D238" i="33" l="1"/>
  <c r="D239" i="33" s="1"/>
  <c r="D230" i="33"/>
  <c r="L21" i="7"/>
  <c r="N21" i="7"/>
  <c r="D231" i="33" l="1"/>
  <c r="D234" i="33"/>
  <c r="D235" i="33"/>
</calcChain>
</file>

<file path=xl/sharedStrings.xml><?xml version="1.0" encoding="utf-8"?>
<sst xmlns="http://schemas.openxmlformats.org/spreadsheetml/2006/main" count="993" uniqueCount="579">
  <si>
    <t>STT</t>
  </si>
  <si>
    <t>ĐVT</t>
  </si>
  <si>
    <t>ĐVT: Đồng</t>
  </si>
  <si>
    <t>Đơn vị tính</t>
  </si>
  <si>
    <t>Đơn giá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</si>
  <si>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</si>
  <si>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</si>
  <si>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</si>
  <si>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</si>
  <si>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</si>
  <si>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</si>
  <si>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</si>
  <si>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</si>
  <si>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</si>
  <si>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</si>
  <si>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Ngày ... tháng ... năm ...</t>
  </si>
  <si>
    <t>Người lập biểu</t>
  </si>
  <si>
    <t>Kế toán trưởng</t>
  </si>
  <si>
    <t>Người đại diện theo pháp luật</t>
  </si>
  <si>
    <t>(Ký, họ tên)</t>
  </si>
  <si>
    <t>(Ký, họ tên, đóng dấu)</t>
  </si>
  <si>
    <t>DANH MỤC KHÁCH HÀNG</t>
  </si>
  <si>
    <t>Số hiệu tài khoản</t>
  </si>
  <si>
    <t>Mã KH</t>
  </si>
  <si>
    <t>Tên khách hàng</t>
  </si>
  <si>
    <t>Mã số thuế</t>
  </si>
  <si>
    <t>Địa chỉ</t>
  </si>
  <si>
    <t>Loại</t>
  </si>
  <si>
    <t>131.01</t>
  </si>
  <si>
    <t>SIFA</t>
  </si>
  <si>
    <t>CÔNG TY TNHH THỜI TRANG SIFA</t>
  </si>
  <si>
    <t>0312174530</t>
  </si>
  <si>
    <t>111 Ngô Tất Tố, P.22, Q. Bình Thạnh, TP.HCM</t>
  </si>
  <si>
    <t>KH</t>
  </si>
  <si>
    <t>131.02</t>
  </si>
  <si>
    <t>NAMKHANH</t>
  </si>
  <si>
    <t>CÔNG TY TNHH MTV NAM KHÁNH</t>
  </si>
  <si>
    <t>031442912</t>
  </si>
  <si>
    <t>28 Lê Đức Thọ, P.15, Q. Gò Vấp, TP.HCM</t>
  </si>
  <si>
    <t>131.03</t>
  </si>
  <si>
    <t>PHONGPHU</t>
  </si>
  <si>
    <t>CÔNG TY CP DỆT MAY PHONG PHÚ</t>
  </si>
  <si>
    <t>0303112489</t>
  </si>
  <si>
    <t>48 Man Thiện, P. Tăng Nhơn Phú B, Q.9, TP. HCM</t>
  </si>
  <si>
    <t>DANH MỤC NHÀ CUNG CẤP</t>
  </si>
  <si>
    <t>Mã NCC</t>
  </si>
  <si>
    <t>Tên Nhà cung cấp</t>
  </si>
  <si>
    <t>331.01</t>
  </si>
  <si>
    <t>331.02</t>
  </si>
  <si>
    <t>PHUTHE</t>
  </si>
  <si>
    <t>CÔNG TY TNHH TMSX PHÚ THẾ</t>
  </si>
  <si>
    <t>0310584267</t>
  </si>
  <si>
    <t>34 Nguyễn Thái Sơn, P.8, Q. Gò Vấp, TP.HCM</t>
  </si>
  <si>
    <t>331.03</t>
  </si>
  <si>
    <t>LANTAN</t>
  </si>
  <si>
    <t>CÔNG TY TNHH LAN TÂN</t>
  </si>
  <si>
    <t>59 Phạm Văn Chiêu, P.14, Q. Gò Vấp, TP.HCM</t>
  </si>
  <si>
    <t>331.04</t>
  </si>
  <si>
    <t>DANH MỤC TÀI KHOẢN NGÂN HÀNG</t>
  </si>
  <si>
    <t>Số hiệu tài khoản</t>
  </si>
  <si>
    <t>Số tài khoản ngân hàng</t>
  </si>
  <si>
    <t>Tên ngân hàng</t>
  </si>
  <si>
    <t>Chi nhánh của ngân hàng</t>
  </si>
  <si>
    <t>1121.01</t>
  </si>
  <si>
    <t>6160205106787</t>
  </si>
  <si>
    <t>Ngân hàng Nông nghiệp và Phát triển Nông thôn</t>
  </si>
  <si>
    <t>Chi nhánh Gò Vấp- TP.HCM</t>
  </si>
  <si>
    <t>1121.02</t>
  </si>
  <si>
    <t>0071005751869</t>
  </si>
  <si>
    <t>Ngân hàng TM CP Ngoại thương Việt Nam</t>
  </si>
  <si>
    <t>DANH MỤC NHÂN VIÊN</t>
  </si>
  <si>
    <t>Mã NV</t>
  </si>
  <si>
    <t>Tên nhân viên</t>
  </si>
  <si>
    <t>Ngày tháng năm sinh</t>
  </si>
  <si>
    <t>Quê quán</t>
  </si>
  <si>
    <t>số CMND</t>
  </si>
  <si>
    <t>Phòng ban</t>
  </si>
  <si>
    <t>Chức vụ</t>
  </si>
  <si>
    <t>Lương Thỏa thuận</t>
  </si>
  <si>
    <t>Số người phụ thuộc</t>
  </si>
  <si>
    <t>L</t>
  </si>
  <si>
    <t>M</t>
  </si>
  <si>
    <t>O</t>
  </si>
  <si>
    <t>141.01</t>
  </si>
  <si>
    <t>NTHOA</t>
  </si>
  <si>
    <t>Nguyễn Thị Hoa</t>
  </si>
  <si>
    <t>P.GĐ</t>
  </si>
  <si>
    <t>GĐ</t>
  </si>
  <si>
    <t>141.02</t>
  </si>
  <si>
    <t>LTTANH</t>
  </si>
  <si>
    <t>Lê Thị Tú Anh</t>
  </si>
  <si>
    <t>PGĐ</t>
  </si>
  <si>
    <t>141.03</t>
  </si>
  <si>
    <t>DTTHAO</t>
  </si>
  <si>
    <t>Đặng Thị Thảo</t>
  </si>
  <si>
    <t>P.HC-TH</t>
  </si>
  <si>
    <t>TP</t>
  </si>
  <si>
    <t>141.04</t>
  </si>
  <si>
    <t>DHANH</t>
  </si>
  <si>
    <t>Đặng Hồng Anh</t>
  </si>
  <si>
    <t>NV</t>
  </si>
  <si>
    <t>141.05</t>
  </si>
  <si>
    <t>TNNGAN</t>
  </si>
  <si>
    <t>Trần Ngọc Ngân</t>
  </si>
  <si>
    <t>141.06</t>
  </si>
  <si>
    <t>DLPHUONG</t>
  </si>
  <si>
    <t>Đào Lan Phương</t>
  </si>
  <si>
    <t>P.KẾ TOÁN</t>
  </si>
  <si>
    <t>KTT</t>
  </si>
  <si>
    <t>141.07</t>
  </si>
  <si>
    <t>NTBINH</t>
  </si>
  <si>
    <t>Ngô Thanh Bình</t>
  </si>
  <si>
    <t>KT</t>
  </si>
  <si>
    <t>141.08</t>
  </si>
  <si>
    <t>TVLUONG</t>
  </si>
  <si>
    <t>Trần Văn Lương</t>
  </si>
  <si>
    <t>P.KHO</t>
  </si>
  <si>
    <t>141.09</t>
  </si>
  <si>
    <t>BVTAM</t>
  </si>
  <si>
    <t>Bùi Văn Tâm</t>
  </si>
  <si>
    <t>141.10</t>
  </si>
  <si>
    <t>LMCHI</t>
  </si>
  <si>
    <t>Lê Minh Chí</t>
  </si>
  <si>
    <t>P.KD</t>
  </si>
  <si>
    <t>NVKD</t>
  </si>
  <si>
    <t>141.11</t>
  </si>
  <si>
    <t>THNAM</t>
  </si>
  <si>
    <t>Trần Hoài Nam</t>
  </si>
  <si>
    <t>141.12</t>
  </si>
  <si>
    <t>TDCHI</t>
  </si>
  <si>
    <t>Trần Đức Chí</t>
  </si>
  <si>
    <t>141.13</t>
  </si>
  <si>
    <t>LTTAM</t>
  </si>
  <si>
    <t>Lê Thanh Tâm</t>
  </si>
  <si>
    <t>141.14</t>
  </si>
  <si>
    <t>PTTHAP</t>
  </si>
  <si>
    <t>Phạm Thế Thập</t>
  </si>
  <si>
    <t>P.QLSX</t>
  </si>
  <si>
    <t>QLSX</t>
  </si>
  <si>
    <t>141.15</t>
  </si>
  <si>
    <t>HVHIEP</t>
  </si>
  <si>
    <t>Hà Văn Hiệp</t>
  </si>
  <si>
    <t>BPSX</t>
  </si>
  <si>
    <t>CNSX</t>
  </si>
  <si>
    <t>141.16</t>
  </si>
  <si>
    <t>BNKHOA</t>
  </si>
  <si>
    <t>Bùi Ngọc Khoa</t>
  </si>
  <si>
    <t>141.17</t>
  </si>
  <si>
    <t>NPLAN</t>
  </si>
  <si>
    <t>Nguyễn Phong Lan</t>
  </si>
  <si>
    <t>141.18</t>
  </si>
  <si>
    <t>HVTOAN</t>
  </si>
  <si>
    <t xml:space="preserve">Hà Văn Toàn </t>
  </si>
  <si>
    <t>141.19</t>
  </si>
  <si>
    <t>HVMINH</t>
  </si>
  <si>
    <t>Hà Văn Minh</t>
  </si>
  <si>
    <t>141.20</t>
  </si>
  <si>
    <t>NQDUNG</t>
  </si>
  <si>
    <t>Ngô Quốc Dũng</t>
  </si>
  <si>
    <t>141.21</t>
  </si>
  <si>
    <t>PTHONG</t>
  </si>
  <si>
    <t>Phạm Thái Hồng</t>
  </si>
  <si>
    <t>141.22</t>
  </si>
  <si>
    <t>DVTAN</t>
  </si>
  <si>
    <t>Dương Văn Tần</t>
  </si>
  <si>
    <t>DANH MỤC NGUYÊN VẬT LIỆU</t>
  </si>
  <si>
    <t>Mã hàng</t>
  </si>
  <si>
    <t>Tên hàng</t>
  </si>
  <si>
    <t>1521.01</t>
  </si>
  <si>
    <t>KAKI</t>
  </si>
  <si>
    <t>Vải KAKI</t>
  </si>
  <si>
    <t xml:space="preserve">Cái </t>
  </si>
  <si>
    <t>1521.02</t>
  </si>
  <si>
    <t>COTTON</t>
  </si>
  <si>
    <t>Vải COTTON</t>
  </si>
  <si>
    <t>CHI</t>
  </si>
  <si>
    <t>Chỉ</t>
  </si>
  <si>
    <t>II</t>
  </si>
  <si>
    <t>DANH MỤC CÔNG CỤ DỤNG CỤ</t>
  </si>
  <si>
    <t>153.01</t>
  </si>
  <si>
    <t>KIM</t>
  </si>
  <si>
    <t>Kim</t>
  </si>
  <si>
    <t>Hộp</t>
  </si>
  <si>
    <t>153.02</t>
  </si>
  <si>
    <t>KEO</t>
  </si>
  <si>
    <t>Kéo</t>
  </si>
  <si>
    <t>Cái</t>
  </si>
  <si>
    <t>III</t>
  </si>
  <si>
    <t>DANH MỤC THÀNH PHẨM</t>
  </si>
  <si>
    <t>155.01</t>
  </si>
  <si>
    <t>QNAM</t>
  </si>
  <si>
    <t>Quần Nam</t>
  </si>
  <si>
    <t>155.02</t>
  </si>
  <si>
    <t>QNU</t>
  </si>
  <si>
    <t>Quần Nữ</t>
  </si>
  <si>
    <t>155.03</t>
  </si>
  <si>
    <t>ANAM</t>
  </si>
  <si>
    <t>Áo Sơ mi nam</t>
  </si>
  <si>
    <t>155.04</t>
  </si>
  <si>
    <t>ANU</t>
  </si>
  <si>
    <t>Áo Sơ mi nữ</t>
  </si>
  <si>
    <t>IV</t>
  </si>
  <si>
    <t>DANH MỤC HÀNG HÓA</t>
  </si>
  <si>
    <t>1561.01</t>
  </si>
  <si>
    <t>CHUOT</t>
  </si>
  <si>
    <t>Chuột quang</t>
  </si>
  <si>
    <t>1561.02</t>
  </si>
  <si>
    <t>CPU</t>
  </si>
  <si>
    <t>1561.03</t>
  </si>
  <si>
    <t>MHINH</t>
  </si>
  <si>
    <t>Màn hình</t>
  </si>
  <si>
    <t>1561.04</t>
  </si>
  <si>
    <t>BPHIM</t>
  </si>
  <si>
    <t>Bàn phím</t>
  </si>
  <si>
    <t>Mẫu số: 11 - LĐTL</t>
  </si>
  <si>
    <t>(Ban hành theo Thông tư số 200/2014/TT - BTC</t>
  </si>
  <si>
    <t xml:space="preserve">    Ngày 22/12/2014 của Bộ Tài chính)</t>
  </si>
  <si>
    <t>Số:…………………..</t>
  </si>
  <si>
    <t>BẢNG PHÂN BỔ TIỀN LƯƠNG VÀ BẢO HIỂM XÃ HỘI</t>
  </si>
  <si>
    <t>Số 
TT</t>
  </si>
  <si>
    <t>Ghi Có tài khoản</t>
  </si>
  <si>
    <t>TK 334 - Phải trả người lao động</t>
  </si>
  <si>
    <t>TK 338 - Phải trả, phải nộp khác</t>
  </si>
  <si>
    <t>Tổng
 Cộng</t>
  </si>
  <si>
    <t>Đối tượng sử dụng
 (Ghi Nợ các tài khoản)</t>
  </si>
  <si>
    <t>Lương</t>
  </si>
  <si>
    <t>Các khoản khác</t>
  </si>
  <si>
    <t>Cộng Có TK 334</t>
  </si>
  <si>
    <t xml:space="preserve">Kinh phí công đoàn
</t>
  </si>
  <si>
    <t xml:space="preserve">Bảo hiểm xã hội
</t>
  </si>
  <si>
    <t xml:space="preserve">Bảo hiểm y tế
</t>
  </si>
  <si>
    <t xml:space="preserve">Bảo hiểm thất nghiệp
</t>
  </si>
  <si>
    <t>Cộng Có TK 338 (3382,3383, 3384;3386)</t>
  </si>
  <si>
    <t>TK 641 - Chi phí bán hàng</t>
  </si>
  <si>
    <t>TK 627 - Chi phí sản xuất chung</t>
  </si>
  <si>
    <t>TK 622 - Chi phí nhân công trực tiếp</t>
  </si>
  <si>
    <t>Cộng</t>
  </si>
  <si>
    <t>Ngày … tháng … năm …</t>
  </si>
  <si>
    <t>Người lập bảng</t>
  </si>
  <si>
    <t>Mẫu số: 02 - LĐTL
(Ban hành theo Thông tư số 200/2014/TT-BTC 
Ngày 22/12/2014 của Bộ Tài chính)</t>
  </si>
  <si>
    <t>Số:…………..</t>
  </si>
  <si>
    <t>BẢNG THANH TOÁN TIỀN LƯƠNG</t>
  </si>
  <si>
    <t xml:space="preserve">Đơn vị tính:           </t>
  </si>
  <si>
    <t>Họ và tên</t>
  </si>
  <si>
    <t>Chức 
vụ</t>
  </si>
  <si>
    <t>Lương
HĐ/ tháng</t>
  </si>
  <si>
    <t>Ngày công trong tháng</t>
  </si>
  <si>
    <t>Số ngày công làm việc</t>
  </si>
  <si>
    <t>Lương
Thựctế</t>
  </si>
  <si>
    <t>Phụ cấp</t>
  </si>
  <si>
    <t>Tổng
lương</t>
  </si>
  <si>
    <t>Các khoản trích trừ vào lương</t>
  </si>
  <si>
    <t>Thu nhập chịu thuế TNCN</t>
  </si>
  <si>
    <t>Giam trừ gia cảnh</t>
  </si>
  <si>
    <t>Thu nhập tính thuế TNCN</t>
  </si>
  <si>
    <t>Thuế 
TNCN</t>
  </si>
  <si>
    <t>Ký nhận</t>
  </si>
  <si>
    <t>Thưởng</t>
  </si>
  <si>
    <t xml:space="preserve"> ăn trưa</t>
  </si>
  <si>
    <t>Điện thoại</t>
  </si>
  <si>
    <t>Công tác phí</t>
  </si>
  <si>
    <t>BHXH
(8%)</t>
  </si>
  <si>
    <t>BHYT
(1,5%)</t>
  </si>
  <si>
    <t>BHTN
(1%)</t>
  </si>
  <si>
    <t>Cộng</t>
  </si>
  <si>
    <t xml:space="preserve">Giam trừ bản thân </t>
  </si>
  <si>
    <t>giảm trừ người phụ thuộc</t>
  </si>
  <si>
    <t xml:space="preserve">Bộ phận Quản lý </t>
  </si>
  <si>
    <t>Bộ phận Bán hàng</t>
  </si>
  <si>
    <t xml:space="preserve">Tổng A + B </t>
  </si>
  <si>
    <t xml:space="preserve">  , ngày          tháng            năm </t>
  </si>
  <si>
    <t>Giám đốc Công ty</t>
  </si>
  <si>
    <t>P.Quản lý sản xuất</t>
  </si>
  <si>
    <t>Công nhân trực tiếp sản xuất</t>
  </si>
  <si>
    <t>BÁO CÁO NHẬP, XUẤT, TỒN</t>
  </si>
  <si>
    <t>Tên Tài khoản</t>
  </si>
  <si>
    <t>Mã hàng</t>
  </si>
  <si>
    <t>Tên vật tư,hàng hóa</t>
  </si>
  <si>
    <t>Tồn kho đầu kỳ</t>
  </si>
  <si>
    <t>Nhập trong kỳ</t>
  </si>
  <si>
    <t>Xuất trong kỳ</t>
  </si>
  <si>
    <t>Tồn kho cuối kỳ</t>
  </si>
  <si>
    <t>SL</t>
  </si>
  <si>
    <t>Thành tiền</t>
  </si>
  <si>
    <t>Đơn giá xuất kho</t>
  </si>
  <si>
    <t>BẢNG PHÂN BỔ CÔNG CỤ  DỤNG CỤ</t>
  </si>
  <si>
    <t>Mã 
CCDC</t>
  </si>
  <si>
    <t>Tên CCDC</t>
  </si>
  <si>
    <t>Ngày tính 
phân bổ</t>
  </si>
  <si>
    <t>Giá trị</t>
  </si>
  <si>
    <t>Số tháng
 phân bổ</t>
  </si>
  <si>
    <t>Mức phân
 bổ tháng</t>
  </si>
  <si>
    <t>Số kỳ đã phân bổ</t>
  </si>
  <si>
    <t>Giá trị phân  bổ  lũy kế  kỳ trước</t>
  </si>
  <si>
    <t>Giá trị  phân bổ kỳ này</t>
  </si>
  <si>
    <t>Giá trị
 phân bổ lũy kế</t>
  </si>
  <si>
    <t>Giá trị
 còn lại</t>
  </si>
  <si>
    <t xml:space="preserve">Ghi chú
</t>
  </si>
  <si>
    <t>1</t>
  </si>
  <si>
    <t>MDH</t>
  </si>
  <si>
    <t>2</t>
  </si>
  <si>
    <t>QUAT</t>
  </si>
  <si>
    <t>3</t>
  </si>
  <si>
    <t>BLV</t>
  </si>
  <si>
    <t>Bàn làm việc</t>
  </si>
  <si>
    <t>4</t>
  </si>
  <si>
    <t>GHE</t>
  </si>
  <si>
    <t>5</t>
  </si>
  <si>
    <t>MVT</t>
  </si>
  <si>
    <t>Máy vi tính</t>
  </si>
  <si>
    <t>6</t>
  </si>
  <si>
    <t>THSO</t>
  </si>
  <si>
    <t>Tủ đựng hồ sơ</t>
  </si>
  <si>
    <t>MVS</t>
  </si>
  <si>
    <t>Máy vắt sổ</t>
  </si>
  <si>
    <t>MM</t>
  </si>
  <si>
    <t>Máy may</t>
  </si>
  <si>
    <t>MUI</t>
  </si>
  <si>
    <t>Máy ủi ép hơi nước</t>
  </si>
  <si>
    <t>7</t>
  </si>
  <si>
    <t>TỔNG CỘNG ( I+II+III)</t>
  </si>
  <si>
    <t>BẢNG PHÂN BỔ CHI PHÍ TRẢ TRƯỚC</t>
  </si>
  <si>
    <t>Mã 
CPTT</t>
  </si>
  <si>
    <t>Tên CPTT</t>
  </si>
  <si>
    <t>Số tháng</t>
  </si>
  <si>
    <t>4=3/1</t>
  </si>
  <si>
    <t>6=4 x 5</t>
  </si>
  <si>
    <t>7=4</t>
  </si>
  <si>
    <t>8=6+7</t>
  </si>
  <si>
    <t>9=3-8</t>
  </si>
  <si>
    <t>NMSX</t>
  </si>
  <si>
    <t>Nhà máy sản xuất</t>
  </si>
  <si>
    <t>Nhà A1</t>
  </si>
  <si>
    <t>NHA.A2</t>
  </si>
  <si>
    <t>Nhà A2</t>
  </si>
  <si>
    <t>MCV</t>
  </si>
  <si>
    <t>Máy cắt vải</t>
  </si>
  <si>
    <t>OTO16</t>
  </si>
  <si>
    <t>Xe Toyota 16 chỗ</t>
  </si>
  <si>
    <t>MPD</t>
  </si>
  <si>
    <t>ISUZZU</t>
  </si>
  <si>
    <t>Xe tải ISUZU</t>
  </si>
  <si>
    <t>BẢNG KHẤU HAO TÀI SẢN CỐ ĐỊNH</t>
  </si>
  <si>
    <t>Mã 
TSCD</t>
  </si>
  <si>
    <t>Tên TSCD</t>
  </si>
  <si>
    <t>Ngày tính 
KH</t>
  </si>
  <si>
    <t>Nguyên giá</t>
  </si>
  <si>
    <t>Số năm KH</t>
  </si>
  <si>
    <t>Mức KH tháng</t>
  </si>
  <si>
    <t>Số tháng đã KH</t>
  </si>
  <si>
    <t>Số KH lũy kế đầu kỳ</t>
  </si>
  <si>
    <t>Số KH kỳ này</t>
  </si>
  <si>
    <t>Số KH lũy kế cuối kỳ</t>
  </si>
  <si>
    <t>3=1/2</t>
  </si>
  <si>
    <t>5=3 x 4</t>
  </si>
  <si>
    <t>6=3</t>
  </si>
  <si>
    <t>7=5+6</t>
  </si>
  <si>
    <t>8=1-7</t>
  </si>
  <si>
    <t>131.04</t>
  </si>
  <si>
    <t>Câu 1:</t>
  </si>
  <si>
    <t>Câu 2:</t>
  </si>
  <si>
    <t>PC 24</t>
  </si>
  <si>
    <t>Câu 3:</t>
  </si>
  <si>
    <t>UNC 01</t>
  </si>
  <si>
    <t>PT 10</t>
  </si>
  <si>
    <t>Câu 4:</t>
  </si>
  <si>
    <t>UNC 02</t>
  </si>
  <si>
    <t>Câu 5:</t>
  </si>
  <si>
    <t>HAIAU</t>
  </si>
  <si>
    <t>CÔNG TY TNHH HẢI ÂU</t>
  </si>
  <si>
    <t>43 Hoàng Văn Thụ, P.4, Q. Tân Bình, TP.HCM</t>
  </si>
  <si>
    <t>Nợ TK 141.09</t>
  </si>
  <si>
    <t>Có TK 1111</t>
  </si>
  <si>
    <t>Nợ TK 242</t>
  </si>
  <si>
    <t>Có TK 1121.01</t>
  </si>
  <si>
    <t>Nợ TK 1111</t>
  </si>
  <si>
    <t>Có TK 141.01</t>
  </si>
  <si>
    <t>Nợ TK 331.02</t>
  </si>
  <si>
    <t>Có TK 1121.02</t>
  </si>
  <si>
    <t>Có TK 331.02</t>
  </si>
  <si>
    <t>Câu 6:</t>
  </si>
  <si>
    <t>Câu 7:</t>
  </si>
  <si>
    <t>Câu 8:</t>
  </si>
  <si>
    <t>BBBG 06</t>
  </si>
  <si>
    <t>PC 25</t>
  </si>
  <si>
    <t>UNC 03</t>
  </si>
  <si>
    <t>UNC 04</t>
  </si>
  <si>
    <t>Nợ TK 1121.02</t>
  </si>
  <si>
    <t>331.05</t>
  </si>
  <si>
    <t>PHATMINH</t>
  </si>
  <si>
    <t>CÔNG TY TNHH PHÁT MINH</t>
  </si>
  <si>
    <t>123 Trường Chinh, P.13, Q. Tân Bình, TP.HCM</t>
  </si>
  <si>
    <t>Có TK 331.05</t>
  </si>
  <si>
    <t>Nợ TK 211.01</t>
  </si>
  <si>
    <t>Nợ TK 211.02</t>
  </si>
  <si>
    <t>BBBG 124</t>
  </si>
  <si>
    <t>Câu 9:</t>
  </si>
  <si>
    <t>Nợ TK 131.02</t>
  </si>
  <si>
    <t>Có TK 511</t>
  </si>
  <si>
    <t>Có TK 3331</t>
  </si>
  <si>
    <t>Nợ TK 632</t>
  </si>
  <si>
    <t>Có TK 1561.01</t>
  </si>
  <si>
    <t>Có TK 1561.02</t>
  </si>
  <si>
    <t>Có TK 1561.04</t>
  </si>
  <si>
    <t>Có TK 1561.03</t>
  </si>
  <si>
    <t>HĐ 16</t>
  </si>
  <si>
    <t>PXK 01</t>
  </si>
  <si>
    <t>Câu 10:</t>
  </si>
  <si>
    <t>Nợ TK 131.01</t>
  </si>
  <si>
    <t>Có TK 155.01</t>
  </si>
  <si>
    <t>Có TK 155.02</t>
  </si>
  <si>
    <t>Có TK 155.03</t>
  </si>
  <si>
    <t>Có TK 155.04</t>
  </si>
  <si>
    <t>HĐ 17</t>
  </si>
  <si>
    <t>Câu 11:</t>
  </si>
  <si>
    <t>PXK 02</t>
  </si>
  <si>
    <t>Câu 12:</t>
  </si>
  <si>
    <t>1521.03</t>
  </si>
  <si>
    <t>Cuộn</t>
  </si>
  <si>
    <t>Mét</t>
  </si>
  <si>
    <t>Nợ TK 1521.01</t>
  </si>
  <si>
    <t>Có TK 331.01</t>
  </si>
  <si>
    <t>PNK 01</t>
  </si>
  <si>
    <t>Câu 13:</t>
  </si>
  <si>
    <t>Nợ TK 1521.02</t>
  </si>
  <si>
    <t>Nợ TK 1521.03</t>
  </si>
  <si>
    <t>Có TK 331.03</t>
  </si>
  <si>
    <t>Theo dõi sổ CCDC</t>
  </si>
  <si>
    <t>Bảng KHTSCD</t>
  </si>
  <si>
    <t>Câu 14:</t>
  </si>
  <si>
    <t>Câu 15:</t>
  </si>
  <si>
    <t>Nợ TK 621.01</t>
  </si>
  <si>
    <t>Nợ TK 621.02</t>
  </si>
  <si>
    <t>Nợ TK 621.03</t>
  </si>
  <si>
    <t>Nợ TK 621.04</t>
  </si>
  <si>
    <t>Có TK 1521.01</t>
  </si>
  <si>
    <t>Có TK 1521.02</t>
  </si>
  <si>
    <t>Có TK 1521.03</t>
  </si>
  <si>
    <t>PXK 03</t>
  </si>
  <si>
    <t>TUYETOANH</t>
  </si>
  <si>
    <t>CÔNG TY TNHH TUYẾT OANH</t>
  </si>
  <si>
    <t>134 Lê Văn Khương, P. Hiệp Thành, Q.12, TP.HCM</t>
  </si>
  <si>
    <t>Nợ TK 131.04</t>
  </si>
  <si>
    <t>Có TK 711</t>
  </si>
  <si>
    <t>Nợ TK 214</t>
  </si>
  <si>
    <t>Nợ TK 811</t>
  </si>
  <si>
    <t>Có TK 211</t>
  </si>
  <si>
    <t>HĐ 18</t>
  </si>
  <si>
    <t>BBTL</t>
  </si>
  <si>
    <t>Câu 16:</t>
  </si>
  <si>
    <t>Nợ TK 641</t>
  </si>
  <si>
    <t>Nợ TK 642</t>
  </si>
  <si>
    <t>Nợ TK 627</t>
  </si>
  <si>
    <t>PC 37</t>
  </si>
  <si>
    <t>Câu 17:</t>
  </si>
  <si>
    <t>PC 38</t>
  </si>
  <si>
    <t>Câu 18:</t>
  </si>
  <si>
    <t>Tháng 01 năm 2024</t>
  </si>
  <si>
    <t>TK 642 - Chi phí quản lý doanh nghiệp</t>
  </si>
  <si>
    <t>Nợ TK 622</t>
  </si>
  <si>
    <t>Có TK 334</t>
  </si>
  <si>
    <t>Câu 19:</t>
  </si>
  <si>
    <t>Nợ TK 154.01</t>
  </si>
  <si>
    <t>Có TK 621.01</t>
  </si>
  <si>
    <t>Có TK 621.02</t>
  </si>
  <si>
    <t>Có TK 621.03</t>
  </si>
  <si>
    <t>Có TK 621.04</t>
  </si>
  <si>
    <t>Nợ TK 334</t>
  </si>
  <si>
    <t>Nợ TK 154.02</t>
  </si>
  <si>
    <t>Nợ TK 154.03</t>
  </si>
  <si>
    <t>Tháng 01/2024</t>
  </si>
  <si>
    <t>Chi phí nhân công sản xuất quần nam</t>
  </si>
  <si>
    <t>Chi phí nhân công sản xuất quần nữ</t>
  </si>
  <si>
    <t>Chi phí nhân công sản xuất áo nam</t>
  </si>
  <si>
    <t>Chi phí nhân công sản xuất áo nữ</t>
  </si>
  <si>
    <t>Chi phí sản xuất chung sản xuất quần nam</t>
  </si>
  <si>
    <t>Chi phí sản xuất chung sản xuất quần nữ</t>
  </si>
  <si>
    <t>Chi phí sản xuất chung sản xuất áo nam</t>
  </si>
  <si>
    <t>Chi phí sản xuất chung sản xuất áo nữ</t>
  </si>
  <si>
    <t>Có TK 622.01</t>
  </si>
  <si>
    <t>Có TK 627.01</t>
  </si>
  <si>
    <t>Có TK 622.02</t>
  </si>
  <si>
    <t>Có TK 627.02</t>
  </si>
  <si>
    <t>Có TK 622.03</t>
  </si>
  <si>
    <t>Có TK 627.03</t>
  </si>
  <si>
    <t>Nợ TK 154.04</t>
  </si>
  <si>
    <t>Có TK 622.04</t>
  </si>
  <si>
    <t>Có TK 627.04</t>
  </si>
  <si>
    <t>Đơn giá của quần nam</t>
  </si>
  <si>
    <t>Đơn giá của quần nữ</t>
  </si>
  <si>
    <t>Đơn giá của áo nam</t>
  </si>
  <si>
    <t>Đơn giá của áo nữ</t>
  </si>
  <si>
    <t xml:space="preserve">Thành phẩm </t>
  </si>
  <si>
    <t>Nợ TK 155.01</t>
  </si>
  <si>
    <t>Có TK 154.01</t>
  </si>
  <si>
    <t>Nợ TK 155.02</t>
  </si>
  <si>
    <t>Có TK 154.02</t>
  </si>
  <si>
    <t>Nợ TK 155.03</t>
  </si>
  <si>
    <t>Có TK 154.03</t>
  </si>
  <si>
    <t>Nợ TK 155.04</t>
  </si>
  <si>
    <t>Có TK 154.04</t>
  </si>
  <si>
    <t>PBTL &amp; BHXH</t>
  </si>
  <si>
    <t>Câu 20:</t>
  </si>
  <si>
    <t>Kết chuyển</t>
  </si>
  <si>
    <r>
      <t xml:space="preserve">Đơn vị: </t>
    </r>
    <r>
      <rPr>
        <sz val="11"/>
        <rFont val="Times New Roman"/>
        <family val="1"/>
      </rPr>
      <t>Công ty TNHH Thanh Minh</t>
    </r>
  </si>
  <si>
    <r>
      <t xml:space="preserve">Địa chỉ: </t>
    </r>
    <r>
      <rPr>
        <sz val="11"/>
        <rFont val="Times New Roman"/>
        <family val="1"/>
      </rPr>
      <t>45/9- Phạm Văn Chiêu- F.14- Q.Gò Vấp- TP.HCM</t>
    </r>
  </si>
  <si>
    <t>Kết chuyển doanh thu</t>
  </si>
  <si>
    <t>Nợ TK 511</t>
  </si>
  <si>
    <t>Nợ TK 711</t>
  </si>
  <si>
    <t xml:space="preserve">   Có TK 911</t>
  </si>
  <si>
    <t>Kết Chuyển chi phí</t>
  </si>
  <si>
    <t>Nợ TK 911</t>
  </si>
  <si>
    <t xml:space="preserve"> Có TK 632</t>
  </si>
  <si>
    <t xml:space="preserve"> Có TK 641</t>
  </si>
  <si>
    <t xml:space="preserve"> Có TK 642</t>
  </si>
  <si>
    <t xml:space="preserve"> Có TK 811</t>
  </si>
  <si>
    <t>Chi phí thuế thu nhập doanh nghiệp</t>
  </si>
  <si>
    <t>Nợ TK 8211</t>
  </si>
  <si>
    <t xml:space="preserve">  Có TK 3334</t>
  </si>
  <si>
    <t>Kết chuyển thuế thu nhập doanh Nghiệp</t>
  </si>
  <si>
    <t xml:space="preserve">  Có TK 8211</t>
  </si>
  <si>
    <t>Kết chuyển lời</t>
  </si>
  <si>
    <t>Có TK 4211</t>
  </si>
  <si>
    <t>ĐỊNH KHOẢN CÁC NGHIỆP VỤ KINH TẾ PHÁT SINH THÁNG 01/2024</t>
  </si>
  <si>
    <t>Có TK 338</t>
  </si>
  <si>
    <t>Số: PBCCDC01/2024</t>
  </si>
  <si>
    <t>Tháng  01  năm  2024</t>
  </si>
  <si>
    <t xml:space="preserve">Ghi chú (Số lượng)
</t>
  </si>
  <si>
    <t>(1)</t>
  </si>
  <si>
    <t>(2)</t>
  </si>
  <si>
    <t>(3)=(1)/(2)</t>
  </si>
  <si>
    <t>(4)</t>
  </si>
  <si>
    <t>(5)=(3)</t>
  </si>
  <si>
    <t>(6)=(4)+(5)</t>
  </si>
  <si>
    <t>(7)=(1)-(6)</t>
  </si>
  <si>
    <t>BỘ PHẬN QUẢN LÝ DOANH NGHIỆP</t>
  </si>
  <si>
    <t>Máy điều hòa</t>
  </si>
  <si>
    <t>01/12/2022</t>
  </si>
  <si>
    <t>Quạt máy</t>
  </si>
  <si>
    <t>01/01/2023</t>
  </si>
  <si>
    <t>01/03/2023</t>
  </si>
  <si>
    <t>Ghế ngồi</t>
  </si>
  <si>
    <t>18/01/2024</t>
  </si>
  <si>
    <t>BỘ PHẬN BÁN HÀNG</t>
  </si>
  <si>
    <t>BỘ PHẬN QUẢN LÝ SẢN XUẤT</t>
  </si>
  <si>
    <t>01/11/2022</t>
  </si>
  <si>
    <t>TP.HCM, ngày 31 tháng 01 năm 2024</t>
  </si>
  <si>
    <t>Ngô Thanh Bình</t>
  </si>
  <si>
    <t>Đào Lan Phương</t>
  </si>
  <si>
    <t>Số: KHTS01/2024</t>
  </si>
  <si>
    <t xml:space="preserve">NHA.A1 </t>
  </si>
  <si>
    <t>07/01/2024</t>
  </si>
  <si>
    <t>Máy phát điện</t>
  </si>
  <si>
    <t>Số: PBCPTT01/2024</t>
  </si>
  <si>
    <t>Tháng 01 năm  2024</t>
  </si>
  <si>
    <t>TVP</t>
  </si>
  <si>
    <t>Tiền thuê văn phòng Quý 1</t>
  </si>
  <si>
    <t>02/01/2024</t>
  </si>
  <si>
    <t>TK</t>
  </si>
  <si>
    <t>Tiền thuê kho Quý 1</t>
  </si>
  <si>
    <t>Tổng CP NVLTT</t>
  </si>
  <si>
    <t>Chi phí NLVTT quần nam  x CP NCTT</t>
  </si>
  <si>
    <t>Chi phí NLVTT quần nữ x CP NCTT</t>
  </si>
  <si>
    <t>Chi phí NLVTT áo nam x CP NCTT</t>
  </si>
  <si>
    <t>Chi phí NLVTT áo nữ x CP NCTT</t>
  </si>
  <si>
    <t>Chi phí NLVTT quần nam x CP SXC</t>
  </si>
  <si>
    <t>Chi phí NLVTT quần nữ x CP SXC</t>
  </si>
  <si>
    <t>Chi phí NLVTT áo nam x CP SXC</t>
  </si>
  <si>
    <t>Chi phí NLVTT áo nữ x CP SXC</t>
  </si>
  <si>
    <t>Khấu trừ thuế GTGT</t>
  </si>
  <si>
    <t>Nợ TK 3331</t>
  </si>
  <si>
    <t>Có TK 133</t>
  </si>
  <si>
    <t>Nợ TK 133</t>
  </si>
  <si>
    <t>Phân bổ chi phí trả trước trong kỳ</t>
  </si>
  <si>
    <t>Có TK 242</t>
  </si>
  <si>
    <t>Phân bổ CCDC</t>
  </si>
  <si>
    <t>Khấu hao TSCĐ</t>
  </si>
  <si>
    <t>Khấu trừ thuế TNCN</t>
  </si>
  <si>
    <t>Có TK 3335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</si>
</sst>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00"/>
    <numFmt numFmtId="166" formatCode="_(* #,##0_);_(* \(#,##0\);_(* &quot;-&quot;??_);_(@_)"/>
    <numFmt numFmtId="167" formatCode="_-* #,##0_-;\-* #,##0_-;_-* &quot;-&quot;??_-;_-@_-"/>
  </numFmts>
  <fonts count="71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2"/>
      <name val="Times New Roman"/>
      <charset val="134"/>
    </font>
    <font>
      <b/>
      <sz val="11"/>
      <color theme="1"/>
      <name val="Times New Roman"/>
      <charset val="134"/>
    </font>
    <font>
      <sz val="10"/>
      <name val="Times New Roman"/>
      <charset val="134"/>
    </font>
    <font>
      <b/>
      <sz val="10"/>
      <name val="Arial"/>
      <charset val="134"/>
    </font>
    <font>
      <sz val="10"/>
      <name val="Arial"/>
      <charset val="134"/>
    </font>
    <font>
      <sz val="10"/>
      <name val="VNI-Times"/>
      <charset val="134"/>
    </font>
    <font>
      <b/>
      <sz val="12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i/>
      <sz val="10"/>
      <name val="Times New Roman"/>
      <charset val="134"/>
    </font>
    <font>
      <b/>
      <sz val="10"/>
      <name val="Times New Roman"/>
      <charset val="134"/>
    </font>
    <font>
      <b/>
      <sz val="11"/>
      <name val="Times New Roman"/>
      <charset val="134"/>
    </font>
    <font>
      <b/>
      <sz val="22"/>
      <name val="Times New Roman"/>
      <charset val="134"/>
    </font>
    <font>
      <sz val="11"/>
      <name val="Calibri"/>
      <charset val="134"/>
      <scheme val="minor"/>
    </font>
    <font>
      <b/>
      <sz val="16"/>
      <name val="Times New Roman"/>
      <charset val="134"/>
    </font>
    <font>
      <sz val="9"/>
      <name val="Times New Roman"/>
      <charset val="134"/>
    </font>
    <font>
      <i/>
      <sz val="12"/>
      <name val="Times New Roman"/>
      <charset val="134"/>
    </font>
    <font>
      <sz val="9"/>
      <color theme="1"/>
      <name val="Times New Roman"/>
      <charset val="134"/>
    </font>
    <font>
      <i/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24"/>
      <name val="Times New Roman"/>
      <charset val="134"/>
    </font>
    <font>
      <b/>
      <sz val="9"/>
      <name val="Times New Roman"/>
      <charset val="134"/>
    </font>
    <font>
      <i/>
      <sz val="9"/>
      <name val="Times New Roman"/>
      <charset val="134"/>
    </font>
    <font>
      <b/>
      <i/>
      <sz val="9"/>
      <name val="Times New Roman"/>
      <charset val="134"/>
    </font>
    <font>
      <i/>
      <u/>
      <sz val="9"/>
      <name val="Times New Roman"/>
      <charset val="134"/>
    </font>
    <font>
      <b/>
      <sz val="10"/>
      <color theme="1"/>
      <name val="Times New Roman"/>
      <charset val="134"/>
    </font>
    <font>
      <b/>
      <sz val="14"/>
      <name val="Times New Roman"/>
      <charset val="134"/>
    </font>
    <font>
      <b/>
      <i/>
      <sz val="10"/>
      <name val="Times New Roman"/>
      <charset val="134"/>
    </font>
    <font>
      <i/>
      <u/>
      <sz val="10"/>
      <name val="Times New Roman"/>
      <charset val="134"/>
    </font>
    <font>
      <sz val="13"/>
      <name val="Times New Roman"/>
      <charset val="134"/>
    </font>
    <font>
      <sz val="10"/>
      <color theme="1"/>
      <name val=".VnTime"/>
      <charset val="134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u/>
      <sz val="13"/>
      <color theme="1"/>
      <name val="Times New Roman"/>
      <family val="1"/>
    </font>
    <font>
      <sz val="10"/>
      <name val="Times New Roman"/>
      <family val="1"/>
    </font>
    <font>
      <sz val="13"/>
      <color rgb="FFFF0000"/>
      <name val="Times New Roman"/>
      <family val="1"/>
    </font>
    <font>
      <b/>
      <sz val="9"/>
      <name val="Times New Roman"/>
      <family val="1"/>
    </font>
    <font>
      <b/>
      <i/>
      <sz val="11"/>
      <color theme="1"/>
      <name val="Times New Roman"/>
      <family val="1"/>
    </font>
    <font>
      <u val="singleAccounting"/>
      <sz val="13"/>
      <color theme="1"/>
      <name val="Times New Roman"/>
      <family val="1"/>
    </font>
    <font>
      <sz val="13"/>
      <name val="Times New Roman"/>
      <family val="1"/>
    </font>
    <font>
      <u val="singleAccounting"/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i/>
      <sz val="12"/>
      <name val="Times New Roman"/>
      <family val="1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name val="Times New Roman"/>
      <family val="1"/>
    </font>
    <font>
      <b/>
      <sz val="22"/>
      <name val="Times New Roman"/>
      <family val="1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b/>
      <sz val="10"/>
      <name val="Calibri"/>
      <family val="2"/>
      <scheme val="minor"/>
    </font>
    <font>
      <sz val="12"/>
      <name val="Times New Roman"/>
      <family val="1"/>
    </font>
    <font>
      <i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hair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3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2" fillId="0" borderId="0"/>
    <xf numFmtId="0" fontId="7" fillId="0" borderId="0"/>
    <xf numFmtId="0" fontId="33" fillId="0" borderId="0"/>
    <xf numFmtId="0" fontId="6" fillId="0" borderId="0"/>
    <xf numFmtId="0" fontId="53" fillId="0" borderId="0"/>
  </cellStyleXfs>
  <cellXfs count="614">
    <xf numFmtId="0" fontId="0" fillId="0" borderId="0" xfId="0"/>
    <xf numFmtId="0" fontId="1" fillId="0" borderId="0" xfId="0" applyFont="1"/>
    <xf numFmtId="0" fontId="3" fillId="0" borderId="0" xfId="0" applyFont="1"/>
    <xf numFmtId="0" fontId="8" fillId="0" borderId="0" xfId="0" applyFont="1"/>
    <xf numFmtId="167" fontId="1" fillId="0" borderId="0" xfId="1" applyNumberFormat="1" applyFont="1"/>
    <xf numFmtId="167" fontId="1" fillId="0" borderId="1" xfId="1" applyNumberFormat="1" applyFont="1" applyBorder="1"/>
    <xf numFmtId="0" fontId="1" fillId="0" borderId="1" xfId="0" applyFont="1" applyBorder="1"/>
    <xf numFmtId="167" fontId="0" fillId="0" borderId="0" xfId="1" applyNumberFormat="1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5" fillId="0" borderId="0" xfId="0" applyFont="1"/>
    <xf numFmtId="43" fontId="5" fillId="0" borderId="0" xfId="1" applyFont="1" applyAlignment="1"/>
    <xf numFmtId="167" fontId="4" fillId="0" borderId="0" xfId="1" applyNumberFormat="1" applyFont="1"/>
    <xf numFmtId="0" fontId="5" fillId="0" borderId="0" xfId="0" applyFont="1" applyAlignment="1"/>
    <xf numFmtId="0" fontId="5" fillId="0" borderId="0" xfId="0" applyFont="1" applyAlignment="1">
      <alignment horizontal="left"/>
    </xf>
    <xf numFmtId="0" fontId="4" fillId="0" borderId="0" xfId="0" applyFont="1"/>
    <xf numFmtId="0" fontId="2" fillId="0" borderId="0" xfId="3" applyFont="1" applyFill="1" applyAlignment="1">
      <alignment horizontal="left" vertical="center"/>
    </xf>
    <xf numFmtId="3" fontId="2" fillId="0" borderId="0" xfId="3" applyNumberFormat="1" applyFont="1" applyFill="1" applyAlignment="1">
      <alignment horizontal="right" vertical="center"/>
    </xf>
    <xf numFmtId="167" fontId="2" fillId="0" borderId="0" xfId="1" applyNumberFormat="1" applyFont="1" applyFill="1" applyAlignment="1">
      <alignment horizontal="center" vertical="center"/>
    </xf>
    <xf numFmtId="167" fontId="2" fillId="0" borderId="0" xfId="1" applyNumberFormat="1" applyFont="1" applyFill="1" applyAlignment="1">
      <alignment horizontal="right" vertical="center"/>
    </xf>
    <xf numFmtId="167" fontId="12" fillId="0" borderId="0" xfId="1" applyNumberFormat="1" applyFont="1"/>
    <xf numFmtId="3" fontId="18" fillId="0" borderId="0" xfId="3" applyNumberFormat="1" applyFont="1" applyFill="1" applyAlignment="1">
      <alignment horizontal="center" vertical="center"/>
    </xf>
    <xf numFmtId="0" fontId="12" fillId="0" borderId="0" xfId="0" applyFont="1"/>
    <xf numFmtId="49" fontId="1" fillId="0" borderId="0" xfId="0" applyNumberFormat="1" applyFont="1"/>
    <xf numFmtId="0" fontId="12" fillId="0" borderId="0" xfId="0" applyFont="1" applyFill="1" applyBorder="1" applyAlignment="1"/>
    <xf numFmtId="0" fontId="12" fillId="0" borderId="0" xfId="0" applyFont="1" applyBorder="1"/>
    <xf numFmtId="167" fontId="13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/>
    <xf numFmtId="167" fontId="13" fillId="0" borderId="1" xfId="1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19" fillId="0" borderId="0" xfId="0" applyFont="1"/>
    <xf numFmtId="167" fontId="19" fillId="0" borderId="0" xfId="1" applyNumberFormat="1" applyFont="1"/>
    <xf numFmtId="0" fontId="23" fillId="0" borderId="0" xfId="0" applyFont="1" applyAlignment="1"/>
    <xf numFmtId="2" fontId="23" fillId="0" borderId="0" xfId="3" applyNumberFormat="1" applyFont="1" applyBorder="1" applyAlignment="1">
      <alignment vertical="top" wrapText="1"/>
    </xf>
    <xf numFmtId="0" fontId="24" fillId="0" borderId="0" xfId="3" applyFont="1" applyBorder="1" applyAlignment="1">
      <alignment vertical="center" wrapText="1"/>
    </xf>
    <xf numFmtId="2" fontId="23" fillId="0" borderId="0" xfId="3" applyNumberFormat="1" applyFont="1" applyBorder="1" applyAlignment="1">
      <alignment horizontal="left" vertical="top" wrapText="1"/>
    </xf>
    <xf numFmtId="167" fontId="23" fillId="0" borderId="0" xfId="1" applyNumberFormat="1" applyFont="1" applyBorder="1" applyAlignment="1">
      <alignment horizontal="left" vertical="top" wrapText="1"/>
    </xf>
    <xf numFmtId="165" fontId="23" fillId="0" borderId="0" xfId="3" applyNumberFormat="1" applyFont="1" applyFill="1" applyAlignment="1">
      <alignment horizontal="center" vertical="center"/>
    </xf>
    <xf numFmtId="167" fontId="23" fillId="0" borderId="0" xfId="1" applyNumberFormat="1" applyFont="1" applyFill="1" applyAlignment="1">
      <alignment horizontal="center" vertical="center"/>
    </xf>
    <xf numFmtId="3" fontId="12" fillId="0" borderId="2" xfId="3" applyNumberFormat="1" applyFont="1" applyBorder="1" applyAlignment="1">
      <alignment horizontal="center" vertical="center" wrapText="1"/>
    </xf>
    <xf numFmtId="3" fontId="12" fillId="0" borderId="2" xfId="3" applyNumberFormat="1" applyFont="1" applyBorder="1" applyAlignment="1">
      <alignment horizontal="right" vertical="center"/>
    </xf>
    <xf numFmtId="3" fontId="12" fillId="2" borderId="2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2" xfId="3" applyNumberFormat="1" applyFont="1" applyFill="1" applyBorder="1" applyAlignment="1">
      <alignment horizontal="right" vertical="center"/>
    </xf>
    <xf numFmtId="165" fontId="23" fillId="0" borderId="0" xfId="3" applyNumberFormat="1" applyFont="1" applyFill="1" applyBorder="1" applyAlignment="1">
      <alignment horizontal="center" vertical="center"/>
    </xf>
    <xf numFmtId="0" fontId="23" fillId="0" borderId="0" xfId="3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center" vertical="center"/>
    </xf>
    <xf numFmtId="167" fontId="23" fillId="0" borderId="0" xfId="1" applyNumberFormat="1" applyFont="1" applyFill="1" applyBorder="1" applyAlignment="1">
      <alignment horizontal="right" vertical="center"/>
    </xf>
    <xf numFmtId="165" fontId="17" fillId="0" borderId="0" xfId="3" applyNumberFormat="1" applyFont="1" applyFill="1" applyAlignment="1">
      <alignment horizontal="center" vertical="center"/>
    </xf>
    <xf numFmtId="0" fontId="17" fillId="0" borderId="0" xfId="3" applyFont="1" applyFill="1" applyAlignment="1">
      <alignment horizontal="left" vertical="center"/>
    </xf>
    <xf numFmtId="0" fontId="17" fillId="0" borderId="0" xfId="3" applyFont="1" applyFill="1" applyAlignment="1">
      <alignment horizontal="center" vertical="center"/>
    </xf>
    <xf numFmtId="167" fontId="17" fillId="0" borderId="0" xfId="1" applyNumberFormat="1" applyFont="1" applyFill="1" applyAlignment="1">
      <alignment horizontal="right" vertical="center"/>
    </xf>
    <xf numFmtId="3" fontId="17" fillId="0" borderId="0" xfId="3" applyNumberFormat="1" applyFont="1" applyFill="1" applyAlignment="1">
      <alignment horizontal="right" vertical="center"/>
    </xf>
    <xf numFmtId="3" fontId="17" fillId="0" borderId="0" xfId="3" applyNumberFormat="1" applyFont="1" applyFill="1" applyAlignment="1">
      <alignment horizontal="center" vertical="center"/>
    </xf>
    <xf numFmtId="0" fontId="23" fillId="0" borderId="0" xfId="3" applyFont="1" applyFill="1" applyAlignment="1">
      <alignment vertical="center"/>
    </xf>
    <xf numFmtId="0" fontId="23" fillId="0" borderId="0" xfId="3" applyFont="1" applyFill="1" applyAlignment="1">
      <alignment horizontal="center" vertical="center"/>
    </xf>
    <xf numFmtId="167" fontId="23" fillId="0" borderId="0" xfId="1" applyNumberFormat="1" applyFont="1" applyFill="1" applyAlignment="1">
      <alignment horizontal="right" vertical="center"/>
    </xf>
    <xf numFmtId="3" fontId="23" fillId="0" borderId="0" xfId="3" applyNumberFormat="1" applyFont="1" applyFill="1" applyAlignment="1">
      <alignment horizontal="right" vertical="center"/>
    </xf>
    <xf numFmtId="3" fontId="23" fillId="0" borderId="0" xfId="3" applyNumberFormat="1" applyFont="1" applyFill="1" applyAlignment="1">
      <alignment horizontal="center" vertical="center"/>
    </xf>
    <xf numFmtId="0" fontId="17" fillId="0" borderId="0" xfId="3" applyFont="1" applyAlignment="1">
      <alignment horizontal="left" vertical="center"/>
    </xf>
    <xf numFmtId="0" fontId="24" fillId="0" borderId="0" xfId="3" applyFont="1" applyFill="1" applyAlignment="1">
      <alignment horizontal="center" vertical="center"/>
    </xf>
    <xf numFmtId="167" fontId="24" fillId="0" borderId="0" xfId="1" applyNumberFormat="1" applyFont="1" applyFill="1" applyAlignment="1">
      <alignment horizontal="right" vertical="center"/>
    </xf>
    <xf numFmtId="3" fontId="17" fillId="0" borderId="0" xfId="3" applyNumberFormat="1" applyFont="1" applyAlignment="1">
      <alignment horizontal="center" vertical="center"/>
    </xf>
    <xf numFmtId="3" fontId="24" fillId="0" borderId="0" xfId="3" applyNumberFormat="1" applyFont="1" applyFill="1" applyAlignment="1">
      <alignment horizontal="center" vertical="center"/>
    </xf>
    <xf numFmtId="3" fontId="17" fillId="0" borderId="0" xfId="3" applyNumberFormat="1" applyFont="1" applyBorder="1" applyAlignment="1">
      <alignment horizontal="right" vertical="center"/>
    </xf>
    <xf numFmtId="3" fontId="24" fillId="0" borderId="0" xfId="3" applyNumberFormat="1" applyFont="1" applyBorder="1" applyAlignment="1">
      <alignment horizontal="right" vertical="center" wrapText="1"/>
    </xf>
    <xf numFmtId="0" fontId="25" fillId="0" borderId="0" xfId="3" applyFont="1" applyBorder="1" applyAlignment="1">
      <alignment horizontal="center" vertical="center" wrapText="1"/>
    </xf>
    <xf numFmtId="3" fontId="17" fillId="0" borderId="0" xfId="3" applyNumberFormat="1" applyFont="1" applyFill="1" applyBorder="1" applyAlignment="1">
      <alignment horizontal="right" vertical="center"/>
    </xf>
    <xf numFmtId="3" fontId="12" fillId="0" borderId="2" xfId="3" applyNumberFormat="1" applyFont="1" applyBorder="1" applyAlignment="1">
      <alignment horizontal="center" vertical="center"/>
    </xf>
    <xf numFmtId="3" fontId="4" fillId="0" borderId="2" xfId="3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right" vertical="center"/>
    </xf>
    <xf numFmtId="0" fontId="21" fillId="0" borderId="2" xfId="0" applyFont="1" applyBorder="1" applyAlignment="1">
      <alignment horizontal="justify" vertical="center" wrapText="1"/>
    </xf>
    <xf numFmtId="3" fontId="23" fillId="0" borderId="0" xfId="3" applyNumberFormat="1" applyFont="1" applyFill="1" applyBorder="1" applyAlignment="1">
      <alignment horizontal="right" vertical="center"/>
    </xf>
    <xf numFmtId="3" fontId="19" fillId="0" borderId="0" xfId="0" applyNumberFormat="1" applyFont="1"/>
    <xf numFmtId="0" fontId="21" fillId="2" borderId="0" xfId="0" applyFont="1" applyFill="1"/>
    <xf numFmtId="0" fontId="27" fillId="2" borderId="0" xfId="0" applyFont="1" applyFill="1"/>
    <xf numFmtId="0" fontId="21" fillId="0" borderId="0" xfId="0" applyFont="1"/>
    <xf numFmtId="167" fontId="21" fillId="0" borderId="0" xfId="1" applyNumberFormat="1" applyFont="1"/>
    <xf numFmtId="0" fontId="12" fillId="0" borderId="0" xfId="0" applyFont="1" applyAlignment="1"/>
    <xf numFmtId="2" fontId="12" fillId="0" borderId="0" xfId="3" applyNumberFormat="1" applyFont="1" applyBorder="1" applyAlignment="1">
      <alignment vertical="top" wrapText="1"/>
    </xf>
    <xf numFmtId="0" fontId="11" fillId="0" borderId="0" xfId="3" applyFont="1" applyBorder="1" applyAlignment="1">
      <alignment vertical="center" wrapText="1"/>
    </xf>
    <xf numFmtId="2" fontId="12" fillId="0" borderId="0" xfId="3" applyNumberFormat="1" applyFont="1" applyBorder="1" applyAlignment="1">
      <alignment horizontal="left" vertical="top" wrapText="1"/>
    </xf>
    <xf numFmtId="165" fontId="12" fillId="0" borderId="0" xfId="3" applyNumberFormat="1" applyFont="1" applyFill="1" applyAlignment="1">
      <alignment horizontal="center" vertical="center"/>
    </xf>
    <xf numFmtId="167" fontId="12" fillId="0" borderId="0" xfId="1" applyNumberFormat="1" applyFont="1" applyFill="1" applyAlignment="1">
      <alignment horizontal="center" vertical="center"/>
    </xf>
    <xf numFmtId="165" fontId="12" fillId="0" borderId="2" xfId="3" applyNumberFormat="1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165" fontId="12" fillId="2" borderId="2" xfId="3" applyNumberFormat="1" applyFont="1" applyFill="1" applyBorder="1" applyAlignment="1">
      <alignment horizontal="center" vertical="center"/>
    </xf>
    <xf numFmtId="0" fontId="12" fillId="2" borderId="2" xfId="3" applyFont="1" applyFill="1" applyBorder="1" applyAlignment="1">
      <alignment horizontal="left" vertical="center"/>
    </xf>
    <xf numFmtId="0" fontId="12" fillId="2" borderId="2" xfId="3" applyFont="1" applyFill="1" applyBorder="1" applyAlignment="1">
      <alignment horizontal="center" vertical="center"/>
    </xf>
    <xf numFmtId="167" fontId="12" fillId="2" borderId="2" xfId="1" applyNumberFormat="1" applyFont="1" applyFill="1" applyBorder="1" applyAlignment="1">
      <alignment horizontal="right" vertical="center"/>
    </xf>
    <xf numFmtId="165" fontId="4" fillId="0" borderId="2" xfId="3" applyNumberFormat="1" applyFont="1" applyFill="1" applyBorder="1" applyAlignment="1">
      <alignment horizontal="center" vertical="center"/>
    </xf>
    <xf numFmtId="167" fontId="21" fillId="0" borderId="2" xfId="1" applyNumberFormat="1" applyFont="1" applyBorder="1" applyAlignment="1">
      <alignment horizontal="justify" vertical="center" wrapText="1"/>
    </xf>
    <xf numFmtId="166" fontId="21" fillId="0" borderId="2" xfId="1" applyNumberFormat="1" applyFont="1" applyFill="1" applyBorder="1" applyAlignment="1">
      <alignment horizontal="center" vertical="center" wrapText="1"/>
    </xf>
    <xf numFmtId="167" fontId="21" fillId="0" borderId="2" xfId="1" applyNumberFormat="1" applyFont="1" applyBorder="1" applyAlignment="1">
      <alignment vertical="center" wrapText="1"/>
    </xf>
    <xf numFmtId="165" fontId="12" fillId="0" borderId="2" xfId="3" applyNumberFormat="1" applyFont="1" applyFill="1" applyBorder="1" applyAlignment="1">
      <alignment horizontal="center" vertical="center"/>
    </xf>
    <xf numFmtId="165" fontId="4" fillId="0" borderId="0" xfId="3" applyNumberFormat="1" applyFont="1" applyFill="1" applyAlignment="1">
      <alignment horizontal="center" vertical="center"/>
    </xf>
    <xf numFmtId="0" fontId="4" fillId="0" borderId="0" xfId="3" applyFont="1" applyFill="1" applyAlignment="1">
      <alignment horizontal="left" vertical="center"/>
    </xf>
    <xf numFmtId="0" fontId="4" fillId="0" borderId="0" xfId="3" applyFont="1" applyFill="1" applyAlignment="1">
      <alignment horizontal="center" vertical="center"/>
    </xf>
    <xf numFmtId="167" fontId="4" fillId="0" borderId="0" xfId="1" applyNumberFormat="1" applyFont="1" applyFill="1" applyAlignment="1">
      <alignment horizontal="right" vertical="center"/>
    </xf>
    <xf numFmtId="3" fontId="4" fillId="0" borderId="0" xfId="3" applyNumberFormat="1" applyFont="1" applyFill="1" applyAlignment="1">
      <alignment horizontal="right" vertical="center"/>
    </xf>
    <xf numFmtId="3" fontId="4" fillId="0" borderId="0" xfId="3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Alignment="1">
      <alignment horizontal="center" vertical="center"/>
    </xf>
    <xf numFmtId="167" fontId="12" fillId="0" borderId="0" xfId="1" applyNumberFormat="1" applyFont="1" applyFill="1" applyAlignment="1">
      <alignment horizontal="right" vertical="center"/>
    </xf>
    <xf numFmtId="3" fontId="12" fillId="0" borderId="0" xfId="3" applyNumberFormat="1" applyFont="1" applyFill="1" applyAlignment="1">
      <alignment horizontal="right" vertical="center"/>
    </xf>
    <xf numFmtId="3" fontId="12" fillId="0" borderId="0" xfId="3" applyNumberFormat="1" applyFont="1" applyFill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11" fillId="0" borderId="0" xfId="3" applyFont="1" applyFill="1" applyAlignment="1">
      <alignment horizontal="center" vertical="center"/>
    </xf>
    <xf numFmtId="167" fontId="11" fillId="0" borderId="0" xfId="1" applyNumberFormat="1" applyFont="1" applyFill="1" applyAlignment="1">
      <alignment horizontal="right" vertical="center"/>
    </xf>
    <xf numFmtId="3" fontId="4" fillId="0" borderId="0" xfId="3" applyNumberFormat="1" applyFont="1" applyAlignment="1">
      <alignment horizontal="center" vertical="center"/>
    </xf>
    <xf numFmtId="3" fontId="11" fillId="0" borderId="0" xfId="3" applyNumberFormat="1" applyFont="1" applyFill="1" applyAlignment="1">
      <alignment horizontal="center" vertical="center"/>
    </xf>
    <xf numFmtId="3" fontId="4" fillId="0" borderId="0" xfId="3" applyNumberFormat="1" applyFont="1" applyBorder="1" applyAlignment="1">
      <alignment horizontal="right" vertical="center"/>
    </xf>
    <xf numFmtId="3" fontId="11" fillId="0" borderId="0" xfId="3" applyNumberFormat="1" applyFont="1" applyBorder="1" applyAlignment="1">
      <alignment horizontal="right" vertical="center" wrapText="1"/>
    </xf>
    <xf numFmtId="0" fontId="29" fillId="0" borderId="0" xfId="3" applyFont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right" vertical="center"/>
    </xf>
    <xf numFmtId="3" fontId="12" fillId="0" borderId="2" xfId="3" applyNumberFormat="1" applyFont="1" applyFill="1" applyBorder="1" applyAlignment="1">
      <alignment horizontal="right" vertical="center"/>
    </xf>
    <xf numFmtId="167" fontId="21" fillId="0" borderId="0" xfId="0" applyNumberFormat="1" applyFont="1"/>
    <xf numFmtId="3" fontId="12" fillId="0" borderId="2" xfId="3" applyNumberFormat="1" applyFont="1" applyFill="1" applyBorder="1" applyAlignment="1">
      <alignment horizontal="center" vertical="center"/>
    </xf>
    <xf numFmtId="3" fontId="21" fillId="0" borderId="0" xfId="0" applyNumberFormat="1" applyFont="1"/>
    <xf numFmtId="166" fontId="21" fillId="0" borderId="0" xfId="1" applyNumberFormat="1" applyFont="1"/>
    <xf numFmtId="166" fontId="4" fillId="0" borderId="0" xfId="1" applyNumberFormat="1" applyFont="1"/>
    <xf numFmtId="166" fontId="12" fillId="0" borderId="17" xfId="1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166" fontId="12" fillId="0" borderId="22" xfId="1" applyNumberFormat="1" applyFont="1" applyBorder="1" applyAlignment="1">
      <alignment horizontal="center" vertical="center"/>
    </xf>
    <xf numFmtId="0" fontId="4" fillId="0" borderId="1" xfId="0" applyFont="1" applyBorder="1"/>
    <xf numFmtId="167" fontId="4" fillId="3" borderId="2" xfId="1" applyNumberFormat="1" applyFont="1" applyFill="1" applyBorder="1" applyAlignment="1">
      <alignment horizontal="right" vertical="center"/>
    </xf>
    <xf numFmtId="166" fontId="4" fillId="0" borderId="1" xfId="1" applyNumberFormat="1" applyFont="1" applyBorder="1"/>
    <xf numFmtId="0" fontId="12" fillId="0" borderId="23" xfId="0" applyFont="1" applyBorder="1"/>
    <xf numFmtId="166" fontId="12" fillId="0" borderId="1" xfId="1" applyNumberFormat="1" applyFont="1" applyBorder="1"/>
    <xf numFmtId="166" fontId="4" fillId="3" borderId="0" xfId="1" applyNumberFormat="1" applyFont="1" applyFill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1" applyNumberFormat="1" applyFont="1"/>
    <xf numFmtId="0" fontId="11" fillId="0" borderId="0" xfId="0" applyFont="1"/>
    <xf numFmtId="166" fontId="29" fillId="0" borderId="0" xfId="1" applyNumberFormat="1" applyFont="1" applyAlignment="1">
      <alignment horizontal="center"/>
    </xf>
    <xf numFmtId="166" fontId="12" fillId="0" borderId="0" xfId="1" applyNumberFormat="1" applyFont="1"/>
    <xf numFmtId="166" fontId="11" fillId="0" borderId="0" xfId="1" applyNumberFormat="1" applyFont="1" applyAlignment="1">
      <alignment horizontal="center"/>
    </xf>
    <xf numFmtId="0" fontId="27" fillId="0" borderId="0" xfId="0" applyFont="1"/>
    <xf numFmtId="166" fontId="12" fillId="0" borderId="0" xfId="1" applyNumberFormat="1" applyFont="1" applyAlignment="1">
      <alignment horizontal="center"/>
    </xf>
    <xf numFmtId="0" fontId="10" fillId="0" borderId="0" xfId="0" applyFont="1" applyAlignment="1"/>
    <xf numFmtId="1" fontId="3" fillId="0" borderId="1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3" fillId="0" borderId="1" xfId="5" applyFont="1" applyBorder="1" applyAlignment="1">
      <alignment horizontal="left"/>
    </xf>
    <xf numFmtId="0" fontId="9" fillId="0" borderId="1" xfId="0" applyFont="1" applyBorder="1" applyAlignment="1">
      <alignment horizontal="justify" vertical="center" wrapText="1"/>
    </xf>
    <xf numFmtId="0" fontId="9" fillId="0" borderId="0" xfId="0" applyFont="1"/>
    <xf numFmtId="167" fontId="9" fillId="0" borderId="0" xfId="1" applyNumberFormat="1" applyFont="1" applyAlignment="1">
      <alignment horizontal="left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1" fontId="10" fillId="0" borderId="1" xfId="5" applyNumberFormat="1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/>
    </xf>
    <xf numFmtId="0" fontId="10" fillId="0" borderId="1" xfId="5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9" fillId="0" borderId="1" xfId="5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167" fontId="10" fillId="0" borderId="1" xfId="1" applyNumberFormat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167" fontId="9" fillId="0" borderId="1" xfId="1" applyNumberFormat="1" applyFont="1" applyBorder="1" applyAlignment="1">
      <alignment horizontal="left" vertical="center"/>
    </xf>
    <xf numFmtId="167" fontId="1" fillId="0" borderId="1" xfId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" fontId="10" fillId="0" borderId="1" xfId="5" applyNumberFormat="1" applyFont="1" applyBorder="1" applyAlignment="1">
      <alignment horizontal="center"/>
    </xf>
    <xf numFmtId="0" fontId="10" fillId="0" borderId="1" xfId="5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5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" fontId="9" fillId="0" borderId="1" xfId="5" quotePrefix="1" applyNumberFormat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" fontId="10" fillId="0" borderId="1" xfId="5" quotePrefix="1" applyNumberFormat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1" fontId="9" fillId="0" borderId="1" xfId="5" quotePrefix="1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1" fontId="9" fillId="0" borderId="1" xfId="5" quotePrefix="1" applyNumberFormat="1" applyFont="1" applyBorder="1" applyAlignment="1">
      <alignment horizontal="left"/>
    </xf>
    <xf numFmtId="0" fontId="9" fillId="0" borderId="1" xfId="0" quotePrefix="1" applyFont="1" applyBorder="1" applyAlignment="1">
      <alignment horizontal="justify" vertical="center" wrapText="1"/>
    </xf>
    <xf numFmtId="1" fontId="1" fillId="0" borderId="1" xfId="5" quotePrefix="1" applyNumberFormat="1" applyFont="1" applyBorder="1"/>
    <xf numFmtId="0" fontId="35" fillId="0" borderId="0" xfId="0" applyFont="1"/>
    <xf numFmtId="167" fontId="35" fillId="0" borderId="0" xfId="1" applyNumberFormat="1" applyFont="1"/>
    <xf numFmtId="0" fontId="35" fillId="0" borderId="0" xfId="0" quotePrefix="1" applyFont="1"/>
    <xf numFmtId="0" fontId="36" fillId="0" borderId="1" xfId="0" applyFont="1" applyBorder="1" applyAlignment="1">
      <alignment horizontal="center"/>
    </xf>
    <xf numFmtId="49" fontId="36" fillId="0" borderId="1" xfId="5" quotePrefix="1" applyNumberFormat="1" applyFont="1" applyBorder="1"/>
    <xf numFmtId="0" fontId="36" fillId="0" borderId="1" xfId="5" applyFont="1" applyBorder="1"/>
    <xf numFmtId="0" fontId="36" fillId="0" borderId="1" xfId="0" quotePrefix="1" applyFont="1" applyBorder="1"/>
    <xf numFmtId="0" fontId="36" fillId="0" borderId="1" xfId="0" applyFont="1" applyBorder="1" applyAlignment="1">
      <alignment horizontal="center" vertical="center"/>
    </xf>
    <xf numFmtId="49" fontId="36" fillId="0" borderId="1" xfId="5" quotePrefix="1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 wrapText="1"/>
    </xf>
    <xf numFmtId="0" fontId="36" fillId="0" borderId="1" xfId="0" quotePrefix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1" fontId="36" fillId="0" borderId="1" xfId="5" quotePrefix="1" applyNumberFormat="1" applyFont="1" applyBorder="1" applyAlignment="1">
      <alignment horizontal="center" vertical="center"/>
    </xf>
    <xf numFmtId="1" fontId="36" fillId="0" borderId="1" xfId="5" quotePrefix="1" applyNumberFormat="1" applyFont="1" applyBorder="1" applyAlignment="1">
      <alignment horizontal="left" vertical="center"/>
    </xf>
    <xf numFmtId="0" fontId="36" fillId="0" borderId="1" xfId="5" applyFont="1" applyBorder="1" applyAlignment="1">
      <alignment horizontal="left" vertical="center" wrapText="1"/>
    </xf>
    <xf numFmtId="0" fontId="38" fillId="0" borderId="0" xfId="0" applyFont="1"/>
    <xf numFmtId="0" fontId="36" fillId="0" borderId="1" xfId="0" applyFont="1" applyBorder="1" applyAlignment="1">
      <alignment horizontal="justify" vertical="center" wrapText="1"/>
    </xf>
    <xf numFmtId="0" fontId="37" fillId="0" borderId="1" xfId="0" applyFont="1" applyFill="1" applyBorder="1" applyAlignment="1">
      <alignment horizontal="center" vertical="center"/>
    </xf>
    <xf numFmtId="49" fontId="37" fillId="0" borderId="1" xfId="5" quotePrefix="1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49" fontId="37" fillId="0" borderId="26" xfId="5" quotePrefix="1" applyNumberFormat="1" applyFont="1" applyFill="1" applyBorder="1" applyAlignment="1">
      <alignment horizontal="center" vertical="center"/>
    </xf>
    <xf numFmtId="0" fontId="36" fillId="0" borderId="26" xfId="0" applyFont="1" applyBorder="1" applyAlignment="1">
      <alignment horizontal="center" vertical="center"/>
    </xf>
    <xf numFmtId="0" fontId="36" fillId="0" borderId="26" xfId="0" applyFont="1" applyBorder="1" applyAlignment="1">
      <alignment vertical="center"/>
    </xf>
    <xf numFmtId="0" fontId="40" fillId="0" borderId="1" xfId="0" applyFont="1" applyBorder="1" applyAlignment="1">
      <alignment horizontal="center"/>
    </xf>
    <xf numFmtId="0" fontId="36" fillId="0" borderId="26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 wrapText="1"/>
    </xf>
    <xf numFmtId="167" fontId="45" fillId="3" borderId="1" xfId="1" applyNumberFormat="1" applyFont="1" applyFill="1" applyBorder="1" applyAlignment="1">
      <alignment horizontal="right" vertical="center"/>
    </xf>
    <xf numFmtId="166" fontId="12" fillId="2" borderId="1" xfId="1" applyNumberFormat="1" applyFont="1" applyFill="1" applyBorder="1"/>
    <xf numFmtId="0" fontId="46" fillId="0" borderId="0" xfId="0" applyFont="1"/>
    <xf numFmtId="167" fontId="35" fillId="0" borderId="0" xfId="0" applyNumberFormat="1" applyFont="1"/>
    <xf numFmtId="167" fontId="23" fillId="0" borderId="34" xfId="1" applyNumberFormat="1" applyFont="1" applyBorder="1" applyAlignment="1">
      <alignment vertical="center"/>
    </xf>
    <xf numFmtId="3" fontId="23" fillId="0" borderId="34" xfId="3" applyNumberFormat="1" applyFont="1" applyBorder="1" applyAlignment="1">
      <alignment vertical="center"/>
    </xf>
    <xf numFmtId="0" fontId="19" fillId="0" borderId="10" xfId="0" applyFont="1" applyBorder="1" applyAlignment="1">
      <alignment horizontal="justify" vertical="center" wrapText="1"/>
    </xf>
    <xf numFmtId="166" fontId="19" fillId="0" borderId="10" xfId="1" applyNumberFormat="1" applyFont="1" applyFill="1" applyBorder="1" applyAlignment="1">
      <alignment horizontal="center" vertical="center" wrapText="1"/>
    </xf>
    <xf numFmtId="3" fontId="4" fillId="0" borderId="10" xfId="1" applyNumberFormat="1" applyFont="1" applyFill="1" applyBorder="1" applyAlignment="1">
      <alignment horizontal="right" vertical="center"/>
    </xf>
    <xf numFmtId="3" fontId="4" fillId="0" borderId="10" xfId="3" applyNumberFormat="1" applyFont="1" applyFill="1" applyBorder="1" applyAlignment="1">
      <alignment horizontal="right" vertical="center"/>
    </xf>
    <xf numFmtId="3" fontId="4" fillId="0" borderId="10" xfId="3" applyNumberFormat="1" applyFont="1" applyFill="1" applyBorder="1" applyAlignment="1">
      <alignment horizontal="center" vertical="center"/>
    </xf>
    <xf numFmtId="3" fontId="12" fillId="0" borderId="10" xfId="1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justify" vertical="center" wrapText="1"/>
    </xf>
    <xf numFmtId="0" fontId="19" fillId="0" borderId="36" xfId="0" applyFont="1" applyBorder="1"/>
    <xf numFmtId="165" fontId="23" fillId="0" borderId="27" xfId="3" applyNumberFormat="1" applyFont="1" applyFill="1" applyBorder="1" applyAlignment="1">
      <alignment horizontal="center" vertical="center"/>
    </xf>
    <xf numFmtId="0" fontId="19" fillId="0" borderId="10" xfId="0" applyFont="1" applyBorder="1"/>
    <xf numFmtId="167" fontId="19" fillId="0" borderId="10" xfId="1" applyNumberFormat="1" applyFont="1" applyBorder="1" applyAlignment="1">
      <alignment vertical="center" wrapText="1"/>
    </xf>
    <xf numFmtId="3" fontId="17" fillId="0" borderId="10" xfId="3" applyNumberFormat="1" applyFont="1" applyFill="1" applyBorder="1" applyAlignment="1">
      <alignment horizontal="right" vertical="center"/>
    </xf>
    <xf numFmtId="3" fontId="17" fillId="0" borderId="10" xfId="1" applyNumberFormat="1" applyFont="1" applyFill="1" applyBorder="1" applyAlignment="1">
      <alignment horizontal="right" vertical="center"/>
    </xf>
    <xf numFmtId="165" fontId="23" fillId="0" borderId="37" xfId="3" applyNumberFormat="1" applyFont="1" applyFill="1" applyBorder="1" applyAlignment="1">
      <alignment horizontal="center" vertical="center"/>
    </xf>
    <xf numFmtId="0" fontId="19" fillId="0" borderId="38" xfId="0" applyFont="1" applyBorder="1" applyAlignment="1">
      <alignment horizontal="justify" vertical="center" wrapText="1"/>
    </xf>
    <xf numFmtId="0" fontId="19" fillId="0" borderId="38" xfId="0" applyFont="1" applyBorder="1"/>
    <xf numFmtId="167" fontId="19" fillId="0" borderId="38" xfId="1" applyNumberFormat="1" applyFont="1" applyBorder="1" applyAlignment="1">
      <alignment vertical="center" wrapText="1"/>
    </xf>
    <xf numFmtId="166" fontId="19" fillId="0" borderId="38" xfId="1" applyNumberFormat="1" applyFont="1" applyFill="1" applyBorder="1" applyAlignment="1">
      <alignment horizontal="center" vertical="center" wrapText="1"/>
    </xf>
    <xf numFmtId="3" fontId="4" fillId="0" borderId="38" xfId="1" applyNumberFormat="1" applyFont="1" applyFill="1" applyBorder="1" applyAlignment="1">
      <alignment horizontal="right" vertical="center"/>
    </xf>
    <xf numFmtId="3" fontId="4" fillId="0" borderId="38" xfId="3" applyNumberFormat="1" applyFont="1" applyFill="1" applyBorder="1" applyAlignment="1">
      <alignment horizontal="right" vertical="center"/>
    </xf>
    <xf numFmtId="3" fontId="4" fillId="0" borderId="38" xfId="3" applyNumberFormat="1" applyFont="1" applyFill="1" applyBorder="1" applyAlignment="1">
      <alignment horizontal="center" vertical="center"/>
    </xf>
    <xf numFmtId="3" fontId="12" fillId="0" borderId="38" xfId="1" applyNumberFormat="1" applyFont="1" applyFill="1" applyBorder="1" applyAlignment="1">
      <alignment horizontal="right" vertical="center"/>
    </xf>
    <xf numFmtId="3" fontId="17" fillId="0" borderId="38" xfId="3" applyNumberFormat="1" applyFont="1" applyFill="1" applyBorder="1" applyAlignment="1">
      <alignment horizontal="right" vertical="center"/>
    </xf>
    <xf numFmtId="3" fontId="17" fillId="0" borderId="38" xfId="1" applyNumberFormat="1" applyFont="1" applyFill="1" applyBorder="1" applyAlignment="1">
      <alignment horizontal="right" vertical="center"/>
    </xf>
    <xf numFmtId="0" fontId="19" fillId="0" borderId="39" xfId="0" applyFont="1" applyBorder="1"/>
    <xf numFmtId="167" fontId="23" fillId="0" borderId="42" xfId="1" applyNumberFormat="1" applyFont="1" applyBorder="1" applyAlignment="1">
      <alignment horizontal="center" vertical="center" wrapText="1"/>
    </xf>
    <xf numFmtId="3" fontId="23" fillId="0" borderId="42" xfId="3" applyNumberFormat="1" applyFont="1" applyBorder="1" applyAlignment="1">
      <alignment horizontal="center" vertical="center" wrapText="1"/>
    </xf>
    <xf numFmtId="3" fontId="12" fillId="0" borderId="42" xfId="3" applyNumberFormat="1" applyFont="1" applyBorder="1" applyAlignment="1">
      <alignment horizontal="right" vertical="center"/>
    </xf>
    <xf numFmtId="3" fontId="12" fillId="0" borderId="42" xfId="3" applyNumberFormat="1" applyFont="1" applyBorder="1" applyAlignment="1">
      <alignment horizontal="center" vertical="center" wrapText="1"/>
    </xf>
    <xf numFmtId="3" fontId="12" fillId="0" borderId="42" xfId="3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justify" vertical="center" wrapText="1"/>
    </xf>
    <xf numFmtId="166" fontId="19" fillId="0" borderId="11" xfId="1" applyNumberFormat="1" applyFont="1" applyFill="1" applyBorder="1" applyAlignment="1">
      <alignment horizontal="center" vertical="center" wrapText="1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1" xfId="3" applyNumberFormat="1" applyFont="1" applyFill="1" applyBorder="1" applyAlignment="1">
      <alignment horizontal="right" vertical="center"/>
    </xf>
    <xf numFmtId="3" fontId="4" fillId="0" borderId="11" xfId="3" applyNumberFormat="1" applyFont="1" applyFill="1" applyBorder="1" applyAlignment="1">
      <alignment horizontal="center" vertical="center"/>
    </xf>
    <xf numFmtId="3" fontId="12" fillId="0" borderId="11" xfId="1" applyNumberFormat="1" applyFont="1" applyFill="1" applyBorder="1" applyAlignment="1">
      <alignment horizontal="right" vertical="center"/>
    </xf>
    <xf numFmtId="0" fontId="21" fillId="0" borderId="11" xfId="0" applyFont="1" applyBorder="1" applyAlignment="1">
      <alignment horizontal="justify" vertical="center" wrapText="1"/>
    </xf>
    <xf numFmtId="0" fontId="19" fillId="0" borderId="40" xfId="0" applyFont="1" applyBorder="1"/>
    <xf numFmtId="165" fontId="23" fillId="2" borderId="29" xfId="3" applyNumberFormat="1" applyFont="1" applyFill="1" applyBorder="1" applyAlignment="1">
      <alignment horizontal="center" vertical="center"/>
    </xf>
    <xf numFmtId="0" fontId="23" fillId="2" borderId="30" xfId="3" applyFont="1" applyFill="1" applyBorder="1" applyAlignment="1">
      <alignment horizontal="left" vertical="center"/>
    </xf>
    <xf numFmtId="0" fontId="23" fillId="2" borderId="30" xfId="3" applyFont="1" applyFill="1" applyBorder="1" applyAlignment="1">
      <alignment horizontal="center" vertical="center"/>
    </xf>
    <xf numFmtId="167" fontId="23" fillId="2" borderId="30" xfId="1" applyNumberFormat="1" applyFont="1" applyFill="1" applyBorder="1" applyAlignment="1">
      <alignment horizontal="right" vertical="center"/>
    </xf>
    <xf numFmtId="3" fontId="12" fillId="2" borderId="30" xfId="1" applyNumberFormat="1" applyFont="1" applyFill="1" applyBorder="1" applyAlignment="1">
      <alignment horizontal="right" vertical="center"/>
    </xf>
    <xf numFmtId="0" fontId="19" fillId="2" borderId="44" xfId="0" applyFont="1" applyFill="1" applyBorder="1"/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justify" vertical="center" wrapText="1"/>
    </xf>
    <xf numFmtId="167" fontId="19" fillId="0" borderId="7" xfId="1" applyNumberFormat="1" applyFont="1" applyBorder="1" applyAlignment="1">
      <alignment horizontal="justify" vertical="center" wrapText="1"/>
    </xf>
    <xf numFmtId="166" fontId="19" fillId="0" borderId="7" xfId="1" applyNumberFormat="1" applyFont="1" applyFill="1" applyBorder="1" applyAlignment="1">
      <alignment horizontal="center" vertical="center" wrapText="1"/>
    </xf>
    <xf numFmtId="3" fontId="4" fillId="0" borderId="7" xfId="1" applyNumberFormat="1" applyFont="1" applyFill="1" applyBorder="1" applyAlignment="1">
      <alignment horizontal="right" vertical="center"/>
    </xf>
    <xf numFmtId="3" fontId="4" fillId="0" borderId="7" xfId="3" applyNumberFormat="1" applyFont="1" applyFill="1" applyBorder="1" applyAlignment="1">
      <alignment horizontal="right" vertical="center"/>
    </xf>
    <xf numFmtId="3" fontId="4" fillId="0" borderId="7" xfId="3" applyNumberFormat="1" applyFont="1" applyFill="1" applyBorder="1" applyAlignment="1">
      <alignment horizontal="center" vertical="center"/>
    </xf>
    <xf numFmtId="3" fontId="12" fillId="0" borderId="7" xfId="1" applyNumberFormat="1" applyFont="1" applyFill="1" applyBorder="1" applyAlignment="1">
      <alignment horizontal="right" vertical="center"/>
    </xf>
    <xf numFmtId="0" fontId="21" fillId="0" borderId="7" xfId="0" applyFont="1" applyBorder="1" applyAlignment="1">
      <alignment horizontal="justify" vertical="center" wrapText="1"/>
    </xf>
    <xf numFmtId="165" fontId="23" fillId="0" borderId="28" xfId="3" applyNumberFormat="1" applyFont="1" applyFill="1" applyBorder="1" applyAlignment="1">
      <alignment horizontal="center" vertical="center"/>
    </xf>
    <xf numFmtId="0" fontId="19" fillId="0" borderId="11" xfId="0" applyFont="1" applyBorder="1"/>
    <xf numFmtId="167" fontId="19" fillId="0" borderId="11" xfId="1" applyNumberFormat="1" applyFont="1" applyBorder="1" applyAlignment="1">
      <alignment vertical="center" wrapText="1"/>
    </xf>
    <xf numFmtId="167" fontId="23" fillId="2" borderId="31" xfId="1" applyNumberFormat="1" applyFont="1" applyFill="1" applyBorder="1" applyAlignment="1">
      <alignment horizontal="right" vertical="center"/>
    </xf>
    <xf numFmtId="165" fontId="23" fillId="2" borderId="46" xfId="3" applyNumberFormat="1" applyFont="1" applyFill="1" applyBorder="1" applyAlignment="1">
      <alignment horizontal="center" vertical="center"/>
    </xf>
    <xf numFmtId="0" fontId="23" fillId="2" borderId="47" xfId="3" applyFont="1" applyFill="1" applyBorder="1" applyAlignment="1">
      <alignment horizontal="left" vertical="center"/>
    </xf>
    <xf numFmtId="0" fontId="23" fillId="2" borderId="47" xfId="3" applyFont="1" applyFill="1" applyBorder="1" applyAlignment="1">
      <alignment horizontal="center" vertical="center"/>
    </xf>
    <xf numFmtId="167" fontId="23" fillId="2" borderId="47" xfId="1" applyNumberFormat="1" applyFont="1" applyFill="1" applyBorder="1" applyAlignment="1">
      <alignment horizontal="right" vertical="center"/>
    </xf>
    <xf numFmtId="3" fontId="12" fillId="2" borderId="45" xfId="1" applyNumberFormat="1" applyFont="1" applyFill="1" applyBorder="1" applyAlignment="1">
      <alignment horizontal="right" vertical="center"/>
    </xf>
    <xf numFmtId="0" fontId="19" fillId="0" borderId="48" xfId="0" applyFont="1" applyBorder="1"/>
    <xf numFmtId="167" fontId="23" fillId="2" borderId="29" xfId="1" applyNumberFormat="1" applyFont="1" applyFill="1" applyBorder="1" applyAlignment="1">
      <alignment horizontal="right" vertical="center"/>
    </xf>
    <xf numFmtId="165" fontId="47" fillId="0" borderId="32" xfId="3" applyNumberFormat="1" applyFont="1" applyFill="1" applyBorder="1" applyAlignment="1">
      <alignment horizontal="center" vertical="center"/>
    </xf>
    <xf numFmtId="1" fontId="36" fillId="0" borderId="1" xfId="5" quotePrefix="1" applyNumberFormat="1" applyFont="1" applyBorder="1"/>
    <xf numFmtId="0" fontId="1" fillId="0" borderId="1" xfId="0" applyFont="1" applyBorder="1" applyAlignment="1">
      <alignment horizontal="center" vertical="center"/>
    </xf>
    <xf numFmtId="167" fontId="3" fillId="2" borderId="1" xfId="1" applyNumberFormat="1" applyFont="1" applyFill="1" applyBorder="1"/>
    <xf numFmtId="167" fontId="49" fillId="0" borderId="0" xfId="1" applyNumberFormat="1" applyFont="1"/>
    <xf numFmtId="167" fontId="35" fillId="0" borderId="0" xfId="1" applyNumberFormat="1" applyFont="1" applyAlignment="1">
      <alignment horizontal="center"/>
    </xf>
    <xf numFmtId="164" fontId="35" fillId="0" borderId="0" xfId="0" applyNumberFormat="1" applyFont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/>
    </xf>
    <xf numFmtId="167" fontId="44" fillId="0" borderId="3" xfId="1" applyNumberFormat="1" applyFont="1" applyBorder="1"/>
    <xf numFmtId="167" fontId="35" fillId="0" borderId="0" xfId="1" applyNumberFormat="1" applyFont="1" applyAlignment="1">
      <alignment horizontal="right"/>
    </xf>
    <xf numFmtId="167" fontId="44" fillId="0" borderId="0" xfId="1" applyNumberFormat="1" applyFont="1"/>
    <xf numFmtId="167" fontId="35" fillId="0" borderId="0" xfId="1" applyNumberFormat="1" applyFont="1" applyAlignment="1">
      <alignment horizontal="center" vertical="center"/>
    </xf>
    <xf numFmtId="0" fontId="50" fillId="0" borderId="0" xfId="0" applyFont="1" applyFill="1"/>
    <xf numFmtId="0" fontId="50" fillId="0" borderId="0" xfId="0" applyFont="1" applyFill="1" applyAlignment="1">
      <alignment horizontal="right"/>
    </xf>
    <xf numFmtId="167" fontId="50" fillId="0" borderId="0" xfId="1" applyNumberFormat="1" applyFont="1"/>
    <xf numFmtId="167" fontId="50" fillId="0" borderId="0" xfId="1" quotePrefix="1" applyNumberFormat="1" applyFont="1"/>
    <xf numFmtId="167" fontId="50" fillId="0" borderId="0" xfId="1" applyNumberFormat="1" applyFont="1" applyFill="1"/>
    <xf numFmtId="167" fontId="51" fillId="0" borderId="0" xfId="1" applyNumberFormat="1" applyFont="1" applyAlignment="1"/>
    <xf numFmtId="0" fontId="52" fillId="0" borderId="0" xfId="0" applyFont="1" applyFill="1"/>
    <xf numFmtId="3" fontId="24" fillId="0" borderId="0" xfId="3" applyNumberFormat="1" applyFont="1" applyFill="1" applyAlignment="1">
      <alignment horizontal="center" vertical="center"/>
    </xf>
    <xf numFmtId="3" fontId="23" fillId="0" borderId="0" xfId="3" applyNumberFormat="1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2" fillId="0" borderId="0" xfId="7" applyFont="1" applyBorder="1" applyAlignment="1"/>
    <xf numFmtId="0" fontId="42" fillId="0" borderId="0" xfId="7" applyFont="1" applyBorder="1" applyAlignment="1">
      <alignment horizontal="left"/>
    </xf>
    <xf numFmtId="0" fontId="3" fillId="0" borderId="0" xfId="0" applyFont="1" applyAlignment="1"/>
    <xf numFmtId="0" fontId="1" fillId="0" borderId="0" xfId="0" applyFont="1" applyAlignment="1"/>
    <xf numFmtId="0" fontId="2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54" fillId="0" borderId="0" xfId="1" applyNumberFormat="1" applyFont="1" applyFill="1" applyAlignment="1">
      <alignment horizontal="center" vertical="center"/>
    </xf>
    <xf numFmtId="165" fontId="12" fillId="0" borderId="0" xfId="3" applyNumberFormat="1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12" fillId="0" borderId="0" xfId="3" applyFont="1" applyFill="1" applyBorder="1" applyAlignment="1">
      <alignment horizontal="center" vertical="center"/>
    </xf>
    <xf numFmtId="167" fontId="12" fillId="0" borderId="0" xfId="1" applyNumberFormat="1" applyFont="1" applyFill="1" applyBorder="1" applyAlignment="1">
      <alignment horizontal="right" vertical="center"/>
    </xf>
    <xf numFmtId="0" fontId="21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center"/>
    </xf>
    <xf numFmtId="166" fontId="12" fillId="0" borderId="0" xfId="1" applyNumberFormat="1" applyFont="1" applyFill="1" applyBorder="1"/>
    <xf numFmtId="0" fontId="27" fillId="0" borderId="0" xfId="0" applyFont="1" applyFill="1"/>
    <xf numFmtId="0" fontId="10" fillId="0" borderId="0" xfId="0" applyFont="1" applyAlignment="1">
      <alignment horizontal="center"/>
    </xf>
    <xf numFmtId="0" fontId="42" fillId="0" borderId="0" xfId="7" applyFont="1" applyBorder="1" applyAlignment="1">
      <alignment horizontal="left"/>
    </xf>
    <xf numFmtId="167" fontId="10" fillId="0" borderId="0" xfId="1" applyNumberFormat="1" applyFont="1" applyAlignment="1">
      <alignment horizontal="left"/>
    </xf>
    <xf numFmtId="167" fontId="49" fillId="0" borderId="0" xfId="1" applyNumberFormat="1" applyFont="1" applyAlignment="1">
      <alignment horizontal="center"/>
    </xf>
    <xf numFmtId="0" fontId="39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2" fillId="0" borderId="15" xfId="0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 wrapText="1"/>
    </xf>
    <xf numFmtId="166" fontId="12" fillId="0" borderId="17" xfId="1" applyNumberFormat="1" applyFont="1" applyBorder="1" applyAlignment="1">
      <alignment horizontal="center" vertical="center" wrapText="1"/>
    </xf>
    <xf numFmtId="166" fontId="12" fillId="0" borderId="18" xfId="1" applyNumberFormat="1" applyFont="1" applyBorder="1" applyAlignment="1">
      <alignment horizontal="center" vertical="center" wrapText="1"/>
    </xf>
    <xf numFmtId="166" fontId="12" fillId="0" borderId="19" xfId="1" applyNumberFormat="1" applyFont="1" applyBorder="1" applyAlignment="1">
      <alignment horizontal="center" vertical="center" wrapText="1"/>
    </xf>
    <xf numFmtId="166" fontId="12" fillId="0" borderId="25" xfId="1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/>
    </xf>
    <xf numFmtId="0" fontId="12" fillId="2" borderId="23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166" fontId="12" fillId="0" borderId="22" xfId="1" applyNumberFormat="1" applyFont="1" applyBorder="1" applyAlignment="1">
      <alignment horizontal="center" vertical="center" wrapText="1"/>
    </xf>
    <xf numFmtId="166" fontId="12" fillId="0" borderId="23" xfId="1" applyNumberFormat="1" applyFont="1" applyBorder="1" applyAlignment="1">
      <alignment horizontal="center" vertical="center" wrapText="1"/>
    </xf>
    <xf numFmtId="3" fontId="12" fillId="0" borderId="2" xfId="3" applyNumberFormat="1" applyFont="1" applyBorder="1" applyAlignment="1">
      <alignment horizontal="center" vertical="center" wrapText="1"/>
    </xf>
    <xf numFmtId="3" fontId="12" fillId="0" borderId="2" xfId="3" applyNumberFormat="1" applyFont="1" applyBorder="1" applyAlignment="1">
      <alignment horizontal="center" vertical="center"/>
    </xf>
    <xf numFmtId="167" fontId="12" fillId="0" borderId="2" xfId="1" applyNumberFormat="1" applyFont="1" applyBorder="1" applyAlignment="1">
      <alignment horizontal="center" vertical="center" wrapText="1"/>
    </xf>
    <xf numFmtId="0" fontId="29" fillId="0" borderId="0" xfId="3" applyFont="1" applyBorder="1" applyAlignment="1">
      <alignment horizontal="center" vertical="center" wrapText="1"/>
    </xf>
    <xf numFmtId="3" fontId="11" fillId="0" borderId="0" xfId="3" applyNumberFormat="1" applyFont="1" applyFill="1" applyAlignment="1">
      <alignment horizontal="center" vertical="center"/>
    </xf>
    <xf numFmtId="3" fontId="12" fillId="0" borderId="0" xfId="3" applyNumberFormat="1" applyFont="1" applyFill="1" applyAlignment="1">
      <alignment horizontal="center" vertical="center"/>
    </xf>
    <xf numFmtId="3" fontId="12" fillId="0" borderId="2" xfId="3" applyNumberFormat="1" applyFont="1" applyFill="1" applyBorder="1" applyAlignment="1">
      <alignment horizontal="center" vertical="center" wrapText="1"/>
    </xf>
    <xf numFmtId="3" fontId="12" fillId="0" borderId="2" xfId="3" applyNumberFormat="1" applyFont="1" applyFill="1" applyBorder="1" applyAlignment="1">
      <alignment horizontal="center" vertical="center"/>
    </xf>
    <xf numFmtId="0" fontId="29" fillId="0" borderId="0" xfId="3" applyFont="1" applyBorder="1" applyAlignment="1">
      <alignment horizontal="left" wrapText="1"/>
    </xf>
    <xf numFmtId="165" fontId="28" fillId="0" borderId="0" xfId="3" applyNumberFormat="1" applyFont="1" applyFill="1" applyAlignment="1">
      <alignment horizontal="center" vertical="center"/>
    </xf>
    <xf numFmtId="165" fontId="12" fillId="0" borderId="0" xfId="3" applyNumberFormat="1" applyFont="1" applyFill="1" applyAlignment="1">
      <alignment horizontal="center" vertical="center"/>
    </xf>
    <xf numFmtId="165" fontId="30" fillId="0" borderId="0" xfId="3" applyNumberFormat="1" applyFont="1" applyFill="1" applyAlignment="1">
      <alignment horizontal="center" vertical="center"/>
    </xf>
    <xf numFmtId="3" fontId="12" fillId="0" borderId="12" xfId="3" applyNumberFormat="1" applyFont="1" applyBorder="1" applyAlignment="1">
      <alignment horizontal="center" vertical="center" wrapText="1"/>
    </xf>
    <xf numFmtId="3" fontId="12" fillId="0" borderId="13" xfId="3" applyNumberFormat="1" applyFont="1" applyBorder="1" applyAlignment="1">
      <alignment horizontal="center" vertical="center" wrapText="1"/>
    </xf>
    <xf numFmtId="165" fontId="12" fillId="0" borderId="2" xfId="3" applyNumberFormat="1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5" fillId="0" borderId="0" xfId="3" applyFont="1" applyBorder="1" applyAlignment="1">
      <alignment horizontal="left" wrapText="1"/>
    </xf>
    <xf numFmtId="165" fontId="41" fillId="0" borderId="0" xfId="3" applyNumberFormat="1" applyFont="1" applyFill="1" applyAlignment="1">
      <alignment horizontal="center" vertical="center"/>
    </xf>
    <xf numFmtId="165" fontId="23" fillId="0" borderId="0" xfId="3" applyNumberFormat="1" applyFont="1" applyFill="1" applyAlignment="1">
      <alignment horizontal="center" vertical="center"/>
    </xf>
    <xf numFmtId="165" fontId="26" fillId="0" borderId="0" xfId="3" applyNumberFormat="1" applyFont="1" applyFill="1" applyAlignment="1">
      <alignment horizontal="center" vertical="center"/>
    </xf>
    <xf numFmtId="3" fontId="12" fillId="0" borderId="34" xfId="3" applyNumberFormat="1" applyFont="1" applyBorder="1" applyAlignment="1">
      <alignment horizontal="center" vertical="center" wrapText="1"/>
    </xf>
    <xf numFmtId="3" fontId="12" fillId="0" borderId="42" xfId="3" applyNumberFormat="1" applyFont="1" applyBorder="1" applyAlignment="1">
      <alignment horizontal="center" vertical="center" wrapText="1"/>
    </xf>
    <xf numFmtId="3" fontId="12" fillId="0" borderId="34" xfId="3" applyNumberFormat="1" applyFont="1" applyBorder="1" applyAlignment="1">
      <alignment horizontal="center" vertical="center"/>
    </xf>
    <xf numFmtId="165" fontId="23" fillId="0" borderId="33" xfId="3" applyNumberFormat="1" applyFont="1" applyBorder="1" applyAlignment="1">
      <alignment horizontal="center" vertical="center"/>
    </xf>
    <xf numFmtId="165" fontId="23" fillId="0" borderId="41" xfId="3" applyNumberFormat="1" applyFont="1" applyBorder="1" applyAlignment="1">
      <alignment horizontal="center" vertical="center"/>
    </xf>
    <xf numFmtId="0" fontId="23" fillId="0" borderId="34" xfId="3" applyFont="1" applyBorder="1" applyAlignment="1">
      <alignment horizontal="center" vertical="center"/>
    </xf>
    <xf numFmtId="0" fontId="23" fillId="0" borderId="42" xfId="3" applyFont="1" applyBorder="1" applyAlignment="1">
      <alignment horizontal="center" vertical="center"/>
    </xf>
    <xf numFmtId="0" fontId="23" fillId="0" borderId="34" xfId="3" applyFont="1" applyBorder="1" applyAlignment="1">
      <alignment horizontal="center" vertical="center" wrapText="1"/>
    </xf>
    <xf numFmtId="3" fontId="23" fillId="0" borderId="34" xfId="3" applyNumberFormat="1" applyFont="1" applyBorder="1" applyAlignment="1">
      <alignment horizontal="center" vertical="center" wrapText="1"/>
    </xf>
    <xf numFmtId="3" fontId="23" fillId="0" borderId="42" xfId="3" applyNumberFormat="1" applyFont="1" applyBorder="1" applyAlignment="1">
      <alignment horizontal="center" vertical="center" wrapText="1"/>
    </xf>
    <xf numFmtId="3" fontId="12" fillId="0" borderId="34" xfId="3" applyNumberFormat="1" applyFont="1" applyFill="1" applyBorder="1" applyAlignment="1">
      <alignment horizontal="center" vertical="center" wrapText="1"/>
    </xf>
    <xf numFmtId="3" fontId="12" fillId="0" borderId="42" xfId="3" applyNumberFormat="1" applyFont="1" applyFill="1" applyBorder="1" applyAlignment="1">
      <alignment horizontal="center" vertical="center"/>
    </xf>
    <xf numFmtId="3" fontId="12" fillId="0" borderId="35" xfId="3" applyNumberFormat="1" applyFont="1" applyBorder="1" applyAlignment="1">
      <alignment horizontal="center" vertical="center" wrapText="1"/>
    </xf>
    <xf numFmtId="3" fontId="12" fillId="0" borderId="43" xfId="3" applyNumberFormat="1" applyFont="1" applyBorder="1" applyAlignment="1">
      <alignment horizontal="center" vertical="center" wrapText="1"/>
    </xf>
    <xf numFmtId="0" fontId="25" fillId="0" borderId="0" xfId="3" applyFont="1" applyBorder="1" applyAlignment="1">
      <alignment horizontal="center" vertical="center" wrapText="1"/>
    </xf>
    <xf numFmtId="3" fontId="24" fillId="0" borderId="0" xfId="3" applyNumberFormat="1" applyFont="1" applyFill="1" applyAlignment="1">
      <alignment horizontal="center" vertical="center"/>
    </xf>
    <xf numFmtId="3" fontId="23" fillId="0" borderId="0" xfId="3" applyNumberFormat="1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166" fontId="22" fillId="0" borderId="0" xfId="1" applyNumberFormat="1" applyFont="1" applyFill="1" applyBorder="1" applyAlignment="1">
      <alignment horizontal="center"/>
    </xf>
    <xf numFmtId="166" fontId="41" fillId="0" borderId="0" xfId="1" applyNumberFormat="1" applyFont="1" applyFill="1" applyBorder="1" applyAlignment="1">
      <alignment horizontal="center" vertical="center"/>
    </xf>
    <xf numFmtId="166" fontId="8" fillId="0" borderId="0" xfId="1" applyNumberFormat="1" applyFont="1" applyFill="1" applyBorder="1" applyAlignment="1">
      <alignment horizontal="center" vertical="center"/>
    </xf>
    <xf numFmtId="167" fontId="13" fillId="0" borderId="1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6" applyNumberFormat="1" applyFont="1" applyFill="1" applyBorder="1" applyAlignment="1">
      <alignment horizontal="center" vertical="center" wrapText="1"/>
    </xf>
    <xf numFmtId="0" fontId="8" fillId="0" borderId="4" xfId="6" applyNumberFormat="1" applyFont="1" applyFill="1" applyBorder="1" applyAlignment="1">
      <alignment horizontal="center" vertical="center" wrapText="1"/>
    </xf>
    <xf numFmtId="0" fontId="8" fillId="0" borderId="8" xfId="6" applyNumberFormat="1" applyFont="1" applyFill="1" applyBorder="1" applyAlignment="1">
      <alignment horizontal="center" vertical="center" wrapText="1"/>
    </xf>
    <xf numFmtId="43" fontId="55" fillId="0" borderId="0" xfId="1" applyFont="1" applyAlignment="1"/>
    <xf numFmtId="0" fontId="45" fillId="0" borderId="0" xfId="1" applyNumberFormat="1" applyFont="1" applyAlignment="1">
      <alignment vertical="center"/>
    </xf>
    <xf numFmtId="167" fontId="45" fillId="0" borderId="0" xfId="1" applyNumberFormat="1" applyFont="1"/>
    <xf numFmtId="0" fontId="45" fillId="0" borderId="0" xfId="0" applyNumberFormat="1" applyFont="1" applyAlignment="1">
      <alignment vertical="center"/>
    </xf>
    <xf numFmtId="167" fontId="56" fillId="0" borderId="0" xfId="1" applyNumberFormat="1" applyFont="1"/>
    <xf numFmtId="0" fontId="56" fillId="0" borderId="0" xfId="0" applyFont="1"/>
    <xf numFmtId="0" fontId="55" fillId="0" borderId="0" xfId="0" applyFont="1" applyAlignment="1"/>
    <xf numFmtId="167" fontId="57" fillId="0" borderId="0" xfId="1" applyNumberFormat="1" applyFont="1"/>
    <xf numFmtId="0" fontId="55" fillId="0" borderId="0" xfId="0" applyFont="1" applyAlignment="1">
      <alignment horizontal="left"/>
    </xf>
    <xf numFmtId="0" fontId="58" fillId="0" borderId="0" xfId="0" applyFont="1" applyAlignment="1">
      <alignment horizontal="center"/>
    </xf>
    <xf numFmtId="0" fontId="45" fillId="0" borderId="0" xfId="0" applyFont="1"/>
    <xf numFmtId="0" fontId="57" fillId="0" borderId="0" xfId="0" applyNumberFormat="1" applyFont="1" applyAlignment="1">
      <alignment vertical="center"/>
    </xf>
    <xf numFmtId="0" fontId="57" fillId="0" borderId="26" xfId="0" applyFont="1" applyBorder="1" applyAlignment="1">
      <alignment horizontal="center" vertical="center"/>
    </xf>
    <xf numFmtId="0" fontId="57" fillId="0" borderId="26" xfId="0" applyFont="1" applyBorder="1" applyAlignment="1">
      <alignment horizontal="center" vertical="center" wrapText="1"/>
    </xf>
    <xf numFmtId="167" fontId="57" fillId="0" borderId="26" xfId="1" applyNumberFormat="1" applyFont="1" applyBorder="1" applyAlignment="1">
      <alignment horizontal="center" vertical="center" wrapText="1"/>
    </xf>
    <xf numFmtId="167" fontId="57" fillId="0" borderId="26" xfId="1" applyNumberFormat="1" applyFont="1" applyBorder="1" applyAlignment="1">
      <alignment horizontal="center" vertical="center"/>
    </xf>
    <xf numFmtId="0" fontId="57" fillId="0" borderId="26" xfId="1" applyNumberFormat="1" applyFont="1" applyBorder="1" applyAlignment="1">
      <alignment horizontal="center" vertical="center" wrapText="1"/>
    </xf>
    <xf numFmtId="0" fontId="57" fillId="0" borderId="26" xfId="0" applyNumberFormat="1" applyFont="1" applyBorder="1" applyAlignment="1">
      <alignment horizontal="center" vertical="center" wrapText="1"/>
    </xf>
    <xf numFmtId="167" fontId="59" fillId="0" borderId="0" xfId="1" applyNumberFormat="1" applyFont="1"/>
    <xf numFmtId="0" fontId="59" fillId="0" borderId="0" xfId="0" applyFont="1"/>
    <xf numFmtId="0" fontId="57" fillId="0" borderId="26" xfId="0" applyFont="1" applyBorder="1" applyAlignment="1">
      <alignment horizontal="center"/>
    </xf>
    <xf numFmtId="167" fontId="57" fillId="0" borderId="26" xfId="1" applyNumberFormat="1" applyFont="1" applyBorder="1" applyAlignment="1">
      <alignment horizontal="center"/>
    </xf>
    <xf numFmtId="0" fontId="57" fillId="0" borderId="26" xfId="1" quotePrefix="1" applyNumberFormat="1" applyFont="1" applyBorder="1" applyAlignment="1">
      <alignment horizontal="center" vertical="center"/>
    </xf>
    <xf numFmtId="167" fontId="57" fillId="0" borderId="26" xfId="1" quotePrefix="1" applyNumberFormat="1" applyFont="1" applyBorder="1" applyAlignment="1">
      <alignment horizontal="center"/>
    </xf>
    <xf numFmtId="0" fontId="57" fillId="0" borderId="26" xfId="0" applyNumberFormat="1" applyFont="1" applyBorder="1" applyAlignment="1">
      <alignment horizontal="center" vertical="center"/>
    </xf>
    <xf numFmtId="49" fontId="57" fillId="3" borderId="26" xfId="0" quotePrefix="1" applyNumberFormat="1" applyFont="1" applyFill="1" applyBorder="1" applyAlignment="1">
      <alignment horizontal="center"/>
    </xf>
    <xf numFmtId="0" fontId="57" fillId="3" borderId="49" xfId="0" applyFont="1" applyFill="1" applyBorder="1" applyAlignment="1">
      <alignment horizontal="left"/>
    </xf>
    <xf numFmtId="0" fontId="57" fillId="3" borderId="50" xfId="0" applyFont="1" applyFill="1" applyBorder="1" applyAlignment="1">
      <alignment horizontal="left"/>
    </xf>
    <xf numFmtId="0" fontId="57" fillId="3" borderId="51" xfId="0" applyFont="1" applyFill="1" applyBorder="1" applyAlignment="1">
      <alignment horizontal="left"/>
    </xf>
    <xf numFmtId="166" fontId="57" fillId="3" borderId="26" xfId="1" applyNumberFormat="1" applyFont="1" applyFill="1" applyBorder="1" applyAlignment="1">
      <alignment horizontal="center"/>
    </xf>
    <xf numFmtId="0" fontId="57" fillId="3" borderId="26" xfId="1" applyNumberFormat="1" applyFont="1" applyFill="1" applyBorder="1" applyAlignment="1">
      <alignment horizontal="center" vertical="center"/>
    </xf>
    <xf numFmtId="167" fontId="59" fillId="3" borderId="0" xfId="1" applyNumberFormat="1" applyFont="1" applyFill="1"/>
    <xf numFmtId="0" fontId="59" fillId="3" borderId="0" xfId="0" applyFont="1" applyFill="1"/>
    <xf numFmtId="49" fontId="45" fillId="0" borderId="26" xfId="0" applyNumberFormat="1" applyFont="1" applyFill="1" applyBorder="1" applyAlignment="1">
      <alignment horizontal="center"/>
    </xf>
    <xf numFmtId="0" fontId="45" fillId="0" borderId="26" xfId="0" applyFont="1" applyBorder="1" applyAlignment="1">
      <alignment vertical="center" wrapText="1"/>
    </xf>
    <xf numFmtId="0" fontId="45" fillId="0" borderId="26" xfId="0" applyFont="1" applyBorder="1" applyAlignment="1">
      <alignment horizontal="justify" vertical="center" wrapText="1"/>
    </xf>
    <xf numFmtId="14" fontId="45" fillId="0" borderId="26" xfId="0" quotePrefix="1" applyNumberFormat="1" applyFont="1" applyBorder="1" applyAlignment="1">
      <alignment horizontal="center"/>
    </xf>
    <xf numFmtId="167" fontId="45" fillId="0" borderId="26" xfId="1" applyNumberFormat="1" applyFont="1" applyBorder="1" applyAlignment="1">
      <alignment horizontal="justify" vertical="center" wrapText="1"/>
    </xf>
    <xf numFmtId="167" fontId="45" fillId="0" borderId="26" xfId="1" applyNumberFormat="1" applyFont="1" applyFill="1" applyBorder="1"/>
    <xf numFmtId="0" fontId="45" fillId="0" borderId="26" xfId="1" applyNumberFormat="1" applyFont="1" applyFill="1" applyBorder="1" applyAlignment="1">
      <alignment horizontal="center" vertical="center"/>
    </xf>
    <xf numFmtId="0" fontId="45" fillId="0" borderId="26" xfId="0" applyNumberFormat="1" applyFont="1" applyFill="1" applyBorder="1" applyAlignment="1">
      <alignment horizontal="center" vertical="center"/>
    </xf>
    <xf numFmtId="49" fontId="45" fillId="3" borderId="26" xfId="0" applyNumberFormat="1" applyFont="1" applyFill="1" applyBorder="1" applyAlignment="1">
      <alignment horizontal="center"/>
    </xf>
    <xf numFmtId="49" fontId="60" fillId="3" borderId="26" xfId="0" applyNumberFormat="1" applyFont="1" applyFill="1" applyBorder="1" applyAlignment="1">
      <alignment horizontal="left"/>
    </xf>
    <xf numFmtId="0" fontId="45" fillId="3" borderId="26" xfId="0" applyFont="1" applyFill="1" applyBorder="1" applyAlignment="1">
      <alignment horizontal="justify" vertical="center" wrapText="1"/>
    </xf>
    <xf numFmtId="14" fontId="45" fillId="3" borderId="26" xfId="0" quotePrefix="1" applyNumberFormat="1" applyFont="1" applyFill="1" applyBorder="1" applyAlignment="1">
      <alignment horizontal="center"/>
    </xf>
    <xf numFmtId="167" fontId="45" fillId="3" borderId="26" xfId="1" applyNumberFormat="1" applyFont="1" applyFill="1" applyBorder="1" applyAlignment="1">
      <alignment horizontal="justify" vertical="center" wrapText="1"/>
    </xf>
    <xf numFmtId="167" fontId="45" fillId="3" borderId="26" xfId="1" applyNumberFormat="1" applyFont="1" applyFill="1" applyBorder="1"/>
    <xf numFmtId="0" fontId="45" fillId="3" borderId="26" xfId="1" applyNumberFormat="1" applyFont="1" applyFill="1" applyBorder="1" applyAlignment="1">
      <alignment horizontal="center" vertical="center"/>
    </xf>
    <xf numFmtId="0" fontId="45" fillId="3" borderId="26" xfId="0" applyNumberFormat="1" applyFont="1" applyFill="1" applyBorder="1" applyAlignment="1">
      <alignment horizontal="center" vertical="center"/>
    </xf>
    <xf numFmtId="49" fontId="57" fillId="3" borderId="26" xfId="0" applyNumberFormat="1" applyFont="1" applyFill="1" applyBorder="1" applyAlignment="1">
      <alignment horizontal="center"/>
    </xf>
    <xf numFmtId="0" fontId="45" fillId="3" borderId="26" xfId="0" applyFont="1" applyFill="1" applyBorder="1" applyAlignment="1">
      <alignment vertical="center" wrapText="1"/>
    </xf>
    <xf numFmtId="167" fontId="61" fillId="3" borderId="0" xfId="1" applyNumberFormat="1" applyFont="1" applyFill="1"/>
    <xf numFmtId="0" fontId="61" fillId="3" borderId="0" xfId="0" applyFont="1" applyFill="1"/>
    <xf numFmtId="49" fontId="45" fillId="0" borderId="26" xfId="0" quotePrefix="1" applyNumberFormat="1" applyFont="1" applyBorder="1" applyAlignment="1">
      <alignment horizontal="left"/>
    </xf>
    <xf numFmtId="49" fontId="45" fillId="0" borderId="26" xfId="0" applyNumberFormat="1" applyFont="1" applyBorder="1" applyAlignment="1">
      <alignment horizontal="left"/>
    </xf>
    <xf numFmtId="49" fontId="45" fillId="0" borderId="26" xfId="0" applyNumberFormat="1" applyFont="1" applyFill="1" applyBorder="1" applyAlignment="1">
      <alignment horizontal="center" vertical="center"/>
    </xf>
    <xf numFmtId="49" fontId="45" fillId="0" borderId="26" xfId="0" applyNumberFormat="1" applyFont="1" applyBorder="1" applyAlignment="1">
      <alignment horizontal="left" vertical="center"/>
    </xf>
    <xf numFmtId="0" fontId="45" fillId="0" borderId="26" xfId="0" applyFont="1" applyBorder="1" applyAlignment="1">
      <alignment horizontal="justify" vertical="center"/>
    </xf>
    <xf numFmtId="14" fontId="45" fillId="0" borderId="26" xfId="0" quotePrefix="1" applyNumberFormat="1" applyFont="1" applyBorder="1" applyAlignment="1">
      <alignment horizontal="center" vertical="center"/>
    </xf>
    <xf numFmtId="167" fontId="45" fillId="0" borderId="26" xfId="1" applyNumberFormat="1" applyFont="1" applyFill="1" applyBorder="1" applyAlignment="1">
      <alignment vertical="center"/>
    </xf>
    <xf numFmtId="0" fontId="45" fillId="0" borderId="26" xfId="0" applyFont="1" applyBorder="1" applyAlignment="1">
      <alignment horizontal="left" vertical="center" wrapText="1"/>
    </xf>
    <xf numFmtId="0" fontId="57" fillId="0" borderId="26" xfId="0" applyFont="1" applyFill="1" applyBorder="1" applyAlignment="1">
      <alignment horizontal="center"/>
    </xf>
    <xf numFmtId="166" fontId="57" fillId="0" borderId="26" xfId="1" applyNumberFormat="1" applyFont="1" applyFill="1" applyBorder="1" applyAlignment="1">
      <alignment horizontal="center"/>
    </xf>
    <xf numFmtId="0" fontId="57" fillId="0" borderId="26" xfId="1" applyNumberFormat="1" applyFont="1" applyFill="1" applyBorder="1" applyAlignment="1">
      <alignment horizontal="center" vertical="center"/>
    </xf>
    <xf numFmtId="167" fontId="61" fillId="0" borderId="0" xfId="1" applyNumberFormat="1" applyFont="1"/>
    <xf numFmtId="0" fontId="61" fillId="0" borderId="0" xfId="0" applyFont="1"/>
    <xf numFmtId="0" fontId="62" fillId="0" borderId="0" xfId="3" applyFont="1" applyFill="1" applyAlignment="1">
      <alignment horizontal="left" vertical="center"/>
    </xf>
    <xf numFmtId="0" fontId="62" fillId="0" borderId="0" xfId="3" applyFont="1" applyFill="1" applyAlignment="1">
      <alignment horizontal="center" vertical="center"/>
    </xf>
    <xf numFmtId="3" fontId="62" fillId="0" borderId="0" xfId="3" applyNumberFormat="1" applyFont="1" applyFill="1" applyAlignment="1">
      <alignment horizontal="right" vertical="center"/>
    </xf>
    <xf numFmtId="167" fontId="62" fillId="0" borderId="0" xfId="3" applyNumberFormat="1" applyFont="1" applyFill="1" applyAlignment="1">
      <alignment horizontal="right" vertical="center"/>
    </xf>
    <xf numFmtId="167" fontId="62" fillId="0" borderId="0" xfId="1" applyNumberFormat="1" applyFont="1" applyFill="1" applyAlignment="1">
      <alignment horizontal="center" vertical="center"/>
    </xf>
    <xf numFmtId="0" fontId="62" fillId="0" borderId="0" xfId="1" applyNumberFormat="1" applyFont="1" applyFill="1" applyAlignment="1">
      <alignment horizontal="right" vertical="center"/>
    </xf>
    <xf numFmtId="167" fontId="62" fillId="0" borderId="0" xfId="1" applyNumberFormat="1" applyFont="1" applyFill="1" applyAlignment="1">
      <alignment horizontal="right" vertical="center"/>
    </xf>
    <xf numFmtId="167" fontId="63" fillId="0" borderId="0" xfId="1" applyNumberFormat="1" applyFont="1"/>
    <xf numFmtId="0" fontId="54" fillId="0" borderId="0" xfId="3" applyNumberFormat="1" applyFont="1" applyFill="1" applyAlignment="1">
      <alignment horizontal="center" vertical="center"/>
    </xf>
    <xf numFmtId="0" fontId="41" fillId="0" borderId="0" xfId="3" applyFont="1" applyFill="1" applyAlignment="1">
      <alignment horizontal="center" vertical="center"/>
    </xf>
    <xf numFmtId="3" fontId="41" fillId="0" borderId="0" xfId="3" applyNumberFormat="1" applyFont="1" applyFill="1" applyAlignment="1">
      <alignment horizontal="right" vertical="center"/>
    </xf>
    <xf numFmtId="167" fontId="41" fillId="0" borderId="0" xfId="3" applyNumberFormat="1" applyFont="1" applyFill="1" applyAlignment="1">
      <alignment horizontal="right" vertical="center"/>
    </xf>
    <xf numFmtId="167" fontId="41" fillId="0" borderId="0" xfId="1" applyNumberFormat="1" applyFont="1" applyFill="1" applyAlignment="1">
      <alignment horizontal="center" vertical="center"/>
    </xf>
    <xf numFmtId="0" fontId="41" fillId="0" borderId="0" xfId="3" applyNumberFormat="1" applyFont="1" applyFill="1" applyAlignment="1">
      <alignment horizontal="center" vertical="center"/>
    </xf>
    <xf numFmtId="0" fontId="62" fillId="0" borderId="0" xfId="3" applyFont="1" applyFill="1" applyAlignment="1">
      <alignment horizontal="center" vertical="center"/>
    </xf>
    <xf numFmtId="167" fontId="62" fillId="0" borderId="0" xfId="1" applyNumberFormat="1" applyFont="1" applyAlignment="1">
      <alignment horizontal="center" vertical="center"/>
    </xf>
    <xf numFmtId="0" fontId="62" fillId="0" borderId="0" xfId="0" applyFont="1"/>
    <xf numFmtId="167" fontId="62" fillId="0" borderId="0" xfId="0" applyNumberFormat="1" applyFont="1"/>
    <xf numFmtId="167" fontId="62" fillId="0" borderId="0" xfId="1" applyNumberFormat="1" applyFont="1"/>
    <xf numFmtId="0" fontId="62" fillId="0" borderId="0" xfId="1" applyNumberFormat="1" applyFont="1" applyAlignment="1">
      <alignment vertical="center"/>
    </xf>
    <xf numFmtId="0" fontId="62" fillId="0" borderId="0" xfId="0" applyNumberFormat="1" applyFont="1" applyAlignment="1">
      <alignment vertical="center"/>
    </xf>
    <xf numFmtId="167" fontId="56" fillId="0" borderId="0" xfId="0" applyNumberFormat="1" applyFont="1"/>
    <xf numFmtId="0" fontId="56" fillId="0" borderId="0" xfId="0" applyNumberFormat="1" applyFont="1" applyAlignment="1">
      <alignment vertical="center"/>
    </xf>
    <xf numFmtId="0" fontId="62" fillId="0" borderId="0" xfId="0" applyFont="1" applyAlignment="1">
      <alignment horizontal="center"/>
    </xf>
    <xf numFmtId="43" fontId="5" fillId="0" borderId="0" xfId="1" applyFont="1" applyAlignment="1">
      <alignment horizontal="left"/>
    </xf>
    <xf numFmtId="166" fontId="5" fillId="0" borderId="0" xfId="1" applyNumberFormat="1" applyFont="1" applyAlignment="1"/>
    <xf numFmtId="166" fontId="5" fillId="0" borderId="0" xfId="0" applyNumberFormat="1" applyFont="1" applyAlignment="1"/>
    <xf numFmtId="166" fontId="5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2" fillId="0" borderId="26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 wrapText="1"/>
    </xf>
    <xf numFmtId="166" fontId="42" fillId="0" borderId="26" xfId="1" applyNumberFormat="1" applyFont="1" applyBorder="1" applyAlignment="1">
      <alignment horizontal="center" vertical="center"/>
    </xf>
    <xf numFmtId="167" fontId="42" fillId="0" borderId="26" xfId="1" applyNumberFormat="1" applyFont="1" applyBorder="1" applyAlignment="1">
      <alignment horizontal="center" vertical="center" wrapText="1"/>
    </xf>
    <xf numFmtId="0" fontId="37" fillId="0" borderId="0" xfId="0" applyFont="1"/>
    <xf numFmtId="0" fontId="42" fillId="3" borderId="26" xfId="0" applyFont="1" applyFill="1" applyBorder="1" applyAlignment="1">
      <alignment horizontal="center"/>
    </xf>
    <xf numFmtId="166" fontId="42" fillId="3" borderId="26" xfId="1" applyNumberFormat="1" applyFont="1" applyFill="1" applyBorder="1" applyAlignment="1">
      <alignment horizontal="center"/>
    </xf>
    <xf numFmtId="167" fontId="42" fillId="3" borderId="26" xfId="1" applyNumberFormat="1" applyFont="1" applyFill="1" applyBorder="1" applyAlignment="1">
      <alignment horizontal="center"/>
    </xf>
    <xf numFmtId="167" fontId="42" fillId="3" borderId="26" xfId="1" quotePrefix="1" applyNumberFormat="1" applyFont="1" applyFill="1" applyBorder="1" applyAlignment="1">
      <alignment horizontal="center"/>
    </xf>
    <xf numFmtId="0" fontId="64" fillId="3" borderId="0" xfId="0" applyFont="1" applyFill="1"/>
    <xf numFmtId="0" fontId="37" fillId="3" borderId="0" xfId="0" applyFont="1" applyFill="1"/>
    <xf numFmtId="49" fontId="42" fillId="3" borderId="26" xfId="0" quotePrefix="1" applyNumberFormat="1" applyFont="1" applyFill="1" applyBorder="1" applyAlignment="1">
      <alignment horizontal="center"/>
    </xf>
    <xf numFmtId="0" fontId="42" fillId="3" borderId="49" xfId="0" applyFont="1" applyFill="1" applyBorder="1" applyAlignment="1">
      <alignment horizontal="left"/>
    </xf>
    <xf numFmtId="0" fontId="42" fillId="3" borderId="50" xfId="0" applyFont="1" applyFill="1" applyBorder="1" applyAlignment="1">
      <alignment horizontal="left"/>
    </xf>
    <xf numFmtId="0" fontId="42" fillId="3" borderId="51" xfId="0" applyFont="1" applyFill="1" applyBorder="1" applyAlignment="1">
      <alignment horizontal="left"/>
    </xf>
    <xf numFmtId="166" fontId="42" fillId="3" borderId="26" xfId="1" applyNumberFormat="1" applyFont="1" applyFill="1" applyBorder="1"/>
    <xf numFmtId="0" fontId="42" fillId="3" borderId="26" xfId="1" applyNumberFormat="1" applyFont="1" applyFill="1" applyBorder="1" applyAlignment="1">
      <alignment horizontal="center"/>
    </xf>
    <xf numFmtId="49" fontId="37" fillId="3" borderId="26" xfId="0" quotePrefix="1" applyNumberFormat="1" applyFont="1" applyFill="1" applyBorder="1" applyAlignment="1">
      <alignment horizontal="center"/>
    </xf>
    <xf numFmtId="0" fontId="37" fillId="3" borderId="26" xfId="0" applyFont="1" applyFill="1" applyBorder="1" applyAlignment="1">
      <alignment horizontal="left"/>
    </xf>
    <xf numFmtId="14" fontId="37" fillId="3" borderId="26" xfId="0" applyNumberFormat="1" applyFont="1" applyFill="1" applyBorder="1" applyAlignment="1">
      <alignment horizontal="left"/>
    </xf>
    <xf numFmtId="166" fontId="37" fillId="3" borderId="26" xfId="1" applyNumberFormat="1" applyFont="1" applyFill="1" applyBorder="1"/>
    <xf numFmtId="167" fontId="37" fillId="3" borderId="26" xfId="1" applyNumberFormat="1" applyFont="1" applyFill="1" applyBorder="1"/>
    <xf numFmtId="0" fontId="37" fillId="3" borderId="26" xfId="1" applyNumberFormat="1" applyFont="1" applyFill="1" applyBorder="1" applyAlignment="1">
      <alignment horizontal="center"/>
    </xf>
    <xf numFmtId="49" fontId="42" fillId="3" borderId="26" xfId="0" applyNumberFormat="1" applyFont="1" applyFill="1" applyBorder="1" applyAlignment="1">
      <alignment horizontal="center"/>
    </xf>
    <xf numFmtId="0" fontId="42" fillId="3" borderId="51" xfId="0" applyFont="1" applyFill="1" applyBorder="1" applyAlignment="1"/>
    <xf numFmtId="49" fontId="37" fillId="3" borderId="26" xfId="0" applyNumberFormat="1" applyFont="1" applyFill="1" applyBorder="1" applyAlignment="1">
      <alignment horizontal="center"/>
    </xf>
    <xf numFmtId="49" fontId="37" fillId="0" borderId="26" xfId="0" applyNumberFormat="1" applyFont="1" applyFill="1" applyBorder="1" applyAlignment="1">
      <alignment horizontal="center"/>
    </xf>
    <xf numFmtId="14" fontId="36" fillId="0" borderId="26" xfId="0" applyNumberFormat="1" applyFont="1" applyBorder="1" applyAlignment="1">
      <alignment horizontal="left"/>
    </xf>
    <xf numFmtId="0" fontId="37" fillId="0" borderId="26" xfId="0" applyFont="1" applyBorder="1" applyAlignment="1">
      <alignment horizontal="justify" vertical="center" wrapText="1"/>
    </xf>
    <xf numFmtId="14" fontId="37" fillId="0" borderId="26" xfId="0" quotePrefix="1" applyNumberFormat="1" applyFont="1" applyBorder="1" applyAlignment="1">
      <alignment horizontal="left"/>
    </xf>
    <xf numFmtId="166" fontId="37" fillId="0" borderId="26" xfId="1" applyNumberFormat="1" applyFont="1" applyFill="1" applyBorder="1"/>
    <xf numFmtId="167" fontId="37" fillId="0" borderId="26" xfId="1" applyNumberFormat="1" applyFont="1" applyFill="1" applyBorder="1" applyAlignment="1">
      <alignment horizontal="center"/>
    </xf>
    <xf numFmtId="167" fontId="37" fillId="0" borderId="26" xfId="1" applyNumberFormat="1" applyFont="1" applyFill="1" applyBorder="1"/>
    <xf numFmtId="167" fontId="37" fillId="3" borderId="26" xfId="1" applyNumberFormat="1" applyFont="1" applyFill="1" applyBorder="1" applyAlignment="1"/>
    <xf numFmtId="0" fontId="37" fillId="0" borderId="26" xfId="0" applyNumberFormat="1" applyFont="1" applyFill="1" applyBorder="1" applyAlignment="1">
      <alignment horizontal="center"/>
    </xf>
    <xf numFmtId="0" fontId="64" fillId="0" borderId="0" xfId="0" applyFont="1" applyFill="1"/>
    <xf numFmtId="0" fontId="37" fillId="3" borderId="26" xfId="0" applyNumberFormat="1" applyFont="1" applyFill="1" applyBorder="1" applyAlignment="1">
      <alignment horizontal="center"/>
    </xf>
    <xf numFmtId="0" fontId="37" fillId="3" borderId="26" xfId="0" applyFont="1" applyFill="1" applyBorder="1"/>
    <xf numFmtId="14" fontId="36" fillId="3" borderId="26" xfId="0" applyNumberFormat="1" applyFont="1" applyFill="1" applyBorder="1" applyAlignment="1">
      <alignment horizontal="left"/>
    </xf>
    <xf numFmtId="0" fontId="37" fillId="3" borderId="26" xfId="0" applyFont="1" applyFill="1" applyBorder="1" applyAlignment="1">
      <alignment horizontal="justify" vertical="center" wrapText="1"/>
    </xf>
    <xf numFmtId="167" fontId="37" fillId="3" borderId="26" xfId="1" applyNumberFormat="1" applyFont="1" applyFill="1" applyBorder="1" applyAlignment="1">
      <alignment horizontal="center"/>
    </xf>
    <xf numFmtId="0" fontId="42" fillId="0" borderId="26" xfId="0" applyFont="1" applyFill="1" applyBorder="1" applyAlignment="1">
      <alignment horizontal="center"/>
    </xf>
    <xf numFmtId="166" fontId="42" fillId="0" borderId="26" xfId="1" applyNumberFormat="1" applyFont="1" applyFill="1" applyBorder="1"/>
    <xf numFmtId="0" fontId="42" fillId="0" borderId="26" xfId="1" applyNumberFormat="1" applyFont="1" applyFill="1" applyBorder="1" applyAlignment="1">
      <alignment horizontal="center"/>
    </xf>
    <xf numFmtId="3" fontId="2" fillId="0" borderId="0" xfId="3" applyNumberFormat="1" applyFont="1" applyFill="1" applyAlignment="1">
      <alignment horizontal="left" vertical="center"/>
    </xf>
    <xf numFmtId="166" fontId="2" fillId="0" borderId="0" xfId="1" applyNumberFormat="1" applyFont="1" applyFill="1" applyAlignment="1">
      <alignment horizontal="center" vertical="center"/>
    </xf>
    <xf numFmtId="0" fontId="65" fillId="0" borderId="0" xfId="0" applyFont="1" applyFill="1"/>
    <xf numFmtId="3" fontId="41" fillId="0" borderId="0" xfId="3" applyNumberFormat="1" applyFont="1" applyFill="1" applyAlignment="1">
      <alignment horizontal="left" vertical="center"/>
    </xf>
    <xf numFmtId="166" fontId="41" fillId="0" borderId="0" xfId="1" applyNumberFormat="1" applyFont="1" applyFill="1" applyAlignment="1">
      <alignment horizontal="center" vertical="center"/>
    </xf>
    <xf numFmtId="167" fontId="41" fillId="0" borderId="0" xfId="1" applyNumberFormat="1" applyFont="1" applyFill="1" applyAlignment="1">
      <alignment horizontal="center" vertical="center"/>
    </xf>
    <xf numFmtId="0" fontId="54" fillId="0" borderId="0" xfId="3" applyFont="1" applyFill="1" applyAlignment="1">
      <alignment horizontal="center" vertical="center"/>
    </xf>
    <xf numFmtId="3" fontId="62" fillId="0" borderId="0" xfId="3" applyNumberFormat="1" applyFont="1" applyFill="1" applyAlignment="1">
      <alignment horizontal="left" vertical="center"/>
    </xf>
    <xf numFmtId="166" fontId="62" fillId="0" borderId="0" xfId="1" applyNumberFormat="1" applyFont="1" applyAlignment="1">
      <alignment horizontal="center" vertical="center"/>
    </xf>
    <xf numFmtId="167" fontId="54" fillId="0" borderId="0" xfId="1" applyNumberFormat="1" applyFont="1" applyFill="1" applyAlignment="1">
      <alignment horizontal="center" vertical="center"/>
    </xf>
    <xf numFmtId="0" fontId="54" fillId="0" borderId="0" xfId="3" applyFont="1" applyFill="1" applyAlignment="1">
      <alignment horizontal="center" vertical="center"/>
    </xf>
    <xf numFmtId="3" fontId="54" fillId="0" borderId="0" xfId="3" applyNumberFormat="1" applyFont="1" applyFill="1" applyAlignment="1">
      <alignment horizontal="center" vertical="center"/>
    </xf>
    <xf numFmtId="0" fontId="37" fillId="0" borderId="0" xfId="0" applyFont="1" applyAlignment="1">
      <alignment horizontal="center"/>
    </xf>
    <xf numFmtId="0" fontId="45" fillId="0" borderId="0" xfId="0" applyFont="1" applyAlignment="1">
      <alignment horizontal="left"/>
    </xf>
    <xf numFmtId="166" fontId="45" fillId="0" borderId="0" xfId="1" applyNumberFormat="1" applyFont="1"/>
    <xf numFmtId="167" fontId="45" fillId="0" borderId="0" xfId="1" applyNumberFormat="1" applyFont="1" applyAlignment="1"/>
    <xf numFmtId="167" fontId="37" fillId="0" borderId="0" xfId="1" applyNumberFormat="1" applyFont="1" applyAlignment="1">
      <alignment horizontal="center"/>
    </xf>
    <xf numFmtId="37" fontId="55" fillId="0" borderId="0" xfId="1" applyNumberFormat="1" applyFont="1" applyAlignment="1"/>
    <xf numFmtId="37" fontId="45" fillId="0" borderId="0" xfId="1" applyNumberFormat="1" applyFont="1"/>
    <xf numFmtId="166" fontId="45" fillId="0" borderId="0" xfId="1" applyNumberFormat="1" applyFont="1" applyAlignment="1">
      <alignment horizontal="center" vertical="center"/>
    </xf>
    <xf numFmtId="37" fontId="45" fillId="0" borderId="0" xfId="0" applyNumberFormat="1" applyFont="1"/>
    <xf numFmtId="37" fontId="56" fillId="0" borderId="0" xfId="0" applyNumberFormat="1" applyFont="1"/>
    <xf numFmtId="37" fontId="55" fillId="0" borderId="0" xfId="0" applyNumberFormat="1" applyFont="1" applyAlignment="1"/>
    <xf numFmtId="37" fontId="57" fillId="0" borderId="0" xfId="1" applyNumberFormat="1" applyFont="1"/>
    <xf numFmtId="37" fontId="58" fillId="0" borderId="0" xfId="0" applyNumberFormat="1" applyFont="1" applyAlignment="1">
      <alignment horizontal="center"/>
    </xf>
    <xf numFmtId="37" fontId="43" fillId="0" borderId="0" xfId="0" applyNumberFormat="1" applyFont="1" applyAlignment="1">
      <alignment horizontal="center"/>
    </xf>
    <xf numFmtId="37" fontId="41" fillId="0" borderId="26" xfId="0" applyNumberFormat="1" applyFont="1" applyBorder="1" applyAlignment="1">
      <alignment horizontal="center" vertical="center"/>
    </xf>
    <xf numFmtId="37" fontId="41" fillId="0" borderId="26" xfId="0" applyNumberFormat="1" applyFont="1" applyBorder="1" applyAlignment="1">
      <alignment horizontal="center" vertical="center" wrapText="1"/>
    </xf>
    <xf numFmtId="37" fontId="41" fillId="0" borderId="26" xfId="1" applyNumberFormat="1" applyFont="1" applyBorder="1" applyAlignment="1">
      <alignment horizontal="center" vertical="center" wrapText="1"/>
    </xf>
    <xf numFmtId="37" fontId="41" fillId="0" borderId="26" xfId="1" applyNumberFormat="1" applyFont="1" applyBorder="1" applyAlignment="1">
      <alignment horizontal="center" vertical="center"/>
    </xf>
    <xf numFmtId="166" fontId="41" fillId="0" borderId="26" xfId="1" applyNumberFormat="1" applyFont="1" applyBorder="1" applyAlignment="1">
      <alignment horizontal="center" vertical="center" wrapText="1"/>
    </xf>
    <xf numFmtId="43" fontId="41" fillId="0" borderId="26" xfId="1" applyFont="1" applyBorder="1" applyAlignment="1">
      <alignment horizontal="center" vertical="center" wrapText="1"/>
    </xf>
    <xf numFmtId="37" fontId="41" fillId="0" borderId="26" xfId="0" applyNumberFormat="1" applyFont="1" applyBorder="1" applyAlignment="1">
      <alignment horizontal="center"/>
    </xf>
    <xf numFmtId="37" fontId="41" fillId="0" borderId="26" xfId="1" applyNumberFormat="1" applyFont="1" applyBorder="1" applyAlignment="1">
      <alignment horizontal="center"/>
    </xf>
    <xf numFmtId="37" fontId="41" fillId="0" borderId="26" xfId="1" quotePrefix="1" applyNumberFormat="1" applyFont="1" applyBorder="1" applyAlignment="1">
      <alignment horizontal="center"/>
    </xf>
    <xf numFmtId="0" fontId="41" fillId="0" borderId="26" xfId="1" quotePrefix="1" applyNumberFormat="1" applyFont="1" applyBorder="1" applyAlignment="1">
      <alignment horizontal="center" vertical="center"/>
    </xf>
    <xf numFmtId="166" fontId="41" fillId="0" borderId="26" xfId="1" quotePrefix="1" applyNumberFormat="1" applyFont="1" applyBorder="1" applyAlignment="1">
      <alignment horizontal="center"/>
    </xf>
    <xf numFmtId="37" fontId="41" fillId="3" borderId="26" xfId="0" quotePrefix="1" applyNumberFormat="1" applyFont="1" applyFill="1" applyBorder="1" applyAlignment="1">
      <alignment horizontal="center"/>
    </xf>
    <xf numFmtId="37" fontId="41" fillId="3" borderId="49" xfId="0" applyNumberFormat="1" applyFont="1" applyFill="1" applyBorder="1" applyAlignment="1">
      <alignment horizontal="left"/>
    </xf>
    <xf numFmtId="37" fontId="41" fillId="3" borderId="50" xfId="0" applyNumberFormat="1" applyFont="1" applyFill="1" applyBorder="1" applyAlignment="1">
      <alignment horizontal="left"/>
    </xf>
    <xf numFmtId="37" fontId="41" fillId="3" borderId="51" xfId="0" applyNumberFormat="1" applyFont="1" applyFill="1" applyBorder="1" applyAlignment="1">
      <alignment horizontal="left"/>
    </xf>
    <xf numFmtId="37" fontId="41" fillId="3" borderId="26" xfId="1" applyNumberFormat="1" applyFont="1" applyFill="1" applyBorder="1" applyAlignment="1">
      <alignment horizontal="center"/>
    </xf>
    <xf numFmtId="166" fontId="41" fillId="3" borderId="26" xfId="1" applyNumberFormat="1" applyFont="1" applyFill="1" applyBorder="1" applyAlignment="1">
      <alignment horizontal="center" vertical="center"/>
    </xf>
    <xf numFmtId="166" fontId="41" fillId="3" borderId="26" xfId="1" applyNumberFormat="1" applyFont="1" applyFill="1" applyBorder="1" applyAlignment="1">
      <alignment horizontal="center"/>
    </xf>
    <xf numFmtId="37" fontId="66" fillId="3" borderId="0" xfId="0" applyNumberFormat="1" applyFont="1" applyFill="1"/>
    <xf numFmtId="37" fontId="62" fillId="0" borderId="26" xfId="0" applyNumberFormat="1" applyFont="1" applyFill="1" applyBorder="1" applyAlignment="1">
      <alignment horizontal="center"/>
    </xf>
    <xf numFmtId="37" fontId="62" fillId="0" borderId="26" xfId="0" applyNumberFormat="1" applyFont="1" applyBorder="1" applyAlignment="1">
      <alignment vertical="center" wrapText="1"/>
    </xf>
    <xf numFmtId="37" fontId="62" fillId="0" borderId="26" xfId="0" applyNumberFormat="1" applyFont="1" applyBorder="1" applyAlignment="1">
      <alignment horizontal="justify" vertical="center" wrapText="1"/>
    </xf>
    <xf numFmtId="37" fontId="62" fillId="0" borderId="26" xfId="0" quotePrefix="1" applyNumberFormat="1" applyFont="1" applyBorder="1" applyAlignment="1">
      <alignment horizontal="center"/>
    </xf>
    <xf numFmtId="37" fontId="62" fillId="0" borderId="26" xfId="1" applyNumberFormat="1" applyFont="1" applyBorder="1" applyAlignment="1">
      <alignment horizontal="center" wrapText="1"/>
    </xf>
    <xf numFmtId="37" fontId="62" fillId="0" borderId="26" xfId="1" applyNumberFormat="1" applyFont="1" applyFill="1" applyBorder="1" applyAlignment="1">
      <alignment horizontal="center"/>
    </xf>
    <xf numFmtId="166" fontId="62" fillId="0" borderId="26" xfId="1" applyNumberFormat="1" applyFont="1" applyFill="1" applyBorder="1" applyAlignment="1">
      <alignment horizontal="center"/>
    </xf>
    <xf numFmtId="37" fontId="66" fillId="0" borderId="0" xfId="0" applyNumberFormat="1" applyFont="1"/>
    <xf numFmtId="37" fontId="41" fillId="3" borderId="26" xfId="0" applyNumberFormat="1" applyFont="1" applyFill="1" applyBorder="1" applyAlignment="1">
      <alignment horizontal="center"/>
    </xf>
    <xf numFmtId="43" fontId="41" fillId="3" borderId="26" xfId="1" applyFont="1" applyFill="1" applyBorder="1" applyAlignment="1">
      <alignment horizontal="center"/>
    </xf>
    <xf numFmtId="37" fontId="67" fillId="3" borderId="0" xfId="0" applyNumberFormat="1" applyFont="1" applyFill="1"/>
    <xf numFmtId="37" fontId="62" fillId="0" borderId="26" xfId="0" quotePrefix="1" applyNumberFormat="1" applyFont="1" applyBorder="1" applyAlignment="1">
      <alignment horizontal="left"/>
    </xf>
    <xf numFmtId="37" fontId="41" fillId="3" borderId="26" xfId="0" applyNumberFormat="1" applyFont="1" applyFill="1" applyBorder="1" applyAlignment="1">
      <alignment horizontal="center"/>
    </xf>
    <xf numFmtId="37" fontId="62" fillId="0" borderId="0" xfId="3" applyNumberFormat="1" applyFont="1" applyFill="1" applyAlignment="1">
      <alignment horizontal="left" vertical="center"/>
    </xf>
    <xf numFmtId="37" fontId="62" fillId="0" borderId="0" xfId="3" applyNumberFormat="1" applyFont="1" applyFill="1" applyAlignment="1">
      <alignment horizontal="center" vertical="center"/>
    </xf>
    <xf numFmtId="37" fontId="62" fillId="0" borderId="0" xfId="3" applyNumberFormat="1" applyFont="1" applyFill="1" applyAlignment="1">
      <alignment horizontal="right" vertical="center"/>
    </xf>
    <xf numFmtId="37" fontId="62" fillId="0" borderId="0" xfId="1" applyNumberFormat="1" applyFont="1" applyFill="1" applyAlignment="1">
      <alignment horizontal="center" vertical="center"/>
    </xf>
    <xf numFmtId="37" fontId="62" fillId="0" borderId="0" xfId="1" applyNumberFormat="1" applyFont="1" applyFill="1" applyAlignment="1">
      <alignment horizontal="right" vertical="center"/>
    </xf>
    <xf numFmtId="166" fontId="62" fillId="0" borderId="0" xfId="1" applyNumberFormat="1" applyFont="1" applyFill="1" applyAlignment="1">
      <alignment horizontal="center" vertical="center"/>
    </xf>
    <xf numFmtId="166" fontId="62" fillId="0" borderId="0" xfId="1" applyNumberFormat="1" applyFont="1" applyFill="1" applyAlignment="1">
      <alignment horizontal="right" vertical="center"/>
    </xf>
    <xf numFmtId="37" fontId="68" fillId="0" borderId="0" xfId="0" applyNumberFormat="1" applyFont="1"/>
    <xf numFmtId="37" fontId="69" fillId="0" borderId="0" xfId="1" applyNumberFormat="1" applyFont="1" applyFill="1" applyAlignment="1">
      <alignment horizontal="center" vertical="center"/>
    </xf>
    <xf numFmtId="37" fontId="54" fillId="0" borderId="0" xfId="1" applyNumberFormat="1" applyFont="1" applyFill="1" applyAlignment="1">
      <alignment horizontal="center" vertical="center"/>
    </xf>
    <xf numFmtId="37" fontId="54" fillId="0" borderId="0" xfId="3" applyNumberFormat="1" applyFont="1" applyFill="1" applyAlignment="1">
      <alignment horizontal="center" vertical="center"/>
    </xf>
    <xf numFmtId="37" fontId="41" fillId="0" borderId="0" xfId="3" applyNumberFormat="1" applyFont="1" applyFill="1" applyAlignment="1">
      <alignment horizontal="center" vertical="center"/>
    </xf>
    <xf numFmtId="37" fontId="41" fillId="0" borderId="0" xfId="3" applyNumberFormat="1" applyFont="1" applyFill="1" applyAlignment="1">
      <alignment horizontal="right" vertical="center"/>
    </xf>
    <xf numFmtId="37" fontId="41" fillId="0" borderId="0" xfId="1" applyNumberFormat="1" applyFont="1" applyFill="1" applyAlignment="1">
      <alignment horizontal="center" vertical="center"/>
    </xf>
    <xf numFmtId="37" fontId="41" fillId="0" borderId="0" xfId="3" applyNumberFormat="1" applyFont="1" applyFill="1" applyAlignment="1">
      <alignment horizontal="center" vertical="center"/>
    </xf>
    <xf numFmtId="37" fontId="62" fillId="0" borderId="0" xfId="3" applyNumberFormat="1" applyFont="1" applyFill="1" applyAlignment="1">
      <alignment horizontal="center" vertical="center"/>
    </xf>
    <xf numFmtId="37" fontId="62" fillId="0" borderId="0" xfId="1" applyNumberFormat="1" applyFont="1" applyAlignment="1">
      <alignment horizontal="center" vertical="center"/>
    </xf>
    <xf numFmtId="37" fontId="62" fillId="0" borderId="0" xfId="0" applyNumberFormat="1" applyFont="1"/>
    <xf numFmtId="37" fontId="62" fillId="0" borderId="0" xfId="1" applyNumberFormat="1" applyFont="1"/>
    <xf numFmtId="166" fontId="62" fillId="0" borderId="0" xfId="1" applyNumberFormat="1" applyFont="1"/>
    <xf numFmtId="166" fontId="56" fillId="0" borderId="0" xfId="1" applyNumberFormat="1" applyFont="1" applyAlignment="1">
      <alignment horizontal="center" vertical="center"/>
    </xf>
    <xf numFmtId="166" fontId="56" fillId="0" borderId="0" xfId="1" applyNumberFormat="1" applyFont="1"/>
    <xf numFmtId="37" fontId="62" fillId="0" borderId="0" xfId="0" applyNumberFormat="1" applyFont="1" applyAlignment="1">
      <alignment horizontal="center"/>
    </xf>
    <xf numFmtId="167" fontId="70" fillId="0" borderId="26" xfId="1" applyNumberFormat="1" applyFont="1" applyBorder="1"/>
    <xf numFmtId="167" fontId="70" fillId="4" borderId="26" xfId="1" applyNumberFormat="1" applyFont="1" applyFill="1" applyBorder="1"/>
    <xf numFmtId="0" fontId="50" fillId="0" borderId="0" xfId="0" applyFont="1" applyFill="1" applyAlignment="1">
      <alignment horizontal="left"/>
    </xf>
  </cellXfs>
  <cellStyles count="8">
    <cellStyle name="Comma" xfId="1" builtinId="3"/>
    <cellStyle name="Comma 2" xfId="2"/>
    <cellStyle name="Normal" xfId="0" builtinId="0"/>
    <cellStyle name="Normal 2" xfId="3"/>
    <cellStyle name="Normal 3" xfId="4"/>
    <cellStyle name="Normal 4" xfId="5"/>
    <cellStyle name="Normal_ChiTietNM0304" xfId="7"/>
    <cellStyle name="Normal_THU-CHI 48 HB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533400</xdr:colOff>
      <xdr:row>4</xdr:row>
      <xdr:rowOff>63500</xdr:rowOff>
    </xdr:from>
    <xdr:to>
      <xdr:col>43</xdr:col>
      <xdr:colOff>114299</xdr:colOff>
      <xdr:row>21</xdr:row>
      <xdr:rowOff>233892</xdr:rowOff>
    </xdr:to>
    <xdr:pic>
      <xdr:nvPicPr>
        <xdr:cNvPr id="21568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09" t="30443" r="813" b="-4964"/>
        <a:stretch>
          <a:fillRect/>
        </a:stretch>
      </xdr:blipFill>
      <xdr:spPr>
        <a:xfrm>
          <a:off x="16840200" y="1071245"/>
          <a:ext cx="11772265" cy="490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512233</xdr:colOff>
      <xdr:row>3</xdr:row>
      <xdr:rowOff>232833</xdr:rowOff>
    </xdr:from>
    <xdr:to>
      <xdr:col>42</xdr:col>
      <xdr:colOff>93133</xdr:colOff>
      <xdr:row>24</xdr:row>
      <xdr:rowOff>62971</xdr:rowOff>
    </xdr:to>
    <xdr:pic>
      <xdr:nvPicPr>
        <xdr:cNvPr id="2975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09" t="30443" r="813" b="-4964"/>
        <a:stretch>
          <a:fillRect/>
        </a:stretch>
      </xdr:blipFill>
      <xdr:spPr>
        <a:xfrm>
          <a:off x="16266160" y="861060"/>
          <a:ext cx="11772900" cy="4920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Zalo%20Received%20Files/BAI1%20gui%20sv-mai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IANG%20DAY/HO%20SO%20GIANG%20DAY/HK1%20NH%202023-2024/KE%20TOAN%20EXCEL/SO%20KE%20TOAN%20-%20KETOAN%20EXCEL_GUI%20SV%20c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NHAP1"/>
      <sheetName val="mau"/>
      <sheetName val="KH"/>
      <sheetName val="NCC"/>
      <sheetName val="NHANVIEN"/>
      <sheetName val="HTK"/>
      <sheetName val="TKNH"/>
      <sheetName val="So TSCD"/>
      <sheetName val="so CCDC"/>
      <sheetName val="PBCCDC"/>
      <sheetName val="CPTT"/>
      <sheetName val="BTKH"/>
      <sheetName val="BCĐSPSTH"/>
      <sheetName val="LUONG1"/>
      <sheetName val="LUONG2"/>
      <sheetName val="Bang PB TL va BHXH"/>
      <sheetName val="BCNXT"/>
      <sheetName val="BTGT"/>
      <sheetName val="SoKTMay"/>
      <sheetName val="Bang DMTK"/>
      <sheetName val="NKC"/>
      <sheetName val="SC (2)"/>
      <sheetName val="BCĐSPSCT"/>
      <sheetName val="SOQUY"/>
      <sheetName val="SCCHITIET"/>
      <sheetName val="SO CT-HTK"/>
      <sheetName val="BCĐKT"/>
      <sheetName val="BCKQHĐK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 t="str">
            <v>Đơn vị: Công ty TNHH Thanh Minh</v>
          </cell>
        </row>
        <row r="2">
          <cell r="A2" t="str">
            <v>Địa chỉ: 45/9- Phạm Văn Chiêu- F14- Gò Vấp- TP.HCM</v>
          </cell>
        </row>
        <row r="3">
          <cell r="A3" t="str">
            <v>MST: 0305225720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P1"/>
      <sheetName val="NHAP2"/>
      <sheetName val="mau"/>
      <sheetName val="THÔNG TIN CTY"/>
      <sheetName val="KH"/>
      <sheetName val="NCC"/>
      <sheetName val="NHANVIEN"/>
      <sheetName val="TKNH"/>
      <sheetName val="HTK"/>
      <sheetName val="Bang DMTK"/>
      <sheetName val="SoKTMay"/>
      <sheetName val="So TSCD"/>
      <sheetName val="BTKH"/>
      <sheetName val="so CCDC"/>
      <sheetName val="PBCCDC"/>
      <sheetName val="BCNXT"/>
      <sheetName val="BTGT"/>
      <sheetName val="CPTT"/>
      <sheetName val="LUONG1"/>
      <sheetName val="LUONG2"/>
      <sheetName val="Bang PB TL va BHXH"/>
      <sheetName val="NK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A1" t="str">
            <v>Đơn vị: Công ty TNHH Thanh Minh</v>
          </cell>
        </row>
        <row r="2">
          <cell r="A2" t="str">
            <v>Địa chỉ: 45/9- Phạm Văn Chiêu- F14- Gò Vấp- TP.HCM</v>
          </cell>
        </row>
        <row r="3">
          <cell r="A3" t="str">
            <v>MST: 0305225720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C2"/>
    </sheetView>
  </sheetViews>
  <sheetFormatPr defaultColWidth="9.140625" defaultRowHeight="16.5"/>
  <cols>
    <col min="1" max="1" width="6.42578125" style="145" customWidth="1"/>
    <col min="2" max="2" width="10.140625" style="145" customWidth="1"/>
    <col min="3" max="3" width="16.42578125" style="145" customWidth="1"/>
    <col min="4" max="4" width="41" style="145" customWidth="1"/>
    <col min="5" max="5" width="16.85546875" style="145" customWidth="1"/>
    <col min="6" max="6" width="33.140625" style="145" customWidth="1"/>
    <col min="7" max="7" width="11.5703125" style="145" customWidth="1"/>
    <col min="8" max="16384" width="9.140625" style="145"/>
  </cols>
  <sheetData>
    <row r="1" spans="1:7">
      <c r="A1" s="317" t="s">
        <v>504</v>
      </c>
      <c r="B1" s="317"/>
      <c r="C1" s="317"/>
    </row>
    <row r="2" spans="1:7">
      <c r="A2" s="299" t="s">
        <v>505</v>
      </c>
      <c r="B2" s="299"/>
      <c r="C2" s="299"/>
    </row>
    <row r="3" spans="1:7">
      <c r="A3" s="147"/>
    </row>
    <row r="5" spans="1:7">
      <c r="A5" s="316" t="s">
        <v>21</v>
      </c>
      <c r="B5" s="316"/>
      <c r="C5" s="316"/>
      <c r="D5" s="316"/>
      <c r="E5" s="316"/>
      <c r="F5" s="316"/>
    </row>
    <row r="7" spans="1:7" ht="48.95" customHeight="1">
      <c r="A7" s="148" t="s">
        <v>0</v>
      </c>
      <c r="B7" s="149" t="s">
        <v>22</v>
      </c>
      <c r="C7" s="149" t="s">
        <v>23</v>
      </c>
      <c r="D7" s="150" t="s">
        <v>24</v>
      </c>
      <c r="E7" s="156" t="s">
        <v>25</v>
      </c>
      <c r="F7" s="148" t="s">
        <v>26</v>
      </c>
      <c r="G7" s="165" t="s">
        <v>27</v>
      </c>
    </row>
    <row r="8" spans="1:7" ht="21" customHeight="1">
      <c r="A8" s="166" t="s">
        <v>5</v>
      </c>
      <c r="B8" s="169" t="s">
        <v>6</v>
      </c>
      <c r="C8" s="169" t="s">
        <v>7</v>
      </c>
      <c r="D8" s="167" t="s">
        <v>8</v>
      </c>
      <c r="E8" s="170" t="s">
        <v>9</v>
      </c>
      <c r="F8" s="166" t="s">
        <v>10</v>
      </c>
      <c r="G8" s="168" t="s">
        <v>11</v>
      </c>
    </row>
    <row r="9" spans="1:7" ht="42.95" customHeight="1">
      <c r="A9" s="185">
        <v>1</v>
      </c>
      <c r="B9" s="190" t="s">
        <v>28</v>
      </c>
      <c r="C9" s="191" t="s">
        <v>29</v>
      </c>
      <c r="D9" s="192" t="s">
        <v>30</v>
      </c>
      <c r="E9" s="188" t="s">
        <v>31</v>
      </c>
      <c r="F9" s="187" t="s">
        <v>32</v>
      </c>
      <c r="G9" s="185" t="s">
        <v>33</v>
      </c>
    </row>
    <row r="10" spans="1:7" ht="42.95" customHeight="1">
      <c r="A10" s="185">
        <v>2</v>
      </c>
      <c r="B10" s="190" t="s">
        <v>34</v>
      </c>
      <c r="C10" s="187" t="s">
        <v>35</v>
      </c>
      <c r="D10" s="187" t="s">
        <v>36</v>
      </c>
      <c r="E10" s="188" t="s">
        <v>37</v>
      </c>
      <c r="F10" s="187" t="s">
        <v>38</v>
      </c>
      <c r="G10" s="185" t="s">
        <v>33</v>
      </c>
    </row>
    <row r="11" spans="1:7" ht="41.1" customHeight="1">
      <c r="A11" s="185">
        <v>3</v>
      </c>
      <c r="B11" s="190" t="s">
        <v>39</v>
      </c>
      <c r="C11" s="187" t="s">
        <v>40</v>
      </c>
      <c r="D11" s="187" t="s">
        <v>41</v>
      </c>
      <c r="E11" s="188" t="s">
        <v>42</v>
      </c>
      <c r="F11" s="187" t="s">
        <v>43</v>
      </c>
      <c r="G11" s="185" t="s">
        <v>33</v>
      </c>
    </row>
    <row r="12" spans="1:7" ht="41.1" customHeight="1">
      <c r="A12" s="201">
        <v>4</v>
      </c>
      <c r="B12" s="190" t="s">
        <v>358</v>
      </c>
      <c r="C12" s="204" t="s">
        <v>439</v>
      </c>
      <c r="D12" s="192" t="s">
        <v>440</v>
      </c>
      <c r="E12" s="201">
        <v>302046346</v>
      </c>
      <c r="F12" s="205" t="s">
        <v>441</v>
      </c>
      <c r="G12" s="185" t="s">
        <v>33</v>
      </c>
    </row>
  </sheetData>
  <mergeCells count="2">
    <mergeCell ref="A5:F5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C2"/>
    </sheetView>
  </sheetViews>
  <sheetFormatPr defaultColWidth="9.140625" defaultRowHeight="16.5"/>
  <cols>
    <col min="1" max="1" width="6.42578125" style="145" customWidth="1"/>
    <col min="2" max="2" width="11.5703125" style="145" customWidth="1"/>
    <col min="3" max="3" width="16" style="145" customWidth="1"/>
    <col min="4" max="4" width="37.7109375" style="145" customWidth="1"/>
    <col min="5" max="5" width="15.140625" style="145" customWidth="1"/>
    <col min="6" max="6" width="39" style="145" customWidth="1"/>
    <col min="7" max="7" width="17" style="145" customWidth="1"/>
    <col min="8" max="16384" width="9.140625" style="145"/>
  </cols>
  <sheetData>
    <row r="1" spans="1:7">
      <c r="A1" s="317" t="s">
        <v>504</v>
      </c>
      <c r="B1" s="317"/>
      <c r="C1" s="317"/>
    </row>
    <row r="2" spans="1:7">
      <c r="A2" s="299" t="s">
        <v>505</v>
      </c>
      <c r="B2" s="299"/>
      <c r="C2" s="299"/>
    </row>
    <row r="3" spans="1:7">
      <c r="A3" s="147"/>
    </row>
    <row r="4" spans="1:7">
      <c r="A4" s="316" t="s">
        <v>44</v>
      </c>
      <c r="B4" s="316"/>
      <c r="C4" s="316"/>
      <c r="D4" s="316"/>
      <c r="E4" s="316"/>
      <c r="F4" s="316"/>
      <c r="G4" s="140"/>
    </row>
    <row r="6" spans="1:7" ht="35.25" customHeight="1">
      <c r="A6" s="148" t="s">
        <v>0</v>
      </c>
      <c r="B6" s="149" t="s">
        <v>22</v>
      </c>
      <c r="C6" s="149" t="s">
        <v>45</v>
      </c>
      <c r="D6" s="150" t="s">
        <v>46</v>
      </c>
      <c r="E6" s="148" t="s">
        <v>25</v>
      </c>
      <c r="F6" s="148" t="s">
        <v>26</v>
      </c>
    </row>
    <row r="7" spans="1:7" ht="18.95" customHeight="1">
      <c r="A7" s="164" t="s">
        <v>5</v>
      </c>
      <c r="B7" s="171" t="s">
        <v>6</v>
      </c>
      <c r="C7" s="163" t="s">
        <v>7</v>
      </c>
      <c r="D7" s="172" t="s">
        <v>8</v>
      </c>
      <c r="E7" s="164" t="s">
        <v>9</v>
      </c>
      <c r="F7" s="164" t="s">
        <v>10</v>
      </c>
    </row>
    <row r="8" spans="1:7" ht="39" customHeight="1">
      <c r="A8" s="185">
        <v>1</v>
      </c>
      <c r="B8" s="186" t="s">
        <v>47</v>
      </c>
      <c r="C8" s="187" t="s">
        <v>40</v>
      </c>
      <c r="D8" s="187" t="s">
        <v>41</v>
      </c>
      <c r="E8" s="188" t="s">
        <v>42</v>
      </c>
      <c r="F8" s="187" t="s">
        <v>43</v>
      </c>
    </row>
    <row r="9" spans="1:7" ht="30">
      <c r="A9" s="185">
        <v>2</v>
      </c>
      <c r="B9" s="186" t="s">
        <v>48</v>
      </c>
      <c r="C9" s="187" t="s">
        <v>49</v>
      </c>
      <c r="D9" s="187" t="s">
        <v>50</v>
      </c>
      <c r="E9" s="188" t="s">
        <v>51</v>
      </c>
      <c r="F9" s="187" t="s">
        <v>52</v>
      </c>
    </row>
    <row r="10" spans="1:7" ht="33" customHeight="1">
      <c r="A10" s="185">
        <v>3</v>
      </c>
      <c r="B10" s="186" t="s">
        <v>53</v>
      </c>
      <c r="C10" s="187" t="s">
        <v>54</v>
      </c>
      <c r="D10" s="187" t="s">
        <v>55</v>
      </c>
      <c r="E10" s="189">
        <v>3700257623</v>
      </c>
      <c r="F10" s="187" t="s">
        <v>56</v>
      </c>
    </row>
    <row r="11" spans="1:7" s="199" customFormat="1" ht="32.450000000000003" customHeight="1">
      <c r="A11" s="195">
        <v>4</v>
      </c>
      <c r="B11" s="196" t="s">
        <v>57</v>
      </c>
      <c r="C11" s="197" t="s">
        <v>368</v>
      </c>
      <c r="D11" s="197" t="s">
        <v>369</v>
      </c>
      <c r="E11" s="198">
        <v>101275730</v>
      </c>
      <c r="F11" s="198" t="s">
        <v>370</v>
      </c>
    </row>
    <row r="12" spans="1:7" ht="32.450000000000003" customHeight="1">
      <c r="A12" s="201">
        <v>5</v>
      </c>
      <c r="B12" s="200" t="s">
        <v>388</v>
      </c>
      <c r="C12" s="202" t="s">
        <v>389</v>
      </c>
      <c r="D12" s="197" t="s">
        <v>390</v>
      </c>
      <c r="E12" s="201">
        <v>314697399</v>
      </c>
      <c r="F12" s="202" t="s">
        <v>391</v>
      </c>
    </row>
  </sheetData>
  <mergeCells count="2">
    <mergeCell ref="A4:F4"/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A4" workbookViewId="0">
      <selection activeCell="D9" sqref="D9"/>
    </sheetView>
  </sheetViews>
  <sheetFormatPr defaultColWidth="9.140625" defaultRowHeight="16.5"/>
  <cols>
    <col min="1" max="1" width="6.42578125" style="145" customWidth="1"/>
    <col min="2" max="3" width="13" style="145" customWidth="1"/>
    <col min="4" max="4" width="22.28515625" style="145" customWidth="1"/>
    <col min="5" max="5" width="13.42578125" style="145" hidden="1" customWidth="1"/>
    <col min="6" max="6" width="12.42578125" style="145" hidden="1" customWidth="1"/>
    <col min="7" max="7" width="16.140625" style="145" hidden="1" customWidth="1"/>
    <col min="8" max="8" width="15.140625" style="145" hidden="1" customWidth="1"/>
    <col min="9" max="9" width="21.5703125" style="145" hidden="1" customWidth="1"/>
    <col min="10" max="10" width="15.140625" style="145" customWidth="1"/>
    <col min="11" max="11" width="9.140625" style="145"/>
    <col min="12" max="12" width="13.7109375" style="146" customWidth="1"/>
    <col min="13" max="16384" width="9.140625" style="145"/>
  </cols>
  <sheetData>
    <row r="1" spans="1:14">
      <c r="A1" s="317" t="s">
        <v>504</v>
      </c>
      <c r="B1" s="317"/>
      <c r="C1" s="317"/>
    </row>
    <row r="2" spans="1:14">
      <c r="A2" s="299" t="s">
        <v>505</v>
      </c>
      <c r="B2" s="299"/>
      <c r="C2" s="299"/>
    </row>
    <row r="3" spans="1:14">
      <c r="A3" s="147"/>
    </row>
    <row r="5" spans="1:14">
      <c r="A5" s="316" t="s">
        <v>70</v>
      </c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8"/>
      <c r="M5" s="316"/>
    </row>
    <row r="7" spans="1:14" ht="68.45" customHeight="1">
      <c r="A7" s="148" t="s">
        <v>0</v>
      </c>
      <c r="B7" s="149" t="s">
        <v>22</v>
      </c>
      <c r="C7" s="149" t="s">
        <v>71</v>
      </c>
      <c r="D7" s="150" t="s">
        <v>72</v>
      </c>
      <c r="E7" s="151" t="s">
        <v>73</v>
      </c>
      <c r="F7" s="151" t="s">
        <v>74</v>
      </c>
      <c r="G7" s="150" t="s">
        <v>75</v>
      </c>
      <c r="H7" s="148" t="s">
        <v>25</v>
      </c>
      <c r="I7" s="148" t="s">
        <v>26</v>
      </c>
      <c r="J7" s="156" t="s">
        <v>76</v>
      </c>
      <c r="K7" s="156" t="s">
        <v>77</v>
      </c>
      <c r="L7" s="157" t="s">
        <v>78</v>
      </c>
      <c r="M7" s="156" t="s">
        <v>79</v>
      </c>
      <c r="N7" s="158"/>
    </row>
    <row r="8" spans="1:14">
      <c r="A8" s="168" t="s">
        <v>5</v>
      </c>
      <c r="B8" s="173" t="s">
        <v>6</v>
      </c>
      <c r="C8" s="152" t="s">
        <v>7</v>
      </c>
      <c r="D8" s="152" t="s">
        <v>8</v>
      </c>
      <c r="E8" s="152" t="s">
        <v>9</v>
      </c>
      <c r="F8" s="152" t="s">
        <v>10</v>
      </c>
      <c r="G8" s="174" t="s">
        <v>11</v>
      </c>
      <c r="H8" s="168" t="s">
        <v>12</v>
      </c>
      <c r="I8" s="168" t="s">
        <v>13</v>
      </c>
      <c r="J8" s="168" t="s">
        <v>14</v>
      </c>
      <c r="K8" s="168" t="s">
        <v>80</v>
      </c>
      <c r="L8" s="159" t="s">
        <v>81</v>
      </c>
      <c r="M8" s="168" t="s">
        <v>82</v>
      </c>
    </row>
    <row r="9" spans="1:14">
      <c r="A9" s="168">
        <v>1</v>
      </c>
      <c r="B9" s="175" t="s">
        <v>83</v>
      </c>
      <c r="C9" s="153" t="s">
        <v>84</v>
      </c>
      <c r="D9" s="194" t="s">
        <v>85</v>
      </c>
      <c r="E9" s="154"/>
      <c r="F9" s="154"/>
      <c r="G9" s="154"/>
      <c r="H9" s="155"/>
      <c r="I9" s="155"/>
      <c r="J9" s="153" t="s">
        <v>86</v>
      </c>
      <c r="K9" s="153" t="s">
        <v>87</v>
      </c>
      <c r="L9" s="160">
        <v>25000000</v>
      </c>
      <c r="M9" s="161">
        <v>2</v>
      </c>
    </row>
    <row r="10" spans="1:14">
      <c r="A10" s="168">
        <v>2</v>
      </c>
      <c r="B10" s="175" t="s">
        <v>88</v>
      </c>
      <c r="C10" s="153" t="s">
        <v>89</v>
      </c>
      <c r="D10" s="153" t="s">
        <v>90</v>
      </c>
      <c r="E10" s="154"/>
      <c r="F10" s="154"/>
      <c r="G10" s="154"/>
      <c r="H10" s="155"/>
      <c r="I10" s="155"/>
      <c r="J10" s="153" t="s">
        <v>86</v>
      </c>
      <c r="K10" s="153" t="s">
        <v>91</v>
      </c>
      <c r="L10" s="160">
        <v>20000000</v>
      </c>
      <c r="M10" s="161">
        <v>2</v>
      </c>
    </row>
    <row r="11" spans="1:14">
      <c r="A11" s="168">
        <v>3</v>
      </c>
      <c r="B11" s="175" t="s">
        <v>92</v>
      </c>
      <c r="C11" s="153" t="s">
        <v>93</v>
      </c>
      <c r="D11" s="153" t="s">
        <v>94</v>
      </c>
      <c r="E11" s="154"/>
      <c r="F11" s="154"/>
      <c r="G11" s="154"/>
      <c r="H11" s="155"/>
      <c r="I11" s="155"/>
      <c r="J11" s="153" t="s">
        <v>95</v>
      </c>
      <c r="K11" s="153" t="s">
        <v>96</v>
      </c>
      <c r="L11" s="160">
        <v>18000000</v>
      </c>
      <c r="M11" s="161">
        <v>2</v>
      </c>
    </row>
    <row r="12" spans="1:14">
      <c r="A12" s="168">
        <v>4</v>
      </c>
      <c r="B12" s="175" t="s">
        <v>97</v>
      </c>
      <c r="C12" s="153" t="s">
        <v>98</v>
      </c>
      <c r="D12" s="194" t="s">
        <v>99</v>
      </c>
      <c r="E12" s="154"/>
      <c r="F12" s="154"/>
      <c r="G12" s="154"/>
      <c r="H12" s="155"/>
      <c r="I12" s="155"/>
      <c r="J12" s="153" t="s">
        <v>95</v>
      </c>
      <c r="K12" s="153" t="s">
        <v>100</v>
      </c>
      <c r="L12" s="160">
        <v>10000000</v>
      </c>
      <c r="M12" s="161"/>
    </row>
    <row r="13" spans="1:14">
      <c r="A13" s="168">
        <v>5</v>
      </c>
      <c r="B13" s="175" t="s">
        <v>101</v>
      </c>
      <c r="C13" s="153" t="s">
        <v>102</v>
      </c>
      <c r="D13" s="153" t="s">
        <v>103</v>
      </c>
      <c r="E13" s="154"/>
      <c r="F13" s="154"/>
      <c r="G13" s="154"/>
      <c r="H13" s="155"/>
      <c r="I13" s="155"/>
      <c r="J13" s="153" t="s">
        <v>95</v>
      </c>
      <c r="K13" s="153" t="s">
        <v>100</v>
      </c>
      <c r="L13" s="160">
        <v>10000000</v>
      </c>
      <c r="M13" s="161"/>
    </row>
    <row r="14" spans="1:14">
      <c r="A14" s="168">
        <v>6</v>
      </c>
      <c r="B14" s="175" t="s">
        <v>104</v>
      </c>
      <c r="C14" s="153" t="s">
        <v>105</v>
      </c>
      <c r="D14" s="194" t="s">
        <v>106</v>
      </c>
      <c r="E14" s="155"/>
      <c r="F14" s="155"/>
      <c r="G14" s="155"/>
      <c r="H14" s="155"/>
      <c r="I14" s="155"/>
      <c r="J14" s="153" t="s">
        <v>107</v>
      </c>
      <c r="K14" s="153" t="s">
        <v>108</v>
      </c>
      <c r="L14" s="160">
        <v>18000000</v>
      </c>
      <c r="M14" s="161"/>
    </row>
    <row r="15" spans="1:14">
      <c r="A15" s="168">
        <v>7</v>
      </c>
      <c r="B15" s="175" t="s">
        <v>109</v>
      </c>
      <c r="C15" s="153" t="s">
        <v>110</v>
      </c>
      <c r="D15" s="194" t="s">
        <v>111</v>
      </c>
      <c r="E15" s="155"/>
      <c r="F15" s="155"/>
      <c r="G15" s="155"/>
      <c r="H15" s="155"/>
      <c r="I15" s="155"/>
      <c r="J15" s="153" t="s">
        <v>107</v>
      </c>
      <c r="K15" s="153" t="s">
        <v>112</v>
      </c>
      <c r="L15" s="160">
        <v>10000000</v>
      </c>
      <c r="M15" s="161"/>
    </row>
    <row r="16" spans="1:14">
      <c r="A16" s="168">
        <v>8</v>
      </c>
      <c r="B16" s="175" t="s">
        <v>113</v>
      </c>
      <c r="C16" s="153" t="s">
        <v>114</v>
      </c>
      <c r="D16" s="194" t="s">
        <v>115</v>
      </c>
      <c r="E16" s="155"/>
      <c r="F16" s="155"/>
      <c r="G16" s="155"/>
      <c r="H16" s="155"/>
      <c r="I16" s="155"/>
      <c r="J16" s="153" t="s">
        <v>116</v>
      </c>
      <c r="K16" s="153" t="s">
        <v>96</v>
      </c>
      <c r="L16" s="160">
        <v>18000000</v>
      </c>
      <c r="M16" s="161">
        <v>2</v>
      </c>
    </row>
    <row r="17" spans="1:13">
      <c r="A17" s="168">
        <v>9</v>
      </c>
      <c r="B17" s="175" t="s">
        <v>117</v>
      </c>
      <c r="C17" s="153" t="s">
        <v>118</v>
      </c>
      <c r="D17" s="194" t="s">
        <v>119</v>
      </c>
      <c r="E17" s="155"/>
      <c r="F17" s="155"/>
      <c r="G17" s="155"/>
      <c r="H17" s="155"/>
      <c r="I17" s="155"/>
      <c r="J17" s="153" t="s">
        <v>116</v>
      </c>
      <c r="K17" s="153" t="s">
        <v>100</v>
      </c>
      <c r="L17" s="160">
        <v>12000000</v>
      </c>
      <c r="M17" s="161"/>
    </row>
    <row r="18" spans="1:13">
      <c r="A18" s="168">
        <v>10</v>
      </c>
      <c r="B18" s="175" t="s">
        <v>120</v>
      </c>
      <c r="C18" s="153" t="s">
        <v>121</v>
      </c>
      <c r="D18" s="153" t="s">
        <v>122</v>
      </c>
      <c r="E18" s="155"/>
      <c r="F18" s="155"/>
      <c r="G18" s="155"/>
      <c r="H18" s="155"/>
      <c r="I18" s="155"/>
      <c r="J18" s="153" t="s">
        <v>123</v>
      </c>
      <c r="K18" s="153" t="s">
        <v>124</v>
      </c>
      <c r="L18" s="160">
        <v>12000000</v>
      </c>
      <c r="M18" s="161"/>
    </row>
    <row r="19" spans="1:13">
      <c r="A19" s="168">
        <v>11</v>
      </c>
      <c r="B19" s="175" t="s">
        <v>125</v>
      </c>
      <c r="C19" s="153" t="s">
        <v>126</v>
      </c>
      <c r="D19" s="153" t="s">
        <v>127</v>
      </c>
      <c r="E19" s="155"/>
      <c r="F19" s="155"/>
      <c r="G19" s="155"/>
      <c r="H19" s="155"/>
      <c r="I19" s="155"/>
      <c r="J19" s="153" t="s">
        <v>123</v>
      </c>
      <c r="K19" s="153" t="s">
        <v>124</v>
      </c>
      <c r="L19" s="160">
        <v>12000000</v>
      </c>
      <c r="M19" s="161"/>
    </row>
    <row r="20" spans="1:13">
      <c r="A20" s="168">
        <v>12</v>
      </c>
      <c r="B20" s="175" t="s">
        <v>128</v>
      </c>
      <c r="C20" s="153" t="s">
        <v>129</v>
      </c>
      <c r="D20" s="153" t="s">
        <v>130</v>
      </c>
      <c r="E20" s="155"/>
      <c r="F20" s="155"/>
      <c r="G20" s="155"/>
      <c r="H20" s="155"/>
      <c r="I20" s="155"/>
      <c r="J20" s="153" t="s">
        <v>123</v>
      </c>
      <c r="K20" s="153" t="s">
        <v>124</v>
      </c>
      <c r="L20" s="160">
        <v>12000000</v>
      </c>
      <c r="M20" s="161"/>
    </row>
    <row r="21" spans="1:13">
      <c r="A21" s="168">
        <v>13</v>
      </c>
      <c r="B21" s="175" t="s">
        <v>131</v>
      </c>
      <c r="C21" s="153" t="s">
        <v>132</v>
      </c>
      <c r="D21" s="153" t="s">
        <v>133</v>
      </c>
      <c r="E21" s="155"/>
      <c r="F21" s="155"/>
      <c r="G21" s="155"/>
      <c r="H21" s="155"/>
      <c r="I21" s="155"/>
      <c r="J21" s="153" t="s">
        <v>123</v>
      </c>
      <c r="K21" s="153" t="s">
        <v>124</v>
      </c>
      <c r="L21" s="160">
        <v>12000000</v>
      </c>
      <c r="M21" s="161">
        <v>1</v>
      </c>
    </row>
    <row r="22" spans="1:13">
      <c r="A22" s="168">
        <v>14</v>
      </c>
      <c r="B22" s="175" t="s">
        <v>134</v>
      </c>
      <c r="C22" s="153" t="s">
        <v>135</v>
      </c>
      <c r="D22" s="194" t="s">
        <v>136</v>
      </c>
      <c r="E22" s="155"/>
      <c r="F22" s="155"/>
      <c r="G22" s="155"/>
      <c r="H22" s="155"/>
      <c r="I22" s="155"/>
      <c r="J22" s="153" t="s">
        <v>137</v>
      </c>
      <c r="K22" s="153" t="s">
        <v>138</v>
      </c>
      <c r="L22" s="160">
        <v>10000000</v>
      </c>
      <c r="M22" s="161"/>
    </row>
    <row r="23" spans="1:13">
      <c r="A23" s="168">
        <v>15</v>
      </c>
      <c r="B23" s="175" t="s">
        <v>139</v>
      </c>
      <c r="C23" s="153" t="s">
        <v>140</v>
      </c>
      <c r="D23" s="153" t="s">
        <v>141</v>
      </c>
      <c r="E23" s="155"/>
      <c r="F23" s="155"/>
      <c r="G23" s="155"/>
      <c r="H23" s="155"/>
      <c r="I23" s="155"/>
      <c r="J23" s="153" t="s">
        <v>142</v>
      </c>
      <c r="K23" s="153" t="s">
        <v>143</v>
      </c>
      <c r="L23" s="160">
        <v>8000000</v>
      </c>
      <c r="M23" s="161">
        <v>1</v>
      </c>
    </row>
    <row r="24" spans="1:13">
      <c r="A24" s="168">
        <v>16</v>
      </c>
      <c r="B24" s="175" t="s">
        <v>144</v>
      </c>
      <c r="C24" s="153" t="s">
        <v>145</v>
      </c>
      <c r="D24" s="153" t="s">
        <v>146</v>
      </c>
      <c r="E24" s="155"/>
      <c r="F24" s="155"/>
      <c r="G24" s="155"/>
      <c r="H24" s="155"/>
      <c r="I24" s="155"/>
      <c r="J24" s="153" t="s">
        <v>142</v>
      </c>
      <c r="K24" s="153" t="s">
        <v>143</v>
      </c>
      <c r="L24" s="160">
        <v>8000000</v>
      </c>
      <c r="M24" s="161"/>
    </row>
    <row r="25" spans="1:13">
      <c r="A25" s="168">
        <v>17</v>
      </c>
      <c r="B25" s="175" t="s">
        <v>147</v>
      </c>
      <c r="C25" s="153" t="s">
        <v>148</v>
      </c>
      <c r="D25" s="153" t="s">
        <v>149</v>
      </c>
      <c r="E25" s="155"/>
      <c r="F25" s="155"/>
      <c r="G25" s="155"/>
      <c r="H25" s="155"/>
      <c r="I25" s="155"/>
      <c r="J25" s="153" t="s">
        <v>142</v>
      </c>
      <c r="K25" s="153" t="s">
        <v>143</v>
      </c>
      <c r="L25" s="160">
        <v>8000000</v>
      </c>
      <c r="M25" s="161"/>
    </row>
    <row r="26" spans="1:13">
      <c r="A26" s="168">
        <v>18</v>
      </c>
      <c r="B26" s="175" t="s">
        <v>150</v>
      </c>
      <c r="C26" s="153" t="s">
        <v>151</v>
      </c>
      <c r="D26" s="153" t="s">
        <v>152</v>
      </c>
      <c r="E26" s="155"/>
      <c r="F26" s="155"/>
      <c r="G26" s="155"/>
      <c r="H26" s="155"/>
      <c r="I26" s="155"/>
      <c r="J26" s="153" t="s">
        <v>142</v>
      </c>
      <c r="K26" s="153" t="s">
        <v>143</v>
      </c>
      <c r="L26" s="160">
        <v>8000000</v>
      </c>
      <c r="M26" s="161"/>
    </row>
    <row r="27" spans="1:13">
      <c r="A27" s="168">
        <v>19</v>
      </c>
      <c r="B27" s="175" t="s">
        <v>153</v>
      </c>
      <c r="C27" s="153" t="s">
        <v>154</v>
      </c>
      <c r="D27" s="153" t="s">
        <v>155</v>
      </c>
      <c r="E27" s="155"/>
      <c r="F27" s="155"/>
      <c r="G27" s="155"/>
      <c r="H27" s="155"/>
      <c r="I27" s="155"/>
      <c r="J27" s="153" t="s">
        <v>142</v>
      </c>
      <c r="K27" s="153" t="s">
        <v>143</v>
      </c>
      <c r="L27" s="160">
        <v>8000000</v>
      </c>
      <c r="M27" s="161">
        <v>1</v>
      </c>
    </row>
    <row r="28" spans="1:13">
      <c r="A28" s="168">
        <v>20</v>
      </c>
      <c r="B28" s="175" t="s">
        <v>156</v>
      </c>
      <c r="C28" s="153" t="s">
        <v>157</v>
      </c>
      <c r="D28" s="153" t="s">
        <v>158</v>
      </c>
      <c r="E28" s="155"/>
      <c r="F28" s="155"/>
      <c r="G28" s="155"/>
      <c r="H28" s="155"/>
      <c r="I28" s="155"/>
      <c r="J28" s="153" t="s">
        <v>142</v>
      </c>
      <c r="K28" s="153" t="s">
        <v>143</v>
      </c>
      <c r="L28" s="160">
        <v>8000000</v>
      </c>
      <c r="M28" s="161"/>
    </row>
    <row r="29" spans="1:13">
      <c r="A29" s="168">
        <v>21</v>
      </c>
      <c r="B29" s="175" t="s">
        <v>159</v>
      </c>
      <c r="C29" s="153" t="s">
        <v>160</v>
      </c>
      <c r="D29" s="153" t="s">
        <v>161</v>
      </c>
      <c r="E29" s="155"/>
      <c r="F29" s="155"/>
      <c r="G29" s="155"/>
      <c r="H29" s="155"/>
      <c r="I29" s="155"/>
      <c r="J29" s="153" t="s">
        <v>142</v>
      </c>
      <c r="K29" s="153" t="s">
        <v>143</v>
      </c>
      <c r="L29" s="160">
        <v>8000000</v>
      </c>
      <c r="M29" s="161"/>
    </row>
    <row r="30" spans="1:13">
      <c r="A30" s="168">
        <v>22</v>
      </c>
      <c r="B30" s="175" t="s">
        <v>162</v>
      </c>
      <c r="C30" s="153" t="s">
        <v>163</v>
      </c>
      <c r="D30" s="153" t="s">
        <v>164</v>
      </c>
      <c r="E30" s="155"/>
      <c r="F30" s="155"/>
      <c r="G30" s="155"/>
      <c r="H30" s="155"/>
      <c r="I30" s="155"/>
      <c r="J30" s="153" t="s">
        <v>142</v>
      </c>
      <c r="K30" s="153" t="s">
        <v>143</v>
      </c>
      <c r="L30" s="160">
        <v>8000000</v>
      </c>
      <c r="M30" s="161"/>
    </row>
  </sheetData>
  <autoFilter ref="A7:M30"/>
  <mergeCells count="2">
    <mergeCell ref="A5:M5"/>
    <mergeCell ref="A1:C1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14" sqref="D14"/>
    </sheetView>
  </sheetViews>
  <sheetFormatPr defaultColWidth="9.140625" defaultRowHeight="15"/>
  <cols>
    <col min="1" max="1" width="4.42578125" style="1" customWidth="1"/>
    <col min="2" max="2" width="10" style="24" customWidth="1"/>
    <col min="3" max="3" width="18.85546875" style="24" customWidth="1"/>
    <col min="4" max="4" width="50.5703125" style="1" customWidth="1"/>
    <col min="5" max="5" width="30.7109375" style="1" customWidth="1"/>
    <col min="6" max="6" width="17.85546875" style="1" customWidth="1"/>
    <col min="7" max="7" width="9.140625" style="1"/>
    <col min="8" max="8" width="20.28515625" style="1" customWidth="1"/>
    <col min="9" max="9" width="17.140625" style="1" customWidth="1"/>
    <col min="10" max="10" width="27.5703125" style="1" customWidth="1"/>
    <col min="11" max="11" width="13" style="1" customWidth="1"/>
    <col min="12" max="16384" width="9.140625" style="1"/>
  </cols>
  <sheetData>
    <row r="1" spans="1:6">
      <c r="A1" s="317" t="s">
        <v>504</v>
      </c>
      <c r="B1" s="317"/>
      <c r="C1" s="317"/>
    </row>
    <row r="2" spans="1:6">
      <c r="A2" s="299" t="s">
        <v>505</v>
      </c>
      <c r="B2" s="299"/>
      <c r="C2" s="299"/>
    </row>
    <row r="3" spans="1:6">
      <c r="A3" s="2"/>
    </row>
    <row r="4" spans="1:6" ht="16.5">
      <c r="A4" s="316" t="s">
        <v>58</v>
      </c>
      <c r="B4" s="316"/>
      <c r="C4" s="316"/>
      <c r="D4" s="316"/>
      <c r="E4" s="316"/>
      <c r="F4" s="140"/>
    </row>
    <row r="5" spans="1:6">
      <c r="B5" s="1"/>
      <c r="C5" s="1"/>
    </row>
    <row r="6" spans="1:6" ht="49.5">
      <c r="A6" s="148" t="s">
        <v>0</v>
      </c>
      <c r="B6" s="149" t="s">
        <v>59</v>
      </c>
      <c r="C6" s="149" t="s">
        <v>60</v>
      </c>
      <c r="D6" s="150" t="s">
        <v>61</v>
      </c>
      <c r="E6" s="148" t="s">
        <v>62</v>
      </c>
    </row>
    <row r="7" spans="1:6" ht="16.5">
      <c r="A7" s="162" t="s">
        <v>5</v>
      </c>
      <c r="B7" s="163" t="s">
        <v>6</v>
      </c>
      <c r="C7" s="164" t="s">
        <v>7</v>
      </c>
      <c r="D7" s="164" t="s">
        <v>8</v>
      </c>
      <c r="E7" s="164" t="s">
        <v>9</v>
      </c>
    </row>
    <row r="8" spans="1:6">
      <c r="A8" s="181">
        <v>1</v>
      </c>
      <c r="B8" s="182" t="s">
        <v>63</v>
      </c>
      <c r="C8" s="182" t="s">
        <v>64</v>
      </c>
      <c r="D8" s="183" t="s">
        <v>65</v>
      </c>
      <c r="E8" s="184" t="s">
        <v>66</v>
      </c>
    </row>
    <row r="9" spans="1:6">
      <c r="A9" s="181">
        <v>2</v>
      </c>
      <c r="B9" s="182" t="s">
        <v>67</v>
      </c>
      <c r="C9" s="182" t="s">
        <v>68</v>
      </c>
      <c r="D9" s="183" t="s">
        <v>69</v>
      </c>
      <c r="E9" s="184" t="s">
        <v>66</v>
      </c>
    </row>
  </sheetData>
  <mergeCells count="2">
    <mergeCell ref="A4:E4"/>
    <mergeCell ref="A1:C1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3" workbookViewId="0">
      <selection sqref="A1:C2"/>
    </sheetView>
  </sheetViews>
  <sheetFormatPr defaultColWidth="9.140625" defaultRowHeight="15"/>
  <cols>
    <col min="1" max="1" width="9.140625" style="1"/>
    <col min="2" max="3" width="20.28515625" style="1" customWidth="1"/>
    <col min="4" max="4" width="17.140625" style="1" customWidth="1"/>
    <col min="5" max="5" width="20.85546875" style="1" customWidth="1"/>
    <col min="6" max="6" width="13" style="1" customWidth="1"/>
    <col min="7" max="16384" width="9.140625" style="1"/>
  </cols>
  <sheetData>
    <row r="1" spans="1:6">
      <c r="A1" s="317" t="s">
        <v>504</v>
      </c>
      <c r="B1" s="317"/>
      <c r="C1" s="317"/>
    </row>
    <row r="2" spans="1:6">
      <c r="A2" s="299" t="s">
        <v>505</v>
      </c>
      <c r="B2" s="299"/>
      <c r="C2" s="299"/>
    </row>
    <row r="3" spans="1:6">
      <c r="A3" s="2"/>
    </row>
    <row r="4" spans="1:6" ht="16.5">
      <c r="A4" s="316" t="s">
        <v>165</v>
      </c>
      <c r="B4" s="316"/>
      <c r="C4" s="316"/>
      <c r="D4" s="316"/>
      <c r="E4" s="316"/>
      <c r="F4" s="140"/>
    </row>
    <row r="6" spans="1:6">
      <c r="A6" s="10" t="s">
        <v>0</v>
      </c>
      <c r="B6" s="141" t="s">
        <v>59</v>
      </c>
      <c r="C6" s="8" t="s">
        <v>166</v>
      </c>
      <c r="D6" s="142" t="s">
        <v>167</v>
      </c>
      <c r="E6" s="8" t="s">
        <v>1</v>
      </c>
    </row>
    <row r="7" spans="1:6">
      <c r="A7" s="141" t="s">
        <v>5</v>
      </c>
      <c r="B7" s="142" t="s">
        <v>6</v>
      </c>
      <c r="C7" s="8" t="s">
        <v>7</v>
      </c>
      <c r="D7" s="8" t="s">
        <v>8</v>
      </c>
      <c r="E7" s="8" t="s">
        <v>9</v>
      </c>
    </row>
    <row r="8" spans="1:6">
      <c r="A8" s="141" t="s">
        <v>13</v>
      </c>
      <c r="B8" s="143" t="s">
        <v>165</v>
      </c>
      <c r="C8" s="8"/>
      <c r="D8" s="8"/>
      <c r="E8" s="8"/>
    </row>
    <row r="9" spans="1:6" ht="16.5">
      <c r="A9" s="9">
        <v>1</v>
      </c>
      <c r="B9" s="176" t="s">
        <v>168</v>
      </c>
      <c r="C9" s="144" t="s">
        <v>169</v>
      </c>
      <c r="D9" s="144" t="s">
        <v>170</v>
      </c>
      <c r="E9" s="6" t="s">
        <v>419</v>
      </c>
    </row>
    <row r="10" spans="1:6" ht="16.5">
      <c r="A10" s="9">
        <v>2</v>
      </c>
      <c r="B10" s="176" t="s">
        <v>172</v>
      </c>
      <c r="C10" s="144" t="s">
        <v>173</v>
      </c>
      <c r="D10" s="144" t="s">
        <v>174</v>
      </c>
      <c r="E10" s="6" t="s">
        <v>419</v>
      </c>
    </row>
    <row r="11" spans="1:6" ht="16.5">
      <c r="A11" s="9">
        <v>3</v>
      </c>
      <c r="B11" s="176" t="s">
        <v>417</v>
      </c>
      <c r="C11" s="144" t="s">
        <v>175</v>
      </c>
      <c r="D11" s="144" t="s">
        <v>176</v>
      </c>
      <c r="E11" s="6" t="s">
        <v>418</v>
      </c>
    </row>
    <row r="12" spans="1:6">
      <c r="A12" s="203" t="s">
        <v>177</v>
      </c>
      <c r="B12" s="10" t="s">
        <v>178</v>
      </c>
      <c r="C12" s="6"/>
      <c r="D12" s="6"/>
      <c r="E12" s="6"/>
    </row>
    <row r="13" spans="1:6" ht="16.5">
      <c r="A13" s="9">
        <v>1</v>
      </c>
      <c r="B13" s="176" t="s">
        <v>179</v>
      </c>
      <c r="C13" s="144" t="s">
        <v>180</v>
      </c>
      <c r="D13" s="144" t="s">
        <v>181</v>
      </c>
      <c r="E13" s="144" t="s">
        <v>182</v>
      </c>
    </row>
    <row r="14" spans="1:6" ht="16.5">
      <c r="A14" s="9">
        <v>2</v>
      </c>
      <c r="B14" s="176" t="s">
        <v>183</v>
      </c>
      <c r="C14" s="144" t="s">
        <v>184</v>
      </c>
      <c r="D14" s="144" t="s">
        <v>185</v>
      </c>
      <c r="E14" s="144" t="s">
        <v>186</v>
      </c>
    </row>
    <row r="15" spans="1:6">
      <c r="A15" s="203" t="s">
        <v>187</v>
      </c>
      <c r="B15" s="10" t="s">
        <v>188</v>
      </c>
      <c r="C15" s="6"/>
      <c r="D15" s="6"/>
      <c r="E15" s="6"/>
    </row>
    <row r="16" spans="1:6" ht="16.5">
      <c r="A16" s="9">
        <v>1</v>
      </c>
      <c r="B16" s="176" t="s">
        <v>189</v>
      </c>
      <c r="C16" s="144" t="s">
        <v>190</v>
      </c>
      <c r="D16" s="144" t="s">
        <v>191</v>
      </c>
      <c r="E16" s="6" t="s">
        <v>171</v>
      </c>
    </row>
    <row r="17" spans="1:5" ht="16.5">
      <c r="A17" s="9">
        <v>2</v>
      </c>
      <c r="B17" s="176" t="s">
        <v>192</v>
      </c>
      <c r="C17" s="144" t="s">
        <v>193</v>
      </c>
      <c r="D17" s="144" t="s">
        <v>194</v>
      </c>
      <c r="E17" s="6" t="s">
        <v>171</v>
      </c>
    </row>
    <row r="18" spans="1:5" ht="16.5">
      <c r="A18" s="9">
        <v>3</v>
      </c>
      <c r="B18" s="176" t="s">
        <v>195</v>
      </c>
      <c r="C18" s="144" t="s">
        <v>196</v>
      </c>
      <c r="D18" s="144" t="s">
        <v>197</v>
      </c>
      <c r="E18" s="6" t="s">
        <v>171</v>
      </c>
    </row>
    <row r="19" spans="1:5" ht="16.5">
      <c r="A19" s="9">
        <v>4</v>
      </c>
      <c r="B19" s="176" t="s">
        <v>198</v>
      </c>
      <c r="C19" s="144" t="s">
        <v>199</v>
      </c>
      <c r="D19" s="144" t="s">
        <v>200</v>
      </c>
      <c r="E19" s="6" t="s">
        <v>171</v>
      </c>
    </row>
    <row r="20" spans="1:5">
      <c r="A20" s="203" t="s">
        <v>201</v>
      </c>
      <c r="B20" s="10" t="s">
        <v>202</v>
      </c>
      <c r="C20" s="6"/>
      <c r="D20" s="6"/>
      <c r="E20" s="6"/>
    </row>
    <row r="21" spans="1:5" ht="16.5">
      <c r="A21" s="9">
        <v>1</v>
      </c>
      <c r="B21" s="176" t="s">
        <v>203</v>
      </c>
      <c r="C21" s="144" t="s">
        <v>204</v>
      </c>
      <c r="D21" s="144" t="s">
        <v>205</v>
      </c>
      <c r="E21" s="6" t="s">
        <v>171</v>
      </c>
    </row>
    <row r="22" spans="1:5" ht="16.5">
      <c r="A22" s="9">
        <v>2</v>
      </c>
      <c r="B22" s="176" t="s">
        <v>206</v>
      </c>
      <c r="C22" s="144" t="s">
        <v>207</v>
      </c>
      <c r="D22" s="144" t="s">
        <v>207</v>
      </c>
      <c r="E22" s="6" t="s">
        <v>171</v>
      </c>
    </row>
    <row r="23" spans="1:5" ht="16.5">
      <c r="A23" s="9">
        <v>3</v>
      </c>
      <c r="B23" s="176" t="s">
        <v>208</v>
      </c>
      <c r="C23" s="144" t="s">
        <v>209</v>
      </c>
      <c r="D23" s="144" t="s">
        <v>210</v>
      </c>
      <c r="E23" s="6" t="s">
        <v>171</v>
      </c>
    </row>
    <row r="24" spans="1:5" ht="16.5">
      <c r="A24" s="9">
        <v>4</v>
      </c>
      <c r="B24" s="176" t="s">
        <v>211</v>
      </c>
      <c r="C24" s="144" t="s">
        <v>212</v>
      </c>
      <c r="D24" s="144" t="s">
        <v>213</v>
      </c>
      <c r="E24" s="6" t="s">
        <v>171</v>
      </c>
    </row>
  </sheetData>
  <mergeCells count="2">
    <mergeCell ref="A4:E4"/>
    <mergeCell ref="A1:C1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39"/>
  <sheetViews>
    <sheetView topLeftCell="A205" workbookViewId="0">
      <selection activeCell="H11" sqref="H11"/>
    </sheetView>
  </sheetViews>
  <sheetFormatPr defaultColWidth="8.7109375" defaultRowHeight="16.5"/>
  <cols>
    <col min="1" max="1" width="8.7109375" style="178"/>
    <col min="2" max="2" width="19.42578125" style="289" customWidth="1"/>
    <col min="3" max="3" width="9.42578125" style="178" customWidth="1"/>
    <col min="4" max="4" width="22.28515625" style="291" customWidth="1"/>
    <col min="5" max="5" width="16.7109375" style="179" customWidth="1"/>
    <col min="6" max="6" width="19.85546875" style="179" customWidth="1"/>
    <col min="7" max="7" width="18.85546875" style="178" customWidth="1"/>
    <col min="8" max="8" width="17.5703125" style="179" customWidth="1"/>
    <col min="9" max="9" width="14.28515625" style="179" customWidth="1"/>
    <col min="10" max="10" width="17.42578125" style="178" customWidth="1"/>
    <col min="11" max="11" width="17.7109375" style="178" customWidth="1"/>
    <col min="12" max="12" width="11.5703125" style="178" bestFit="1" customWidth="1"/>
    <col min="13" max="13" width="16.42578125" style="178" bestFit="1" customWidth="1"/>
    <col min="14" max="16384" width="8.7109375" style="178"/>
  </cols>
  <sheetData>
    <row r="1" spans="1:6">
      <c r="A1" s="317" t="s">
        <v>504</v>
      </c>
      <c r="B1" s="317"/>
      <c r="C1" s="317"/>
    </row>
    <row r="2" spans="1:6">
      <c r="A2" s="299" t="s">
        <v>505</v>
      </c>
      <c r="B2" s="299"/>
      <c r="C2" s="299"/>
    </row>
    <row r="3" spans="1:6">
      <c r="A3" s="299"/>
      <c r="B3" s="299"/>
      <c r="C3" s="299"/>
    </row>
    <row r="4" spans="1:6" ht="18.75">
      <c r="A4" s="320" t="s">
        <v>523</v>
      </c>
      <c r="B4" s="320"/>
      <c r="C4" s="320"/>
      <c r="D4" s="320"/>
      <c r="E4" s="320"/>
      <c r="F4" s="320"/>
    </row>
    <row r="6" spans="1:6">
      <c r="A6" s="193" t="s">
        <v>359</v>
      </c>
    </row>
    <row r="7" spans="1:6">
      <c r="A7" s="193"/>
      <c r="B7" s="289" t="s">
        <v>371</v>
      </c>
      <c r="D7" s="291">
        <v>6000000</v>
      </c>
    </row>
    <row r="8" spans="1:6">
      <c r="B8" s="290" t="s">
        <v>372</v>
      </c>
      <c r="D8" s="291">
        <v>6000000</v>
      </c>
      <c r="F8" s="178" t="s">
        <v>361</v>
      </c>
    </row>
    <row r="9" spans="1:6">
      <c r="A9" s="193" t="s">
        <v>360</v>
      </c>
    </row>
    <row r="10" spans="1:6">
      <c r="B10" s="289" t="s">
        <v>373</v>
      </c>
      <c r="D10" s="291">
        <v>60000000</v>
      </c>
    </row>
    <row r="11" spans="1:6">
      <c r="B11" s="289" t="s">
        <v>572</v>
      </c>
      <c r="D11" s="291">
        <v>6000000</v>
      </c>
    </row>
    <row r="12" spans="1:6">
      <c r="B12" s="290" t="s">
        <v>374</v>
      </c>
      <c r="D12" s="291">
        <v>66000000</v>
      </c>
      <c r="F12" s="178" t="s">
        <v>363</v>
      </c>
    </row>
    <row r="13" spans="1:6">
      <c r="A13" s="193" t="s">
        <v>362</v>
      </c>
    </row>
    <row r="14" spans="1:6">
      <c r="B14" s="289" t="s">
        <v>375</v>
      </c>
      <c r="D14" s="291">
        <v>15000000</v>
      </c>
    </row>
    <row r="15" spans="1:6">
      <c r="B15" s="290" t="s">
        <v>376</v>
      </c>
      <c r="D15" s="291">
        <v>15000000</v>
      </c>
      <c r="F15" s="178" t="s">
        <v>364</v>
      </c>
    </row>
    <row r="16" spans="1:6">
      <c r="A16" s="193" t="s">
        <v>365</v>
      </c>
    </row>
    <row r="17" spans="1:6">
      <c r="B17" s="289" t="s">
        <v>377</v>
      </c>
      <c r="C17" s="180"/>
      <c r="D17" s="291">
        <v>120000000</v>
      </c>
    </row>
    <row r="18" spans="1:6">
      <c r="B18" s="290" t="s">
        <v>378</v>
      </c>
      <c r="D18" s="291">
        <v>120000000</v>
      </c>
      <c r="F18" s="178" t="s">
        <v>366</v>
      </c>
    </row>
    <row r="19" spans="1:6">
      <c r="A19" s="193" t="s">
        <v>367</v>
      </c>
    </row>
    <row r="20" spans="1:6">
      <c r="B20" s="289" t="s">
        <v>393</v>
      </c>
      <c r="D20" s="291">
        <v>1200000000</v>
      </c>
      <c r="E20" s="178"/>
    </row>
    <row r="21" spans="1:6">
      <c r="B21" s="289" t="s">
        <v>572</v>
      </c>
      <c r="D21" s="291">
        <v>120000000</v>
      </c>
    </row>
    <row r="22" spans="1:6">
      <c r="B22" s="290" t="s">
        <v>379</v>
      </c>
      <c r="D22" s="291">
        <v>1320000000</v>
      </c>
    </row>
    <row r="24" spans="1:6">
      <c r="B24" s="289" t="s">
        <v>393</v>
      </c>
      <c r="D24" s="291">
        <v>9000000</v>
      </c>
      <c r="F24" s="179" t="s">
        <v>428</v>
      </c>
    </row>
    <row r="25" spans="1:6">
      <c r="B25" s="289" t="s">
        <v>572</v>
      </c>
      <c r="D25" s="291">
        <v>900000</v>
      </c>
      <c r="F25" s="179" t="s">
        <v>383</v>
      </c>
    </row>
    <row r="26" spans="1:6">
      <c r="B26" s="290" t="s">
        <v>372</v>
      </c>
      <c r="D26" s="291">
        <v>9900000</v>
      </c>
      <c r="E26" s="178"/>
      <c r="F26" s="179" t="s">
        <v>384</v>
      </c>
    </row>
    <row r="28" spans="1:6">
      <c r="A28" s="193" t="s">
        <v>380</v>
      </c>
      <c r="D28" s="292"/>
    </row>
    <row r="29" spans="1:6">
      <c r="B29" s="289" t="s">
        <v>387</v>
      </c>
      <c r="D29" s="291">
        <v>1200000000</v>
      </c>
    </row>
    <row r="30" spans="1:6">
      <c r="B30" s="290" t="s">
        <v>374</v>
      </c>
      <c r="D30" s="291">
        <v>1200000000</v>
      </c>
      <c r="F30" s="179" t="s">
        <v>385</v>
      </c>
    </row>
    <row r="32" spans="1:6">
      <c r="A32" s="193" t="s">
        <v>381</v>
      </c>
    </row>
    <row r="33" spans="1:6">
      <c r="B33" s="289" t="s">
        <v>373</v>
      </c>
      <c r="D33" s="291">
        <v>30000000</v>
      </c>
    </row>
    <row r="34" spans="1:6">
      <c r="B34" s="289" t="s">
        <v>572</v>
      </c>
      <c r="D34" s="291">
        <v>3000000</v>
      </c>
    </row>
    <row r="35" spans="1:6">
      <c r="B35" s="290" t="s">
        <v>374</v>
      </c>
      <c r="D35" s="291">
        <v>33000000</v>
      </c>
      <c r="F35" s="179" t="s">
        <v>386</v>
      </c>
    </row>
    <row r="37" spans="1:6">
      <c r="A37" s="193" t="s">
        <v>382</v>
      </c>
    </row>
    <row r="38" spans="1:6">
      <c r="B38" s="289" t="s">
        <v>394</v>
      </c>
      <c r="D38" s="291">
        <v>576400000</v>
      </c>
    </row>
    <row r="39" spans="1:6">
      <c r="B39" s="289" t="s">
        <v>572</v>
      </c>
      <c r="D39" s="291">
        <f>D38*0.1</f>
        <v>57640000</v>
      </c>
      <c r="F39" s="179" t="s">
        <v>428</v>
      </c>
    </row>
    <row r="40" spans="1:6">
      <c r="B40" s="290" t="s">
        <v>392</v>
      </c>
      <c r="D40" s="291">
        <f>D38+D39</f>
        <v>634040000</v>
      </c>
      <c r="F40" s="179" t="s">
        <v>395</v>
      </c>
    </row>
    <row r="42" spans="1:6">
      <c r="A42" s="193" t="s">
        <v>396</v>
      </c>
    </row>
    <row r="43" spans="1:6">
      <c r="B43" s="289" t="s">
        <v>397</v>
      </c>
      <c r="D43" s="291">
        <f>D44+D45</f>
        <v>370425000</v>
      </c>
    </row>
    <row r="44" spans="1:6">
      <c r="B44" s="290" t="s">
        <v>398</v>
      </c>
      <c r="D44" s="291">
        <v>336750000</v>
      </c>
    </row>
    <row r="45" spans="1:6">
      <c r="B45" s="290" t="s">
        <v>399</v>
      </c>
      <c r="D45" s="291">
        <f>D44*0.1</f>
        <v>33675000</v>
      </c>
    </row>
    <row r="47" spans="1:6">
      <c r="B47" s="289" t="s">
        <v>400</v>
      </c>
      <c r="D47" s="291">
        <f>SUM(D48:D51)</f>
        <v>271000000</v>
      </c>
    </row>
    <row r="48" spans="1:6">
      <c r="B48" s="290" t="s">
        <v>401</v>
      </c>
      <c r="D48" s="291">
        <f>30*BCNXT!J17</f>
        <v>3000000</v>
      </c>
    </row>
    <row r="49" spans="1:6">
      <c r="B49" s="290" t="s">
        <v>402</v>
      </c>
      <c r="D49" s="291">
        <f>40*BCNXT!J18</f>
        <v>160000000</v>
      </c>
    </row>
    <row r="50" spans="1:6">
      <c r="B50" s="290" t="s">
        <v>403</v>
      </c>
      <c r="D50" s="291">
        <f>50*BCNXT!J20</f>
        <v>8000000</v>
      </c>
      <c r="F50" s="179" t="s">
        <v>405</v>
      </c>
    </row>
    <row r="51" spans="1:6">
      <c r="B51" s="290" t="s">
        <v>404</v>
      </c>
      <c r="D51" s="291">
        <f>50*BCNXT!J19</f>
        <v>100000000</v>
      </c>
      <c r="F51" s="179" t="s">
        <v>406</v>
      </c>
    </row>
    <row r="53" spans="1:6">
      <c r="A53" s="193" t="s">
        <v>407</v>
      </c>
    </row>
    <row r="54" spans="1:6">
      <c r="B54" s="289" t="s">
        <v>408</v>
      </c>
      <c r="D54" s="291">
        <f>D55+D56</f>
        <v>737000000</v>
      </c>
    </row>
    <row r="55" spans="1:6">
      <c r="B55" s="290" t="s">
        <v>398</v>
      </c>
      <c r="D55" s="291">
        <v>670000000</v>
      </c>
    </row>
    <row r="56" spans="1:6">
      <c r="B56" s="290" t="s">
        <v>399</v>
      </c>
      <c r="D56" s="291">
        <f>D55*0.1</f>
        <v>67000000</v>
      </c>
    </row>
    <row r="58" spans="1:6">
      <c r="B58" s="289" t="s">
        <v>400</v>
      </c>
      <c r="D58" s="291">
        <f>SUM(D59:D62)</f>
        <v>288528863.94079769</v>
      </c>
    </row>
    <row r="59" spans="1:6">
      <c r="B59" s="290" t="s">
        <v>409</v>
      </c>
      <c r="D59" s="291">
        <f>500*BCNXT!J13</f>
        <v>181685457.90328324</v>
      </c>
    </row>
    <row r="60" spans="1:6">
      <c r="B60" s="290" t="s">
        <v>410</v>
      </c>
      <c r="D60" s="291">
        <f>200*BCNXT!J14</f>
        <v>72686053.868612289</v>
      </c>
    </row>
    <row r="61" spans="1:6">
      <c r="B61" s="290" t="s">
        <v>411</v>
      </c>
      <c r="D61" s="291">
        <f>100*BCNXT!J15</f>
        <v>12886771.472886853</v>
      </c>
      <c r="F61" s="179" t="s">
        <v>413</v>
      </c>
    </row>
    <row r="62" spans="1:6">
      <c r="B62" s="290" t="s">
        <v>412</v>
      </c>
      <c r="D62" s="291">
        <f>150*BCNXT!J16</f>
        <v>21270580.696015276</v>
      </c>
      <c r="F62" s="179" t="s">
        <v>415</v>
      </c>
    </row>
    <row r="64" spans="1:6">
      <c r="A64" s="193" t="s">
        <v>414</v>
      </c>
    </row>
    <row r="65" spans="1:6">
      <c r="B65" s="289" t="s">
        <v>377</v>
      </c>
      <c r="D65" s="291">
        <v>100000000</v>
      </c>
    </row>
    <row r="66" spans="1:6">
      <c r="B66" s="290" t="s">
        <v>378</v>
      </c>
      <c r="D66" s="291">
        <v>100000000</v>
      </c>
      <c r="F66" s="179" t="s">
        <v>386</v>
      </c>
    </row>
    <row r="68" spans="1:6">
      <c r="A68" s="193" t="s">
        <v>416</v>
      </c>
    </row>
    <row r="69" spans="1:6">
      <c r="B69" s="289" t="s">
        <v>420</v>
      </c>
      <c r="D69" s="291">
        <f>20000*220000</f>
        <v>4400000000</v>
      </c>
    </row>
    <row r="70" spans="1:6">
      <c r="B70" s="289" t="s">
        <v>424</v>
      </c>
      <c r="D70" s="291">
        <f>10000*55000</f>
        <v>550000000</v>
      </c>
    </row>
    <row r="71" spans="1:6">
      <c r="B71" s="289" t="s">
        <v>425</v>
      </c>
      <c r="D71" s="291">
        <f>2500*30000</f>
        <v>75000000</v>
      </c>
    </row>
    <row r="72" spans="1:6">
      <c r="B72" s="289" t="s">
        <v>572</v>
      </c>
      <c r="D72" s="291">
        <f>SUM(D69:D71)*10%</f>
        <v>502500000</v>
      </c>
    </row>
    <row r="73" spans="1:6">
      <c r="B73" s="290" t="s">
        <v>421</v>
      </c>
      <c r="D73" s="291">
        <f>SUM(D69:D72)</f>
        <v>5527500000</v>
      </c>
      <c r="F73" s="179" t="s">
        <v>422</v>
      </c>
    </row>
    <row r="75" spans="1:6">
      <c r="A75" s="193" t="s">
        <v>423</v>
      </c>
    </row>
    <row r="76" spans="1:6">
      <c r="B76" s="289" t="s">
        <v>373</v>
      </c>
      <c r="D76" s="291">
        <v>40000000</v>
      </c>
    </row>
    <row r="77" spans="1:6">
      <c r="B77" s="289" t="s">
        <v>572</v>
      </c>
      <c r="D77" s="291">
        <v>4000000</v>
      </c>
    </row>
    <row r="78" spans="1:6">
      <c r="B78" s="290" t="s">
        <v>426</v>
      </c>
      <c r="D78" s="291">
        <v>44000000</v>
      </c>
      <c r="F78" s="179" t="s">
        <v>427</v>
      </c>
    </row>
    <row r="80" spans="1:6">
      <c r="A80" s="193" t="s">
        <v>429</v>
      </c>
    </row>
    <row r="81" spans="1:6">
      <c r="B81" s="289" t="s">
        <v>442</v>
      </c>
      <c r="D81" s="291">
        <v>660000000</v>
      </c>
    </row>
    <row r="82" spans="1:6">
      <c r="B82" s="290" t="s">
        <v>443</v>
      </c>
      <c r="D82" s="291">
        <v>600000000</v>
      </c>
    </row>
    <row r="83" spans="1:6">
      <c r="B83" s="290" t="s">
        <v>399</v>
      </c>
      <c r="D83" s="291">
        <v>60000000</v>
      </c>
    </row>
    <row r="85" spans="1:6">
      <c r="B85" s="289" t="s">
        <v>444</v>
      </c>
      <c r="D85" s="291">
        <v>340000000</v>
      </c>
    </row>
    <row r="86" spans="1:6">
      <c r="B86" s="289" t="s">
        <v>445</v>
      </c>
      <c r="D86" s="291">
        <v>510000000</v>
      </c>
      <c r="F86" s="179" t="s">
        <v>447</v>
      </c>
    </row>
    <row r="87" spans="1:6">
      <c r="B87" s="290" t="s">
        <v>446</v>
      </c>
      <c r="D87" s="291">
        <v>850000000</v>
      </c>
      <c r="F87" s="179" t="s">
        <v>448</v>
      </c>
    </row>
    <row r="89" spans="1:6">
      <c r="A89" s="193" t="s">
        <v>430</v>
      </c>
    </row>
    <row r="90" spans="1:6">
      <c r="A90" s="193"/>
    </row>
    <row r="91" spans="1:6">
      <c r="B91" s="289" t="s">
        <v>431</v>
      </c>
      <c r="D91" s="291">
        <f>D92+D93</f>
        <v>757857142.85714293</v>
      </c>
    </row>
    <row r="92" spans="1:6">
      <c r="B92" s="290" t="s">
        <v>435</v>
      </c>
      <c r="D92" s="291">
        <f>3000*BCNXT!J8</f>
        <v>640000000</v>
      </c>
    </row>
    <row r="93" spans="1:6">
      <c r="B93" s="290" t="s">
        <v>437</v>
      </c>
      <c r="D93" s="291">
        <f>2500*BCNXT!J10</f>
        <v>117857142.85714287</v>
      </c>
      <c r="F93" s="178"/>
    </row>
    <row r="95" spans="1:6">
      <c r="B95" s="289" t="s">
        <v>432</v>
      </c>
      <c r="D95" s="291">
        <f>D96+D97</f>
        <v>710714285.71428573</v>
      </c>
    </row>
    <row r="96" spans="1:6">
      <c r="B96" s="290" t="s">
        <v>435</v>
      </c>
      <c r="D96" s="291">
        <f>3000*BCNXT!J8</f>
        <v>640000000</v>
      </c>
    </row>
    <row r="97" spans="1:6">
      <c r="B97" s="290" t="s">
        <v>437</v>
      </c>
      <c r="D97" s="291">
        <f>1500*BCNXT!J10</f>
        <v>70714285.714285716</v>
      </c>
    </row>
    <row r="99" spans="1:6">
      <c r="B99" s="289" t="s">
        <v>433</v>
      </c>
      <c r="D99" s="291">
        <f>D100+D101</f>
        <v>252142857.14285713</v>
      </c>
    </row>
    <row r="100" spans="1:6">
      <c r="B100" s="290" t="s">
        <v>436</v>
      </c>
      <c r="D100" s="291">
        <f>2000*BCNXT!J9</f>
        <v>205000000</v>
      </c>
    </row>
    <row r="101" spans="1:6">
      <c r="B101" s="290" t="s">
        <v>437</v>
      </c>
      <c r="D101" s="291">
        <f>1000*BCNXT!J10</f>
        <v>47142857.142857142</v>
      </c>
    </row>
    <row r="103" spans="1:6">
      <c r="B103" s="289" t="s">
        <v>434</v>
      </c>
      <c r="D103" s="291">
        <f>D104+D105</f>
        <v>504285714.28571427</v>
      </c>
    </row>
    <row r="104" spans="1:6">
      <c r="B104" s="290" t="s">
        <v>436</v>
      </c>
      <c r="D104" s="291">
        <f>4000*BCNXT!J9</f>
        <v>410000000</v>
      </c>
    </row>
    <row r="105" spans="1:6">
      <c r="B105" s="290" t="s">
        <v>437</v>
      </c>
      <c r="D105" s="291">
        <f>2000*BCNXT!J10</f>
        <v>94285714.285714284</v>
      </c>
      <c r="F105" s="179" t="s">
        <v>438</v>
      </c>
    </row>
    <row r="107" spans="1:6">
      <c r="A107" s="193" t="s">
        <v>449</v>
      </c>
    </row>
    <row r="108" spans="1:6">
      <c r="B108" s="289" t="s">
        <v>450</v>
      </c>
      <c r="D108" s="291">
        <v>5000000</v>
      </c>
    </row>
    <row r="109" spans="1:6">
      <c r="B109" s="289" t="s">
        <v>451</v>
      </c>
      <c r="D109" s="291">
        <v>10000000</v>
      </c>
    </row>
    <row r="110" spans="1:6">
      <c r="B110" s="289" t="s">
        <v>452</v>
      </c>
      <c r="D110" s="291">
        <v>25000000</v>
      </c>
    </row>
    <row r="111" spans="1:6">
      <c r="B111" s="289" t="s">
        <v>572</v>
      </c>
      <c r="D111" s="291">
        <v>4000000</v>
      </c>
    </row>
    <row r="112" spans="1:6">
      <c r="B112" s="290" t="s">
        <v>372</v>
      </c>
      <c r="D112" s="291">
        <v>44000000</v>
      </c>
      <c r="F112" s="179" t="s">
        <v>453</v>
      </c>
    </row>
    <row r="114" spans="1:8">
      <c r="A114" s="193" t="s">
        <v>454</v>
      </c>
    </row>
    <row r="115" spans="1:8">
      <c r="B115" s="289" t="s">
        <v>451</v>
      </c>
      <c r="D115" s="291">
        <v>9000000</v>
      </c>
    </row>
    <row r="116" spans="1:8">
      <c r="B116" s="289" t="s">
        <v>572</v>
      </c>
      <c r="D116" s="291">
        <v>900000</v>
      </c>
    </row>
    <row r="117" spans="1:8">
      <c r="B117" s="290" t="s">
        <v>372</v>
      </c>
      <c r="D117" s="291">
        <v>9900000</v>
      </c>
      <c r="F117" s="179" t="s">
        <v>455</v>
      </c>
    </row>
    <row r="119" spans="1:8">
      <c r="A119" s="193" t="s">
        <v>456</v>
      </c>
    </row>
    <row r="120" spans="1:8">
      <c r="B120" s="289" t="s">
        <v>459</v>
      </c>
      <c r="D120" s="291">
        <f>LUONG2!L11</f>
        <v>74396296</v>
      </c>
    </row>
    <row r="121" spans="1:8">
      <c r="B121" s="289" t="s">
        <v>452</v>
      </c>
      <c r="C121" s="208"/>
      <c r="D121" s="291">
        <f>LUONG2!L9</f>
        <v>12275000</v>
      </c>
      <c r="G121" s="178">
        <v>627</v>
      </c>
      <c r="H121" s="179">
        <f>D121+D127+D110</f>
        <v>38325000</v>
      </c>
    </row>
    <row r="122" spans="1:8">
      <c r="B122" s="289" t="s">
        <v>450</v>
      </c>
      <c r="D122" s="291">
        <f>LUONG1!L20</f>
        <v>53958334</v>
      </c>
      <c r="G122" s="178">
        <v>622</v>
      </c>
      <c r="H122" s="179">
        <f>D120+D126</f>
        <v>81116296</v>
      </c>
    </row>
    <row r="123" spans="1:8">
      <c r="B123" s="289" t="s">
        <v>451</v>
      </c>
      <c r="D123" s="291">
        <f>LUONG1!L10</f>
        <v>168210185</v>
      </c>
    </row>
    <row r="124" spans="1:8">
      <c r="B124" s="290" t="s">
        <v>460</v>
      </c>
      <c r="D124" s="293">
        <f>SUM(D120:D123)</f>
        <v>308839815</v>
      </c>
      <c r="G124" s="209"/>
    </row>
    <row r="126" spans="1:8">
      <c r="B126" s="289" t="s">
        <v>459</v>
      </c>
      <c r="D126" s="291">
        <f>LUONG2!P11</f>
        <v>6720000</v>
      </c>
    </row>
    <row r="127" spans="1:8">
      <c r="B127" s="289" t="s">
        <v>452</v>
      </c>
      <c r="C127" s="208"/>
      <c r="D127" s="291">
        <f>LUONG2!P9</f>
        <v>1050000</v>
      </c>
    </row>
    <row r="128" spans="1:8">
      <c r="B128" s="289" t="s">
        <v>450</v>
      </c>
      <c r="D128" s="291">
        <f>LUONG1!P20</f>
        <v>5040000</v>
      </c>
    </row>
    <row r="129" spans="1:13">
      <c r="B129" s="289" t="s">
        <v>451</v>
      </c>
      <c r="D129" s="291">
        <f>LUONG1!P10</f>
        <v>14805000</v>
      </c>
    </row>
    <row r="130" spans="1:13">
      <c r="B130" s="289" t="s">
        <v>467</v>
      </c>
      <c r="D130" s="291">
        <f>'Bang PB TL va BHXH'!K16</f>
        <v>61805000</v>
      </c>
    </row>
    <row r="131" spans="1:13">
      <c r="B131" s="290" t="s">
        <v>524</v>
      </c>
      <c r="D131" s="291">
        <f>SUM(D126:D130)</f>
        <v>89420000</v>
      </c>
      <c r="F131" s="179" t="s">
        <v>501</v>
      </c>
    </row>
    <row r="132" spans="1:13">
      <c r="B132" s="290" t="s">
        <v>577</v>
      </c>
    </row>
    <row r="133" spans="1:13">
      <c r="B133" s="613" t="s">
        <v>467</v>
      </c>
      <c r="D133" s="291">
        <f>LUONG1!V25+LUONG2!U20</f>
        <v>1626666.7</v>
      </c>
    </row>
    <row r="134" spans="1:13">
      <c r="B134" s="290" t="s">
        <v>578</v>
      </c>
      <c r="D134" s="291">
        <f>D133</f>
        <v>1626666.7</v>
      </c>
    </row>
    <row r="135" spans="1:13">
      <c r="B135" s="290"/>
    </row>
    <row r="136" spans="1:13">
      <c r="B136" s="290"/>
    </row>
    <row r="138" spans="1:13">
      <c r="A138" s="193" t="s">
        <v>461</v>
      </c>
    </row>
    <row r="139" spans="1:13" ht="18.75">
      <c r="A139" s="283" t="s">
        <v>5</v>
      </c>
      <c r="B139" s="289" t="s">
        <v>471</v>
      </c>
      <c r="D139" s="294"/>
      <c r="E139" s="319" t="s">
        <v>561</v>
      </c>
      <c r="F139" s="319"/>
      <c r="G139" s="319"/>
      <c r="H139" s="179">
        <f>D91*(D120+D126)/(D91+D95+D99+D103)</f>
        <v>27629017.674478333</v>
      </c>
      <c r="J139" s="282"/>
      <c r="K139" s="179"/>
    </row>
    <row r="140" spans="1:13">
      <c r="B140" s="290"/>
      <c r="F140" s="179" t="s">
        <v>560</v>
      </c>
      <c r="I140" s="286"/>
      <c r="K140" s="179"/>
    </row>
    <row r="141" spans="1:13">
      <c r="B141" s="290"/>
      <c r="I141" s="286"/>
      <c r="K141" s="179"/>
    </row>
    <row r="142" spans="1:13" ht="18.75">
      <c r="B142" s="289" t="s">
        <v>472</v>
      </c>
      <c r="D142" s="294"/>
      <c r="E142" s="319" t="s">
        <v>562</v>
      </c>
      <c r="F142" s="319"/>
      <c r="G142" s="319"/>
      <c r="H142" s="179">
        <f>D95*(D120+D126)/(D91+D95+D99+D103)</f>
        <v>25910341.739967898</v>
      </c>
      <c r="I142" s="286"/>
      <c r="K142" s="179"/>
      <c r="M142" s="282"/>
    </row>
    <row r="143" spans="1:13">
      <c r="B143" s="290"/>
      <c r="F143" s="179" t="s">
        <v>560</v>
      </c>
      <c r="I143" s="286"/>
      <c r="K143" s="179"/>
    </row>
    <row r="145" spans="1:8" ht="18.75">
      <c r="B145" s="289" t="s">
        <v>473</v>
      </c>
      <c r="E145" s="319" t="s">
        <v>563</v>
      </c>
      <c r="F145" s="319"/>
      <c r="G145" s="319"/>
      <c r="H145" s="179">
        <f>D99*(D120+D126)/(D91+D95+D99+D103)</f>
        <v>9192312.1951845903</v>
      </c>
    </row>
    <row r="146" spans="1:8">
      <c r="B146" s="290"/>
      <c r="F146" s="179" t="s">
        <v>560</v>
      </c>
    </row>
    <row r="147" spans="1:8">
      <c r="B147" s="290"/>
    </row>
    <row r="148" spans="1:8" ht="18.75">
      <c r="B148" s="289" t="s">
        <v>474</v>
      </c>
      <c r="E148" s="319" t="s">
        <v>564</v>
      </c>
      <c r="F148" s="319"/>
      <c r="G148" s="319"/>
      <c r="H148" s="179">
        <f>D103*(D120+D126)/(D91+D95+D99+D103)</f>
        <v>18384624.390369181</v>
      </c>
    </row>
    <row r="149" spans="1:8">
      <c r="B149" s="290"/>
      <c r="F149" s="179" t="s">
        <v>560</v>
      </c>
    </row>
    <row r="151" spans="1:8" ht="18.75">
      <c r="A151" s="284" t="s">
        <v>6</v>
      </c>
      <c r="B151" s="289" t="s">
        <v>475</v>
      </c>
      <c r="E151" s="319" t="s">
        <v>565</v>
      </c>
      <c r="F151" s="319"/>
      <c r="G151" s="319"/>
      <c r="H151" s="179">
        <f>$D$91*($D$121+$D$127+$D$110)/($D$91+$D$95+$D$99+$D$103)</f>
        <v>13053876.404494384</v>
      </c>
    </row>
    <row r="152" spans="1:8">
      <c r="B152" s="290"/>
      <c r="F152" s="179" t="s">
        <v>560</v>
      </c>
    </row>
    <row r="154" spans="1:8" ht="18.75">
      <c r="B154" s="289" t="s">
        <v>476</v>
      </c>
      <c r="E154" s="319" t="s">
        <v>566</v>
      </c>
      <c r="F154" s="319"/>
      <c r="G154" s="319"/>
      <c r="H154" s="179">
        <f>$D$95*($D$121+$D$127+$D$110)/($D$91+$D$95+$D$99+$D$103)</f>
        <v>12241853.932584269</v>
      </c>
    </row>
    <row r="155" spans="1:8">
      <c r="B155" s="290"/>
      <c r="F155" s="179" t="s">
        <v>560</v>
      </c>
    </row>
    <row r="157" spans="1:8" ht="18.75">
      <c r="B157" s="289" t="s">
        <v>477</v>
      </c>
      <c r="E157" s="319" t="s">
        <v>567</v>
      </c>
      <c r="F157" s="319"/>
      <c r="G157" s="319"/>
      <c r="H157" s="179">
        <f>D99*($D$121+$D$127+$D$110)/($D$91+$D$95+$D$99+$D$103)</f>
        <v>4343089.8876404492</v>
      </c>
    </row>
    <row r="158" spans="1:8">
      <c r="F158" s="179" t="s">
        <v>560</v>
      </c>
    </row>
    <row r="160" spans="1:8" ht="18.75">
      <c r="B160" s="289" t="s">
        <v>478</v>
      </c>
      <c r="E160" s="319" t="s">
        <v>568</v>
      </c>
      <c r="F160" s="319"/>
      <c r="G160" s="319"/>
      <c r="H160" s="179">
        <f>D103*($D$121+$D$127+$D$110)/($D$91+$D$95+$D$99+$D$103)</f>
        <v>8686179.7752808984</v>
      </c>
    </row>
    <row r="161" spans="2:8">
      <c r="F161" s="179" t="s">
        <v>560</v>
      </c>
    </row>
    <row r="163" spans="2:8">
      <c r="B163" s="289" t="s">
        <v>462</v>
      </c>
      <c r="D163" s="291">
        <f>SUM(D164:D166)</f>
        <v>798540036.93611562</v>
      </c>
      <c r="H163" s="285"/>
    </row>
    <row r="164" spans="2:8">
      <c r="B164" s="290" t="s">
        <v>463</v>
      </c>
      <c r="D164" s="291">
        <f>D91</f>
        <v>757857142.85714293</v>
      </c>
      <c r="H164" s="281"/>
    </row>
    <row r="165" spans="2:8">
      <c r="B165" s="290" t="s">
        <v>479</v>
      </c>
      <c r="D165" s="291">
        <f>H139</f>
        <v>27629017.674478333</v>
      </c>
    </row>
    <row r="166" spans="2:8">
      <c r="B166" s="290" t="s">
        <v>480</v>
      </c>
      <c r="D166" s="291">
        <f>H151</f>
        <v>13053876.404494384</v>
      </c>
    </row>
    <row r="168" spans="2:8">
      <c r="B168" s="289" t="s">
        <v>468</v>
      </c>
      <c r="D168" s="291">
        <f>SUM(D169:D171)</f>
        <v>748866481.38683796</v>
      </c>
      <c r="H168" s="287"/>
    </row>
    <row r="169" spans="2:8">
      <c r="B169" s="290" t="s">
        <v>464</v>
      </c>
      <c r="D169" s="291">
        <f>D95</f>
        <v>710714285.71428573</v>
      </c>
      <c r="H169" s="281"/>
    </row>
    <row r="170" spans="2:8">
      <c r="B170" s="290" t="s">
        <v>481</v>
      </c>
      <c r="D170" s="291">
        <f>H142</f>
        <v>25910341.739967898</v>
      </c>
    </row>
    <row r="171" spans="2:8">
      <c r="B171" s="290" t="s">
        <v>482</v>
      </c>
      <c r="D171" s="291">
        <f>H154</f>
        <v>12241853.932584269</v>
      </c>
    </row>
    <row r="173" spans="2:8">
      <c r="B173" s="289" t="s">
        <v>469</v>
      </c>
      <c r="D173" s="291">
        <f>SUM(D174:D176)</f>
        <v>265678259.22568217</v>
      </c>
      <c r="H173" s="287"/>
    </row>
    <row r="174" spans="2:8">
      <c r="B174" s="290" t="s">
        <v>465</v>
      </c>
      <c r="D174" s="291">
        <f>D99</f>
        <v>252142857.14285713</v>
      </c>
      <c r="H174" s="281"/>
    </row>
    <row r="175" spans="2:8">
      <c r="B175" s="290" t="s">
        <v>483</v>
      </c>
      <c r="D175" s="291">
        <f>H145</f>
        <v>9192312.1951845903</v>
      </c>
    </row>
    <row r="176" spans="2:8">
      <c r="B176" s="290" t="s">
        <v>484</v>
      </c>
      <c r="D176" s="291">
        <f>H157</f>
        <v>4343089.8876404492</v>
      </c>
    </row>
    <row r="178" spans="1:9" ht="18.75">
      <c r="B178" s="289" t="s">
        <v>485</v>
      </c>
      <c r="D178" s="291">
        <f>SUM(D179:D181)</f>
        <v>531356518.45136434</v>
      </c>
      <c r="H178" s="280"/>
    </row>
    <row r="179" spans="1:9">
      <c r="B179" s="290" t="s">
        <v>466</v>
      </c>
      <c r="D179" s="291">
        <f>D103</f>
        <v>504285714.28571427</v>
      </c>
      <c r="H179" s="288"/>
    </row>
    <row r="180" spans="1:9">
      <c r="B180" s="290" t="s">
        <v>486</v>
      </c>
      <c r="D180" s="291">
        <f>H148</f>
        <v>18384624.390369181</v>
      </c>
    </row>
    <row r="181" spans="1:9">
      <c r="B181" s="290" t="s">
        <v>487</v>
      </c>
      <c r="D181" s="291">
        <f>H160</f>
        <v>8686179.7752808984</v>
      </c>
    </row>
    <row r="183" spans="1:9">
      <c r="A183" s="284" t="s">
        <v>7</v>
      </c>
      <c r="B183" s="295" t="s">
        <v>492</v>
      </c>
    </row>
    <row r="185" spans="1:9" ht="18.75">
      <c r="B185" s="289" t="s">
        <v>493</v>
      </c>
      <c r="D185" s="291">
        <f>D163</f>
        <v>798540036.93611562</v>
      </c>
      <c r="F185" s="179" t="s">
        <v>488</v>
      </c>
      <c r="H185" s="280">
        <f>D185</f>
        <v>798540036.93611562</v>
      </c>
      <c r="I185" s="179">
        <f>H185/H186</f>
        <v>319416.01477444626</v>
      </c>
    </row>
    <row r="186" spans="1:9">
      <c r="B186" s="290" t="s">
        <v>494</v>
      </c>
      <c r="D186" s="291">
        <f>D185</f>
        <v>798540036.93611562</v>
      </c>
      <c r="H186" s="179">
        <v>2500</v>
      </c>
    </row>
    <row r="188" spans="1:9" ht="18.75">
      <c r="B188" s="289" t="s">
        <v>495</v>
      </c>
      <c r="D188" s="291">
        <f>D168</f>
        <v>748866481.38683796</v>
      </c>
      <c r="F188" s="179" t="s">
        <v>489</v>
      </c>
      <c r="H188" s="280">
        <f>D188</f>
        <v>748866481.38683796</v>
      </c>
      <c r="I188" s="179">
        <f>H188/H189</f>
        <v>249622.16046227931</v>
      </c>
    </row>
    <row r="189" spans="1:9">
      <c r="B189" s="290" t="s">
        <v>496</v>
      </c>
      <c r="D189" s="291">
        <f>D168</f>
        <v>748866481.38683796</v>
      </c>
      <c r="H189" s="179">
        <v>3000</v>
      </c>
    </row>
    <row r="191" spans="1:9" ht="18.75">
      <c r="B191" s="289" t="s">
        <v>497</v>
      </c>
      <c r="D191" s="291">
        <f>D173</f>
        <v>265678259.22568217</v>
      </c>
      <c r="F191" s="179" t="s">
        <v>490</v>
      </c>
      <c r="H191" s="280">
        <f>D191</f>
        <v>265678259.22568217</v>
      </c>
      <c r="I191" s="179">
        <f>H191/H192</f>
        <v>132839.12961284109</v>
      </c>
    </row>
    <row r="192" spans="1:9">
      <c r="B192" s="290" t="s">
        <v>498</v>
      </c>
      <c r="D192" s="291">
        <f>D173</f>
        <v>265678259.22568217</v>
      </c>
      <c r="H192" s="179">
        <v>2000</v>
      </c>
    </row>
    <row r="194" spans="1:9" ht="18.75">
      <c r="B194" s="289" t="s">
        <v>499</v>
      </c>
      <c r="D194" s="291">
        <f>D178</f>
        <v>531356518.45136434</v>
      </c>
      <c r="F194" s="179" t="s">
        <v>491</v>
      </c>
      <c r="H194" s="280">
        <f>D194</f>
        <v>531356518.45136434</v>
      </c>
      <c r="I194" s="179">
        <f>H194/H195</f>
        <v>132839.12961284109</v>
      </c>
    </row>
    <row r="195" spans="1:9">
      <c r="B195" s="290" t="s">
        <v>500</v>
      </c>
      <c r="D195" s="291">
        <f>D178</f>
        <v>531356518.45136434</v>
      </c>
      <c r="H195" s="179">
        <v>4000</v>
      </c>
    </row>
    <row r="198" spans="1:9">
      <c r="A198" s="193" t="s">
        <v>502</v>
      </c>
      <c r="B198" s="295" t="s">
        <v>503</v>
      </c>
    </row>
    <row r="199" spans="1:9">
      <c r="A199" s="193"/>
      <c r="B199" s="295" t="s">
        <v>569</v>
      </c>
    </row>
    <row r="200" spans="1:9">
      <c r="A200" s="193"/>
      <c r="B200" s="289" t="s">
        <v>570</v>
      </c>
      <c r="D200" s="291">
        <f>F201</f>
        <v>160675000</v>
      </c>
      <c r="F200" s="179">
        <f>SUMIF($B$7:$B$131,B11,D7:$D$131)</f>
        <v>698940000</v>
      </c>
    </row>
    <row r="201" spans="1:9">
      <c r="A201" s="193"/>
      <c r="B201" s="289" t="s">
        <v>571</v>
      </c>
      <c r="D201" s="291">
        <f>F201</f>
        <v>160675000</v>
      </c>
      <c r="F201" s="179">
        <f>SUMIF($B$7:$B$131,"*Có TK 3331",$D$7:$D$131)</f>
        <v>160675000</v>
      </c>
    </row>
    <row r="202" spans="1:9">
      <c r="A202" s="193"/>
    </row>
    <row r="203" spans="1:9">
      <c r="A203" s="193"/>
      <c r="B203" s="295" t="s">
        <v>573</v>
      </c>
    </row>
    <row r="204" spans="1:9">
      <c r="A204" s="193"/>
      <c r="B204" s="289" t="s">
        <v>450</v>
      </c>
      <c r="D204" s="291">
        <f>'Bang PB CPTT'!H11</f>
        <v>10000000</v>
      </c>
    </row>
    <row r="205" spans="1:9">
      <c r="A205" s="193"/>
      <c r="B205" s="289" t="s">
        <v>451</v>
      </c>
      <c r="D205" s="291">
        <f>'Bang PB CPTT'!H9</f>
        <v>20000000</v>
      </c>
    </row>
    <row r="206" spans="1:9">
      <c r="A206" s="193"/>
      <c r="B206" s="289" t="s">
        <v>574</v>
      </c>
      <c r="D206" s="291">
        <f>D204+D205</f>
        <v>30000000</v>
      </c>
    </row>
    <row r="207" spans="1:9">
      <c r="A207" s="193"/>
      <c r="B207" s="295" t="s">
        <v>575</v>
      </c>
    </row>
    <row r="208" spans="1:9">
      <c r="A208" s="193"/>
      <c r="B208" s="289" t="s">
        <v>452</v>
      </c>
      <c r="D208" s="291">
        <f>'Bang PBCCDC'!K22</f>
        <v>8016666.666666667</v>
      </c>
    </row>
    <row r="209" spans="1:4">
      <c r="A209" s="193"/>
      <c r="B209" s="289" t="s">
        <v>450</v>
      </c>
      <c r="D209" s="291">
        <f>'Bang PBCCDC'!K16</f>
        <v>4566666.666666666</v>
      </c>
    </row>
    <row r="210" spans="1:4">
      <c r="A210" s="193"/>
      <c r="B210" s="289" t="s">
        <v>451</v>
      </c>
      <c r="D210" s="291">
        <f>'Bang PBCCDC'!K9</f>
        <v>9083333.3333333321</v>
      </c>
    </row>
    <row r="211" spans="1:4">
      <c r="A211" s="193"/>
      <c r="B211" s="289" t="s">
        <v>574</v>
      </c>
      <c r="D211" s="291">
        <f>D208+D209+D210</f>
        <v>21666666.666666664</v>
      </c>
    </row>
    <row r="212" spans="1:4">
      <c r="A212" s="193"/>
      <c r="B212" s="295" t="s">
        <v>576</v>
      </c>
    </row>
    <row r="213" spans="1:4">
      <c r="A213" s="193"/>
      <c r="B213" s="289" t="s">
        <v>452</v>
      </c>
      <c r="D213" s="291">
        <f>'Bang KHTSCD'!J15</f>
        <v>18787500</v>
      </c>
    </row>
    <row r="214" spans="1:4">
      <c r="A214" s="193"/>
      <c r="B214" s="289" t="s">
        <v>450</v>
      </c>
      <c r="D214" s="291">
        <f>'Bang KHTSCD'!J12</f>
        <v>13136666</v>
      </c>
    </row>
    <row r="215" spans="1:4">
      <c r="A215" s="193"/>
      <c r="B215" s="289" t="s">
        <v>451</v>
      </c>
      <c r="D215" s="291">
        <f>'Bang KHTSCD'!J9</f>
        <v>12701613.129032258</v>
      </c>
    </row>
    <row r="216" spans="1:4">
      <c r="B216" s="289" t="s">
        <v>574</v>
      </c>
      <c r="D216" s="291">
        <f>D213+D214+D215</f>
        <v>44625779.129032254</v>
      </c>
    </row>
    <row r="217" spans="1:4">
      <c r="B217" s="295" t="s">
        <v>506</v>
      </c>
    </row>
    <row r="218" spans="1:4">
      <c r="B218" s="289" t="s">
        <v>507</v>
      </c>
      <c r="D218" s="291">
        <v>1006750000</v>
      </c>
    </row>
    <row r="219" spans="1:4">
      <c r="B219" s="289" t="s">
        <v>508</v>
      </c>
      <c r="D219" s="291">
        <v>600000000</v>
      </c>
    </row>
    <row r="220" spans="1:4">
      <c r="B220" s="290" t="s">
        <v>509</v>
      </c>
      <c r="D220" s="291">
        <v>1606750000</v>
      </c>
    </row>
    <row r="222" spans="1:4">
      <c r="B222" s="295" t="s">
        <v>510</v>
      </c>
    </row>
    <row r="223" spans="1:4">
      <c r="B223" s="289" t="s">
        <v>511</v>
      </c>
      <c r="D223" s="291">
        <f>SUM(D224:D227)</f>
        <v>1405030662.0698299</v>
      </c>
    </row>
    <row r="224" spans="1:4">
      <c r="B224" s="290" t="s">
        <v>512</v>
      </c>
      <c r="D224" s="291">
        <f>SUMIF($B$7:$B$131,B58,$D$7:$D$131)</f>
        <v>559528863.94079769</v>
      </c>
    </row>
    <row r="225" spans="2:6">
      <c r="B225" s="290" t="s">
        <v>513</v>
      </c>
      <c r="D225" s="291">
        <f>SUMIF($B$7:$B$131,B128,$D$7:$D$131)+D204+D209+D214</f>
        <v>91701666.666666672</v>
      </c>
      <c r="F225" s="179">
        <f>D108+D122+D128+D204+D209+D214</f>
        <v>91701666.666666672</v>
      </c>
    </row>
    <row r="226" spans="2:6">
      <c r="B226" s="290" t="s">
        <v>514</v>
      </c>
      <c r="D226" s="291">
        <f>SUMIF($B$7:$B$131,B129,$D$7:$D$131)+D205+D210+D215</f>
        <v>243800131.4623656</v>
      </c>
    </row>
    <row r="227" spans="2:6">
      <c r="B227" s="290" t="s">
        <v>515</v>
      </c>
      <c r="D227" s="291">
        <f>SUMIF($B$7:$B$131,B86,$D$7:$D$131)</f>
        <v>510000000</v>
      </c>
    </row>
    <row r="229" spans="2:6">
      <c r="B229" s="295" t="s">
        <v>516</v>
      </c>
    </row>
    <row r="230" spans="2:6">
      <c r="B230" s="289" t="s">
        <v>517</v>
      </c>
      <c r="D230" s="291">
        <f>(D220-D223)*20%</f>
        <v>40343867.586034015</v>
      </c>
    </row>
    <row r="231" spans="2:6">
      <c r="B231" s="290" t="s">
        <v>518</v>
      </c>
      <c r="D231" s="291">
        <f>D230</f>
        <v>40343867.586034015</v>
      </c>
    </row>
    <row r="233" spans="2:6">
      <c r="B233" s="295" t="s">
        <v>519</v>
      </c>
    </row>
    <row r="234" spans="2:6">
      <c r="B234" s="289" t="s">
        <v>511</v>
      </c>
      <c r="D234" s="291">
        <f>D230</f>
        <v>40343867.586034015</v>
      </c>
    </row>
    <row r="235" spans="2:6">
      <c r="B235" s="290" t="s">
        <v>520</v>
      </c>
      <c r="D235" s="291">
        <f>D230</f>
        <v>40343867.586034015</v>
      </c>
    </row>
    <row r="237" spans="2:6">
      <c r="B237" s="295" t="s">
        <v>521</v>
      </c>
    </row>
    <row r="238" spans="2:6">
      <c r="B238" s="289" t="s">
        <v>511</v>
      </c>
      <c r="D238" s="291">
        <f>(D220-D223)*80%</f>
        <v>161375470.34413606</v>
      </c>
    </row>
    <row r="239" spans="2:6">
      <c r="B239" s="290" t="s">
        <v>522</v>
      </c>
      <c r="D239" s="291">
        <f>D238</f>
        <v>161375470.34413606</v>
      </c>
    </row>
  </sheetData>
  <autoFilter ref="A6:M6"/>
  <mergeCells count="10">
    <mergeCell ref="E145:G145"/>
    <mergeCell ref="E148:G148"/>
    <mergeCell ref="A1:C1"/>
    <mergeCell ref="E151:G151"/>
    <mergeCell ref="E154:G154"/>
    <mergeCell ref="E157:G157"/>
    <mergeCell ref="E160:G160"/>
    <mergeCell ref="A4:F4"/>
    <mergeCell ref="E139:G139"/>
    <mergeCell ref="E142:G142"/>
  </mergeCells>
  <conditionalFormatting sqref="B76:B78">
    <cfRule type="duplicateValues" dxfId="1" priority="2"/>
  </conditionalFormatting>
  <conditionalFormatting sqref="B85:B87">
    <cfRule type="duplicateValues" dxfId="0" priority="1"/>
  </conditionalFormatting>
  <pageMargins left="0.7" right="0.7" top="0.75" bottom="0.75" header="0.3" footer="0.3"/>
  <pageSetup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5"/>
  <sheetViews>
    <sheetView topLeftCell="A4" zoomScaleNormal="100" workbookViewId="0">
      <selection activeCell="K11" sqref="K11"/>
    </sheetView>
  </sheetViews>
  <sheetFormatPr defaultColWidth="2.85546875" defaultRowHeight="12.75"/>
  <cols>
    <col min="1" max="1" width="2.85546875" style="77" customWidth="1"/>
    <col min="2" max="2" width="8.7109375" style="77" customWidth="1"/>
    <col min="3" max="3" width="22.85546875" style="77" customWidth="1"/>
    <col min="4" max="4" width="15.7109375" style="120" customWidth="1"/>
    <col min="5" max="5" width="11.28515625" style="120" customWidth="1"/>
    <col min="6" max="6" width="12.28515625" style="120" customWidth="1"/>
    <col min="7" max="7" width="10.85546875" style="120" customWidth="1"/>
    <col min="8" max="8" width="11.42578125" style="120" customWidth="1"/>
    <col min="9" max="9" width="10.7109375" style="120" customWidth="1"/>
    <col min="10" max="10" width="14.85546875" style="120" customWidth="1"/>
    <col min="11" max="11" width="15.5703125" style="120" customWidth="1"/>
    <col min="12" max="12" width="13" style="120" customWidth="1"/>
    <col min="13" max="255" width="8.7109375" style="77" customWidth="1"/>
    <col min="256" max="16384" width="2.85546875" style="77"/>
  </cols>
  <sheetData>
    <row r="1" spans="1:256" ht="15">
      <c r="A1" s="300" t="s">
        <v>504</v>
      </c>
      <c r="B1" s="79"/>
      <c r="C1" s="79"/>
      <c r="D1" s="79"/>
      <c r="E1" s="79"/>
      <c r="F1" s="121"/>
      <c r="G1" s="121"/>
      <c r="H1" s="121"/>
      <c r="J1" s="135" t="s">
        <v>214</v>
      </c>
      <c r="K1" s="136"/>
    </row>
    <row r="2" spans="1:256" ht="15">
      <c r="A2" s="299" t="s">
        <v>505</v>
      </c>
      <c r="B2" s="79"/>
      <c r="C2" s="79"/>
      <c r="D2" s="79"/>
      <c r="E2" s="79"/>
      <c r="F2" s="121"/>
      <c r="G2" s="121"/>
      <c r="H2" s="121"/>
      <c r="J2" s="137" t="s">
        <v>215</v>
      </c>
      <c r="K2" s="121"/>
    </row>
    <row r="3" spans="1:256">
      <c r="A3" s="79"/>
      <c r="B3" s="16"/>
      <c r="C3" s="16"/>
      <c r="D3" s="121"/>
      <c r="E3" s="121"/>
      <c r="F3" s="121"/>
      <c r="G3" s="121"/>
      <c r="H3" s="121"/>
      <c r="J3" s="137" t="s">
        <v>216</v>
      </c>
      <c r="K3" s="121"/>
    </row>
    <row r="4" spans="1:256">
      <c r="A4" s="16"/>
      <c r="B4" s="16"/>
      <c r="C4" s="16"/>
      <c r="D4" s="121"/>
      <c r="E4" s="121"/>
      <c r="F4" s="121"/>
      <c r="G4" s="121"/>
      <c r="H4" s="121"/>
      <c r="J4" s="137" t="s">
        <v>217</v>
      </c>
      <c r="K4" s="121"/>
    </row>
    <row r="5" spans="1:256">
      <c r="A5" s="321" t="s">
        <v>218</v>
      </c>
      <c r="B5" s="321"/>
      <c r="C5" s="321"/>
      <c r="D5" s="321"/>
      <c r="E5" s="321"/>
      <c r="F5" s="321"/>
      <c r="G5" s="321"/>
      <c r="H5" s="321"/>
      <c r="I5" s="321"/>
      <c r="J5" s="321"/>
      <c r="K5" s="321"/>
    </row>
    <row r="6" spans="1:256">
      <c r="A6" s="322" t="s">
        <v>457</v>
      </c>
      <c r="B6" s="323"/>
      <c r="C6" s="323"/>
      <c r="D6" s="323"/>
      <c r="E6" s="323"/>
      <c r="F6" s="323"/>
      <c r="G6" s="323"/>
      <c r="H6" s="323"/>
      <c r="I6" s="323"/>
      <c r="J6" s="323"/>
      <c r="K6" s="323"/>
    </row>
    <row r="7" spans="1:256">
      <c r="A7" s="16"/>
      <c r="B7" s="16"/>
      <c r="C7" s="16"/>
      <c r="D7" s="121"/>
      <c r="E7" s="121"/>
      <c r="F7" s="121"/>
      <c r="G7" s="121"/>
      <c r="H7" s="121"/>
      <c r="I7" s="121"/>
      <c r="J7" s="121"/>
      <c r="K7" s="121" t="s">
        <v>2</v>
      </c>
    </row>
    <row r="8" spans="1:256">
      <c r="A8" s="335" t="s">
        <v>219</v>
      </c>
      <c r="B8" s="324" t="s">
        <v>220</v>
      </c>
      <c r="C8" s="325"/>
      <c r="D8" s="326" t="s">
        <v>221</v>
      </c>
      <c r="E8" s="326"/>
      <c r="F8" s="326"/>
      <c r="G8" s="327" t="s">
        <v>222</v>
      </c>
      <c r="H8" s="328"/>
      <c r="I8" s="328"/>
      <c r="J8" s="328"/>
      <c r="K8" s="329"/>
      <c r="L8" s="336" t="s">
        <v>223</v>
      </c>
    </row>
    <row r="9" spans="1:256" ht="38.25">
      <c r="A9" s="335"/>
      <c r="B9" s="330" t="s">
        <v>224</v>
      </c>
      <c r="C9" s="331"/>
      <c r="D9" s="122" t="s">
        <v>225</v>
      </c>
      <c r="E9" s="122" t="s">
        <v>226</v>
      </c>
      <c r="F9" s="122" t="s">
        <v>227</v>
      </c>
      <c r="G9" s="122" t="s">
        <v>228</v>
      </c>
      <c r="H9" s="122" t="s">
        <v>229</v>
      </c>
      <c r="I9" s="122" t="s">
        <v>230</v>
      </c>
      <c r="J9" s="122" t="s">
        <v>231</v>
      </c>
      <c r="K9" s="122" t="s">
        <v>232</v>
      </c>
      <c r="L9" s="337"/>
    </row>
    <row r="10" spans="1:256">
      <c r="A10" s="123" t="s">
        <v>5</v>
      </c>
      <c r="B10" s="332" t="s">
        <v>6</v>
      </c>
      <c r="C10" s="332"/>
      <c r="D10" s="124">
        <v>1</v>
      </c>
      <c r="E10" s="124">
        <v>2</v>
      </c>
      <c r="F10" s="124">
        <v>3</v>
      </c>
      <c r="G10" s="124">
        <v>4</v>
      </c>
      <c r="H10" s="124">
        <v>5</v>
      </c>
      <c r="I10" s="124">
        <v>6</v>
      </c>
      <c r="J10" s="124">
        <v>7</v>
      </c>
      <c r="K10" s="124">
        <v>8</v>
      </c>
      <c r="L10" s="124">
        <v>9</v>
      </c>
    </row>
    <row r="11" spans="1:256">
      <c r="A11" s="125">
        <v>1</v>
      </c>
      <c r="B11" s="125" t="s">
        <v>458</v>
      </c>
      <c r="C11" s="125"/>
      <c r="D11" s="126">
        <v>141000000</v>
      </c>
      <c r="E11" s="127">
        <v>0</v>
      </c>
      <c r="F11" s="127">
        <f>D11+E11</f>
        <v>141000000</v>
      </c>
      <c r="G11" s="127">
        <f>F11*2%</f>
        <v>2820000</v>
      </c>
      <c r="H11" s="127">
        <f>D11*17.5%</f>
        <v>24675000</v>
      </c>
      <c r="I11" s="127">
        <f>D11*3%</f>
        <v>4230000</v>
      </c>
      <c r="J11" s="127">
        <f>D11*1%</f>
        <v>1410000</v>
      </c>
      <c r="K11" s="127">
        <f>SUM(G11:J11)</f>
        <v>33135000</v>
      </c>
      <c r="L11" s="129">
        <f>F11+K11</f>
        <v>174135000</v>
      </c>
    </row>
    <row r="12" spans="1:256">
      <c r="A12" s="125">
        <v>2</v>
      </c>
      <c r="B12" s="125" t="s">
        <v>233</v>
      </c>
      <c r="C12" s="125"/>
      <c r="D12" s="127">
        <v>48000000</v>
      </c>
      <c r="E12" s="127">
        <v>0</v>
      </c>
      <c r="F12" s="127">
        <f>D12+E12</f>
        <v>48000000</v>
      </c>
      <c r="G12" s="127">
        <f>F12*2%</f>
        <v>960000</v>
      </c>
      <c r="H12" s="127">
        <f>D12*17.5%</f>
        <v>8400000</v>
      </c>
      <c r="I12" s="127">
        <f>D12*3%</f>
        <v>1440000</v>
      </c>
      <c r="J12" s="127">
        <f>D12*1%</f>
        <v>480000</v>
      </c>
      <c r="K12" s="127">
        <f>SUM(G12:J12)</f>
        <v>11280000</v>
      </c>
      <c r="L12" s="129">
        <f>F12+K12</f>
        <v>59280000</v>
      </c>
    </row>
    <row r="13" spans="1:256">
      <c r="A13" s="125">
        <v>3</v>
      </c>
      <c r="B13" s="125" t="s">
        <v>234</v>
      </c>
      <c r="C13" s="125"/>
      <c r="D13" s="127">
        <v>10000000</v>
      </c>
      <c r="E13" s="127">
        <v>0</v>
      </c>
      <c r="F13" s="127">
        <f>D13+E13</f>
        <v>10000000</v>
      </c>
      <c r="G13" s="127">
        <f>F13*2%</f>
        <v>200000</v>
      </c>
      <c r="H13" s="127">
        <f>D13*17.5%</f>
        <v>1750000</v>
      </c>
      <c r="I13" s="127">
        <f>D13*3%</f>
        <v>300000</v>
      </c>
      <c r="J13" s="127">
        <f>D13*1%</f>
        <v>100000</v>
      </c>
      <c r="K13" s="127">
        <f>SUM(G13:J13)</f>
        <v>2350000</v>
      </c>
      <c r="L13" s="129">
        <f>F13+K13</f>
        <v>12350000</v>
      </c>
    </row>
    <row r="14" spans="1:256">
      <c r="A14" s="125">
        <v>4</v>
      </c>
      <c r="B14" s="125" t="s">
        <v>235</v>
      </c>
      <c r="C14" s="125"/>
      <c r="D14" s="206">
        <v>64000000</v>
      </c>
      <c r="E14" s="127">
        <v>0</v>
      </c>
      <c r="F14" s="127">
        <f>D14+E14</f>
        <v>64000000</v>
      </c>
      <c r="G14" s="127">
        <f>F14*2%</f>
        <v>1280000</v>
      </c>
      <c r="H14" s="127">
        <f>D14*17.5%</f>
        <v>11200000</v>
      </c>
      <c r="I14" s="127">
        <f>D14*3%</f>
        <v>1920000</v>
      </c>
      <c r="J14" s="127">
        <f>D14*1%</f>
        <v>640000</v>
      </c>
      <c r="K14" s="127">
        <f>SUM(G14:J14)</f>
        <v>15040000</v>
      </c>
      <c r="L14" s="129">
        <f>F14+K14</f>
        <v>79040000</v>
      </c>
    </row>
    <row r="15" spans="1:256">
      <c r="A15" s="125">
        <v>5</v>
      </c>
      <c r="B15" s="125" t="s">
        <v>221</v>
      </c>
      <c r="C15" s="125"/>
      <c r="E15" s="127">
        <v>0</v>
      </c>
      <c r="F15" s="127">
        <f>D15+E15</f>
        <v>0</v>
      </c>
      <c r="G15" s="127"/>
      <c r="H15" s="127">
        <f>D15*8%</f>
        <v>0</v>
      </c>
      <c r="I15" s="127">
        <f>D15*1.5%</f>
        <v>0</v>
      </c>
      <c r="J15" s="127">
        <f>D15*1%</f>
        <v>0</v>
      </c>
      <c r="K15" s="127">
        <f>SUM(G15:J15)</f>
        <v>0</v>
      </c>
      <c r="L15" s="129">
        <f>F15+K15</f>
        <v>0</v>
      </c>
    </row>
    <row r="16" spans="1:256">
      <c r="A16" s="128"/>
      <c r="B16" s="333" t="s">
        <v>236</v>
      </c>
      <c r="C16" s="334"/>
      <c r="D16" s="207">
        <f>SUM(D11:D15)</f>
        <v>263000000</v>
      </c>
      <c r="E16" s="207">
        <f t="shared" ref="E16:K16" si="0">SUM(E11:E15)</f>
        <v>0</v>
      </c>
      <c r="F16" s="207">
        <f t="shared" si="0"/>
        <v>263000000</v>
      </c>
      <c r="G16" s="207">
        <f t="shared" si="0"/>
        <v>5260000</v>
      </c>
      <c r="H16" s="207">
        <f t="shared" si="0"/>
        <v>46025000</v>
      </c>
      <c r="I16" s="207">
        <f t="shared" si="0"/>
        <v>7890000</v>
      </c>
      <c r="J16" s="207">
        <f t="shared" si="0"/>
        <v>2630000</v>
      </c>
      <c r="K16" s="207">
        <f t="shared" si="0"/>
        <v>61805000</v>
      </c>
      <c r="L16" s="207">
        <f>SUM(L11:L15)</f>
        <v>324805000</v>
      </c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  <c r="EW16" s="138"/>
      <c r="EX16" s="138"/>
      <c r="EY16" s="138"/>
      <c r="EZ16" s="138"/>
      <c r="FA16" s="138"/>
      <c r="FB16" s="138"/>
      <c r="FC16" s="138"/>
      <c r="FD16" s="138"/>
      <c r="FE16" s="138"/>
      <c r="FF16" s="138"/>
      <c r="FG16" s="138"/>
      <c r="FH16" s="138"/>
      <c r="FI16" s="138"/>
      <c r="FJ16" s="138"/>
      <c r="FK16" s="138"/>
      <c r="FL16" s="138"/>
      <c r="FM16" s="138"/>
      <c r="FN16" s="138"/>
      <c r="FO16" s="138"/>
      <c r="FP16" s="138"/>
      <c r="FQ16" s="138"/>
      <c r="FR16" s="138"/>
      <c r="FS16" s="138"/>
      <c r="FT16" s="138"/>
      <c r="FU16" s="138"/>
      <c r="FV16" s="138"/>
      <c r="FW16" s="138"/>
      <c r="FX16" s="138"/>
      <c r="FY16" s="138"/>
      <c r="FZ16" s="138"/>
      <c r="GA16" s="138"/>
      <c r="GB16" s="138"/>
      <c r="GC16" s="138"/>
      <c r="GD16" s="138"/>
      <c r="GE16" s="138"/>
      <c r="GF16" s="138"/>
      <c r="GG16" s="138"/>
      <c r="GH16" s="138"/>
      <c r="GI16" s="138"/>
      <c r="GJ16" s="138"/>
      <c r="GK16" s="138"/>
      <c r="GL16" s="138"/>
      <c r="GM16" s="138"/>
      <c r="GN16" s="138"/>
      <c r="GO16" s="138"/>
      <c r="GP16" s="138"/>
      <c r="GQ16" s="138"/>
      <c r="GR16" s="138"/>
      <c r="GS16" s="138"/>
      <c r="GT16" s="138"/>
      <c r="GU16" s="138"/>
      <c r="GV16" s="138"/>
      <c r="GW16" s="138"/>
      <c r="GX16" s="138"/>
      <c r="GY16" s="138"/>
      <c r="GZ16" s="138"/>
      <c r="HA16" s="138"/>
      <c r="HB16" s="138"/>
      <c r="HC16" s="138"/>
      <c r="HD16" s="138"/>
      <c r="HE16" s="138"/>
      <c r="HF16" s="138"/>
      <c r="HG16" s="138"/>
      <c r="HH16" s="138"/>
      <c r="HI16" s="138"/>
      <c r="HJ16" s="138"/>
      <c r="HK16" s="138"/>
      <c r="HL16" s="138"/>
      <c r="HM16" s="138"/>
      <c r="HN16" s="138"/>
      <c r="HO16" s="138"/>
      <c r="HP16" s="138"/>
      <c r="HQ16" s="138"/>
      <c r="HR16" s="138"/>
      <c r="HS16" s="138"/>
      <c r="HT16" s="138"/>
      <c r="HU16" s="138"/>
      <c r="HV16" s="138"/>
      <c r="HW16" s="138"/>
      <c r="HX16" s="138"/>
      <c r="HY16" s="138"/>
      <c r="HZ16" s="138"/>
      <c r="IA16" s="138"/>
      <c r="IB16" s="138"/>
      <c r="IC16" s="138"/>
      <c r="ID16" s="138"/>
      <c r="IE16" s="138"/>
      <c r="IF16" s="138"/>
      <c r="IG16" s="138"/>
      <c r="IH16" s="138"/>
      <c r="II16" s="138"/>
      <c r="IJ16" s="138"/>
      <c r="IK16" s="138"/>
      <c r="IL16" s="138"/>
      <c r="IM16" s="138"/>
      <c r="IN16" s="138"/>
      <c r="IO16" s="138"/>
      <c r="IP16" s="138"/>
      <c r="IQ16" s="138"/>
      <c r="IR16" s="138"/>
      <c r="IS16" s="138"/>
      <c r="IT16" s="138"/>
      <c r="IU16" s="138"/>
      <c r="IV16" s="138"/>
    </row>
    <row r="17" spans="1:256" s="311" customFormat="1">
      <c r="A17" s="312"/>
      <c r="B17" s="313"/>
      <c r="C17" s="313"/>
      <c r="D17" s="314"/>
      <c r="E17" s="314"/>
      <c r="F17" s="314"/>
      <c r="G17" s="314"/>
      <c r="H17" s="314"/>
      <c r="I17" s="314"/>
      <c r="J17" s="314"/>
      <c r="K17" s="314"/>
      <c r="L17" s="314"/>
      <c r="M17" s="315"/>
      <c r="N17" s="315"/>
      <c r="O17" s="315"/>
      <c r="P17" s="315"/>
      <c r="Q17" s="315"/>
      <c r="R17" s="315"/>
      <c r="S17" s="315"/>
      <c r="T17" s="315"/>
      <c r="U17" s="315"/>
      <c r="V17" s="315"/>
      <c r="W17" s="315"/>
      <c r="X17" s="315"/>
      <c r="Y17" s="315"/>
      <c r="Z17" s="315"/>
      <c r="AA17" s="315"/>
      <c r="AB17" s="315"/>
      <c r="AC17" s="315"/>
      <c r="AD17" s="315"/>
      <c r="AE17" s="315"/>
      <c r="AF17" s="315"/>
      <c r="AG17" s="315"/>
      <c r="AH17" s="315"/>
      <c r="AI17" s="315"/>
      <c r="AJ17" s="315"/>
      <c r="AK17" s="315"/>
      <c r="AL17" s="315"/>
      <c r="AM17" s="315"/>
      <c r="AN17" s="315"/>
      <c r="AO17" s="315"/>
      <c r="AP17" s="315"/>
      <c r="AQ17" s="315"/>
      <c r="AR17" s="315"/>
      <c r="AS17" s="315"/>
      <c r="AT17" s="315"/>
      <c r="AU17" s="315"/>
      <c r="AV17" s="315"/>
      <c r="AW17" s="315"/>
      <c r="AX17" s="315"/>
      <c r="AY17" s="315"/>
      <c r="AZ17" s="315"/>
      <c r="BA17" s="315"/>
      <c r="BB17" s="315"/>
      <c r="BC17" s="315"/>
      <c r="BD17" s="315"/>
      <c r="BE17" s="315"/>
      <c r="BF17" s="315"/>
      <c r="BG17" s="315"/>
      <c r="BH17" s="315"/>
      <c r="BI17" s="315"/>
      <c r="BJ17" s="315"/>
      <c r="BK17" s="315"/>
      <c r="BL17" s="315"/>
      <c r="BM17" s="315"/>
      <c r="BN17" s="315"/>
      <c r="BO17" s="315"/>
      <c r="BP17" s="315"/>
      <c r="BQ17" s="315"/>
      <c r="BR17" s="315"/>
      <c r="BS17" s="315"/>
      <c r="BT17" s="315"/>
      <c r="BU17" s="315"/>
      <c r="BV17" s="315"/>
      <c r="BW17" s="315"/>
      <c r="BX17" s="315"/>
      <c r="BY17" s="315"/>
      <c r="BZ17" s="315"/>
      <c r="CA17" s="315"/>
      <c r="CB17" s="315"/>
      <c r="CC17" s="315"/>
      <c r="CD17" s="315"/>
      <c r="CE17" s="315"/>
      <c r="CF17" s="315"/>
      <c r="CG17" s="315"/>
      <c r="CH17" s="315"/>
      <c r="CI17" s="315"/>
      <c r="CJ17" s="315"/>
      <c r="CK17" s="315"/>
      <c r="CL17" s="315"/>
      <c r="CM17" s="315"/>
      <c r="CN17" s="315"/>
      <c r="CO17" s="315"/>
      <c r="CP17" s="315"/>
      <c r="CQ17" s="315"/>
      <c r="CR17" s="315"/>
      <c r="CS17" s="315"/>
      <c r="CT17" s="315"/>
      <c r="CU17" s="315"/>
      <c r="CV17" s="315"/>
      <c r="CW17" s="315"/>
      <c r="CX17" s="315"/>
      <c r="CY17" s="315"/>
      <c r="CZ17" s="315"/>
      <c r="DA17" s="315"/>
      <c r="DB17" s="315"/>
      <c r="DC17" s="315"/>
      <c r="DD17" s="315"/>
      <c r="DE17" s="315"/>
      <c r="DF17" s="315"/>
      <c r="DG17" s="315"/>
      <c r="DH17" s="315"/>
      <c r="DI17" s="315"/>
      <c r="DJ17" s="315"/>
      <c r="DK17" s="315"/>
      <c r="DL17" s="315"/>
      <c r="DM17" s="315"/>
      <c r="DN17" s="315"/>
      <c r="DO17" s="315"/>
      <c r="DP17" s="315"/>
      <c r="DQ17" s="315"/>
      <c r="DR17" s="315"/>
      <c r="DS17" s="315"/>
      <c r="DT17" s="315"/>
      <c r="DU17" s="315"/>
      <c r="DV17" s="315"/>
      <c r="DW17" s="315"/>
      <c r="DX17" s="315"/>
      <c r="DY17" s="315"/>
      <c r="DZ17" s="315"/>
      <c r="EA17" s="315"/>
      <c r="EB17" s="315"/>
      <c r="EC17" s="315"/>
      <c r="ED17" s="315"/>
      <c r="EE17" s="315"/>
      <c r="EF17" s="315"/>
      <c r="EG17" s="315"/>
      <c r="EH17" s="315"/>
      <c r="EI17" s="315"/>
      <c r="EJ17" s="315"/>
      <c r="EK17" s="315"/>
      <c r="EL17" s="315"/>
      <c r="EM17" s="315"/>
      <c r="EN17" s="315"/>
      <c r="EO17" s="315"/>
      <c r="EP17" s="315"/>
      <c r="EQ17" s="315"/>
      <c r="ER17" s="315"/>
      <c r="ES17" s="315"/>
      <c r="ET17" s="315"/>
      <c r="EU17" s="315"/>
      <c r="EV17" s="315"/>
      <c r="EW17" s="315"/>
      <c r="EX17" s="315"/>
      <c r="EY17" s="315"/>
      <c r="EZ17" s="315"/>
      <c r="FA17" s="315"/>
      <c r="FB17" s="315"/>
      <c r="FC17" s="315"/>
      <c r="FD17" s="315"/>
      <c r="FE17" s="315"/>
      <c r="FF17" s="315"/>
      <c r="FG17" s="315"/>
      <c r="FH17" s="315"/>
      <c r="FI17" s="315"/>
      <c r="FJ17" s="315"/>
      <c r="FK17" s="315"/>
      <c r="FL17" s="315"/>
      <c r="FM17" s="315"/>
      <c r="FN17" s="315"/>
      <c r="FO17" s="315"/>
      <c r="FP17" s="315"/>
      <c r="FQ17" s="315"/>
      <c r="FR17" s="315"/>
      <c r="FS17" s="315"/>
      <c r="FT17" s="315"/>
      <c r="FU17" s="315"/>
      <c r="FV17" s="315"/>
      <c r="FW17" s="315"/>
      <c r="FX17" s="315"/>
      <c r="FY17" s="315"/>
      <c r="FZ17" s="315"/>
      <c r="GA17" s="315"/>
      <c r="GB17" s="315"/>
      <c r="GC17" s="315"/>
      <c r="GD17" s="315"/>
      <c r="GE17" s="315"/>
      <c r="GF17" s="315"/>
      <c r="GG17" s="315"/>
      <c r="GH17" s="315"/>
      <c r="GI17" s="315"/>
      <c r="GJ17" s="315"/>
      <c r="GK17" s="315"/>
      <c r="GL17" s="315"/>
      <c r="GM17" s="315"/>
      <c r="GN17" s="315"/>
      <c r="GO17" s="315"/>
      <c r="GP17" s="315"/>
      <c r="GQ17" s="315"/>
      <c r="GR17" s="315"/>
      <c r="GS17" s="315"/>
      <c r="GT17" s="315"/>
      <c r="GU17" s="315"/>
      <c r="GV17" s="315"/>
      <c r="GW17" s="315"/>
      <c r="GX17" s="315"/>
      <c r="GY17" s="315"/>
      <c r="GZ17" s="315"/>
      <c r="HA17" s="315"/>
      <c r="HB17" s="315"/>
      <c r="HC17" s="315"/>
      <c r="HD17" s="315"/>
      <c r="HE17" s="315"/>
      <c r="HF17" s="315"/>
      <c r="HG17" s="315"/>
      <c r="HH17" s="315"/>
      <c r="HI17" s="315"/>
      <c r="HJ17" s="315"/>
      <c r="HK17" s="315"/>
      <c r="HL17" s="315"/>
      <c r="HM17" s="315"/>
      <c r="HN17" s="315"/>
      <c r="HO17" s="315"/>
      <c r="HP17" s="315"/>
      <c r="HQ17" s="315"/>
      <c r="HR17" s="315"/>
      <c r="HS17" s="315"/>
      <c r="HT17" s="315"/>
      <c r="HU17" s="315"/>
      <c r="HV17" s="315"/>
      <c r="HW17" s="315"/>
      <c r="HX17" s="315"/>
      <c r="HY17" s="315"/>
      <c r="HZ17" s="315"/>
      <c r="IA17" s="315"/>
      <c r="IB17" s="315"/>
      <c r="IC17" s="315"/>
      <c r="ID17" s="315"/>
      <c r="IE17" s="315"/>
      <c r="IF17" s="315"/>
      <c r="IG17" s="315"/>
      <c r="IH17" s="315"/>
      <c r="II17" s="315"/>
      <c r="IJ17" s="315"/>
      <c r="IK17" s="315"/>
      <c r="IL17" s="315"/>
      <c r="IM17" s="315"/>
      <c r="IN17" s="315"/>
      <c r="IO17" s="315"/>
      <c r="IP17" s="315"/>
      <c r="IQ17" s="315"/>
      <c r="IR17" s="315"/>
      <c r="IS17" s="315"/>
      <c r="IT17" s="315"/>
      <c r="IU17" s="315"/>
      <c r="IV17" s="315"/>
    </row>
    <row r="18" spans="1:256">
      <c r="A18" s="16"/>
      <c r="B18" s="16"/>
      <c r="C18" s="16"/>
      <c r="D18" s="121"/>
      <c r="E18" s="130"/>
      <c r="F18" s="121"/>
      <c r="G18" s="121"/>
      <c r="H18" s="121"/>
      <c r="I18" s="121"/>
      <c r="J18" s="137" t="s">
        <v>237</v>
      </c>
      <c r="K18" s="121"/>
    </row>
    <row r="19" spans="1:256">
      <c r="A19" s="16"/>
      <c r="B19" s="16"/>
      <c r="C19" s="131" t="s">
        <v>238</v>
      </c>
      <c r="D19" s="121"/>
      <c r="E19" s="121"/>
      <c r="F19" s="121"/>
      <c r="G19" s="121"/>
      <c r="H19" s="121"/>
      <c r="I19" s="121"/>
      <c r="J19" s="139" t="s">
        <v>17</v>
      </c>
      <c r="K19" s="121"/>
    </row>
    <row r="20" spans="1:256">
      <c r="A20" s="16"/>
      <c r="B20" s="16"/>
      <c r="C20" s="132" t="s">
        <v>19</v>
      </c>
      <c r="D20" s="133"/>
      <c r="E20" s="133"/>
      <c r="F20" s="133"/>
      <c r="G20" s="133"/>
      <c r="H20" s="133"/>
      <c r="I20" s="133"/>
      <c r="J20" s="137" t="s">
        <v>19</v>
      </c>
      <c r="K20" s="121"/>
    </row>
    <row r="21" spans="1:256">
      <c r="A21" s="16"/>
      <c r="B21" s="16"/>
      <c r="C21" s="134"/>
      <c r="D21" s="133"/>
      <c r="E21" s="133"/>
      <c r="F21" s="133"/>
      <c r="G21" s="133"/>
      <c r="H21" s="133"/>
      <c r="I21" s="133"/>
      <c r="J21" s="133"/>
      <c r="K21" s="121"/>
    </row>
    <row r="22" spans="1:256">
      <c r="A22" s="16"/>
      <c r="B22" s="16"/>
      <c r="C22" s="16"/>
      <c r="D22" s="121"/>
      <c r="E22" s="121"/>
      <c r="F22" s="121"/>
      <c r="G22" s="121"/>
      <c r="H22" s="121"/>
      <c r="I22" s="121"/>
      <c r="J22" s="121"/>
      <c r="K22" s="121"/>
    </row>
    <row r="25" spans="1:256" s="11" customFormat="1" ht="15">
      <c r="C25" s="298" t="s">
        <v>111</v>
      </c>
      <c r="J25" s="298" t="s">
        <v>85</v>
      </c>
    </row>
  </sheetData>
  <mergeCells count="10">
    <mergeCell ref="B9:C9"/>
    <mergeCell ref="B10:C10"/>
    <mergeCell ref="B16:C16"/>
    <mergeCell ref="A8:A9"/>
    <mergeCell ref="L8:L9"/>
    <mergeCell ref="A5:K5"/>
    <mergeCell ref="A6:K6"/>
    <mergeCell ref="B8:C8"/>
    <mergeCell ref="D8:F8"/>
    <mergeCell ref="G8:K8"/>
  </mergeCells>
  <pageMargins left="0.7" right="0.7" top="0.75" bottom="0.75" header="0.3" footer="0.3"/>
  <pageSetup scale="8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zoomScale="70" zoomScaleNormal="70" workbookViewId="0">
      <pane ySplit="8" topLeftCell="A15" activePane="bottomLeft" state="frozen"/>
      <selection pane="bottomLeft" activeCell="V10" activeCellId="1" sqref="V20 V10"/>
    </sheetView>
  </sheetViews>
  <sheetFormatPr defaultColWidth="9.140625" defaultRowHeight="12.75"/>
  <cols>
    <col min="1" max="1" width="5" style="77" customWidth="1"/>
    <col min="2" max="2" width="14" style="77" customWidth="1"/>
    <col min="3" max="3" width="6.28515625" style="77" customWidth="1"/>
    <col min="4" max="4" width="12.85546875" style="78" customWidth="1"/>
    <col min="5" max="5" width="6.42578125" style="77" customWidth="1"/>
    <col min="6" max="6" width="6.28515625" style="77" customWidth="1"/>
    <col min="7" max="7" width="16.28515625" style="77" customWidth="1"/>
    <col min="8" max="8" width="11.5703125" style="77" customWidth="1"/>
    <col min="9" max="9" width="9.85546875" style="77" customWidth="1"/>
    <col min="10" max="10" width="13.5703125" style="77" customWidth="1"/>
    <col min="11" max="11" width="13.140625" style="77" customWidth="1"/>
    <col min="12" max="12" width="12.5703125" style="77" customWidth="1"/>
    <col min="13" max="13" width="12.85546875" style="77" customWidth="1"/>
    <col min="14" max="14" width="12.140625" style="77" customWidth="1"/>
    <col min="15" max="15" width="11.140625" style="77" customWidth="1"/>
    <col min="16" max="16" width="16" style="77" customWidth="1"/>
    <col min="17" max="17" width="6.28515625" style="77" customWidth="1"/>
    <col min="18" max="20" width="11.5703125" style="77" customWidth="1"/>
    <col min="21" max="21" width="15.140625" style="77" customWidth="1"/>
    <col min="22" max="22" width="10.140625" style="77" customWidth="1"/>
    <col min="23" max="23" width="6.7109375" style="77" customWidth="1"/>
    <col min="24" max="16384" width="9.140625" style="77"/>
  </cols>
  <sheetData>
    <row r="1" spans="1:29" ht="18.75" customHeight="1">
      <c r="A1" s="300" t="s">
        <v>504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112"/>
      <c r="N1" s="113"/>
      <c r="O1" s="341" t="s">
        <v>239</v>
      </c>
      <c r="P1" s="341"/>
      <c r="Q1" s="341"/>
      <c r="R1" s="341"/>
      <c r="S1" s="341"/>
      <c r="T1" s="341"/>
      <c r="U1" s="341"/>
      <c r="V1" s="341"/>
      <c r="W1" s="341"/>
    </row>
    <row r="2" spans="1:29" ht="18.75" customHeight="1">
      <c r="A2" s="299" t="s">
        <v>505</v>
      </c>
      <c r="B2" s="79"/>
      <c r="C2" s="79"/>
      <c r="D2" s="79"/>
      <c r="E2" s="79"/>
      <c r="F2" s="79"/>
      <c r="G2" s="80"/>
      <c r="H2" s="81"/>
      <c r="I2" s="81"/>
      <c r="J2" s="81"/>
      <c r="K2" s="81"/>
      <c r="L2" s="81"/>
      <c r="M2" s="81"/>
      <c r="N2" s="115"/>
      <c r="O2" s="341"/>
      <c r="P2" s="341"/>
      <c r="Q2" s="341"/>
      <c r="R2" s="341"/>
      <c r="S2" s="341"/>
      <c r="T2" s="341"/>
      <c r="U2" s="341"/>
      <c r="V2" s="341"/>
      <c r="W2" s="341"/>
    </row>
    <row r="3" spans="1:29" ht="20.100000000000001" customHeight="1">
      <c r="A3" s="79"/>
      <c r="B3" s="79"/>
      <c r="C3" s="79"/>
      <c r="D3" s="79"/>
      <c r="E3" s="79"/>
      <c r="F3" s="79"/>
      <c r="G3" s="82"/>
      <c r="H3" s="81"/>
      <c r="I3" s="81"/>
      <c r="J3" s="81"/>
      <c r="K3" s="81"/>
      <c r="L3" s="81"/>
      <c r="M3" s="81"/>
      <c r="N3" s="115"/>
      <c r="O3" s="114"/>
      <c r="P3" s="346" t="s">
        <v>240</v>
      </c>
      <c r="Q3" s="346"/>
      <c r="R3" s="346"/>
      <c r="S3" s="346"/>
      <c r="T3" s="346"/>
      <c r="U3" s="346"/>
      <c r="V3" s="114"/>
      <c r="W3" s="114"/>
    </row>
    <row r="4" spans="1:29" ht="21.75" customHeight="1">
      <c r="A4" s="347" t="s">
        <v>241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Z4" s="77">
        <f>15%*U11-750000</f>
        <v>405000</v>
      </c>
      <c r="AA4" s="119">
        <f>Z4-V11</f>
        <v>-115000</v>
      </c>
      <c r="AC4" s="77">
        <f>250000+500000+675000*15%</f>
        <v>851250</v>
      </c>
    </row>
    <row r="5" spans="1:29">
      <c r="A5" s="348" t="s">
        <v>457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</row>
    <row r="6" spans="1:29">
      <c r="A6" s="83"/>
      <c r="B6" s="83"/>
      <c r="C6" s="83"/>
      <c r="D6" s="84"/>
      <c r="E6" s="83"/>
      <c r="F6" s="83"/>
      <c r="G6" s="83"/>
      <c r="H6" s="83"/>
      <c r="I6" s="83"/>
      <c r="J6" s="83"/>
      <c r="K6" s="83"/>
      <c r="L6" s="83"/>
      <c r="M6" s="83"/>
      <c r="N6" s="349" t="s">
        <v>242</v>
      </c>
      <c r="O6" s="349"/>
      <c r="P6" s="349"/>
      <c r="Q6" s="349"/>
      <c r="R6" s="349"/>
      <c r="S6" s="349"/>
      <c r="T6" s="349"/>
      <c r="U6" s="349"/>
      <c r="V6" s="349"/>
      <c r="W6" s="349"/>
    </row>
    <row r="7" spans="1:29" ht="15" customHeight="1">
      <c r="A7" s="352" t="s">
        <v>0</v>
      </c>
      <c r="B7" s="353" t="s">
        <v>243</v>
      </c>
      <c r="C7" s="354" t="s">
        <v>244</v>
      </c>
      <c r="D7" s="340" t="s">
        <v>245</v>
      </c>
      <c r="E7" s="338" t="s">
        <v>246</v>
      </c>
      <c r="F7" s="338" t="s">
        <v>247</v>
      </c>
      <c r="G7" s="338" t="s">
        <v>248</v>
      </c>
      <c r="H7" s="338" t="s">
        <v>249</v>
      </c>
      <c r="I7" s="338"/>
      <c r="J7" s="338"/>
      <c r="K7" s="338"/>
      <c r="L7" s="338" t="s">
        <v>250</v>
      </c>
      <c r="M7" s="339" t="s">
        <v>251</v>
      </c>
      <c r="N7" s="339"/>
      <c r="O7" s="339"/>
      <c r="P7" s="339"/>
      <c r="Q7" s="338" t="s">
        <v>79</v>
      </c>
      <c r="R7" s="338" t="s">
        <v>252</v>
      </c>
      <c r="S7" s="350" t="s">
        <v>253</v>
      </c>
      <c r="T7" s="351"/>
      <c r="U7" s="338" t="s">
        <v>254</v>
      </c>
      <c r="V7" s="344" t="s">
        <v>255</v>
      </c>
      <c r="W7" s="338" t="s">
        <v>256</v>
      </c>
    </row>
    <row r="8" spans="1:29" ht="56.1" customHeight="1">
      <c r="A8" s="352"/>
      <c r="B8" s="353"/>
      <c r="C8" s="353"/>
      <c r="D8" s="340"/>
      <c r="E8" s="338"/>
      <c r="F8" s="338"/>
      <c r="G8" s="338"/>
      <c r="H8" s="41" t="s">
        <v>257</v>
      </c>
      <c r="I8" s="40" t="s">
        <v>258</v>
      </c>
      <c r="J8" s="41" t="s">
        <v>259</v>
      </c>
      <c r="K8" s="40" t="s">
        <v>260</v>
      </c>
      <c r="L8" s="338"/>
      <c r="M8" s="40" t="s">
        <v>261</v>
      </c>
      <c r="N8" s="40" t="s">
        <v>262</v>
      </c>
      <c r="O8" s="40" t="s">
        <v>263</v>
      </c>
      <c r="P8" s="69" t="s">
        <v>264</v>
      </c>
      <c r="Q8" s="338"/>
      <c r="R8" s="338"/>
      <c r="S8" s="40" t="s">
        <v>265</v>
      </c>
      <c r="T8" s="40" t="s">
        <v>266</v>
      </c>
      <c r="U8" s="338"/>
      <c r="V8" s="345"/>
      <c r="W8" s="338"/>
    </row>
    <row r="9" spans="1:29" ht="24.6" customHeight="1">
      <c r="A9" s="85" t="s">
        <v>5</v>
      </c>
      <c r="B9" s="86" t="s">
        <v>6</v>
      </c>
      <c r="C9" s="86" t="s">
        <v>7</v>
      </c>
      <c r="D9" s="40">
        <v>1</v>
      </c>
      <c r="E9" s="40">
        <v>2</v>
      </c>
      <c r="F9" s="40">
        <v>3</v>
      </c>
      <c r="G9" s="69">
        <v>4</v>
      </c>
      <c r="H9" s="40">
        <v>5</v>
      </c>
      <c r="I9" s="69">
        <v>6</v>
      </c>
      <c r="J9" s="40">
        <v>7</v>
      </c>
      <c r="K9" s="40">
        <v>8</v>
      </c>
      <c r="L9" s="40">
        <v>9</v>
      </c>
      <c r="M9" s="40">
        <v>10</v>
      </c>
      <c r="N9" s="40">
        <v>11</v>
      </c>
      <c r="O9" s="40">
        <v>12</v>
      </c>
      <c r="P9" s="69">
        <v>13</v>
      </c>
      <c r="Q9" s="40">
        <v>14</v>
      </c>
      <c r="R9" s="40">
        <v>15</v>
      </c>
      <c r="S9" s="40"/>
      <c r="T9" s="40"/>
      <c r="U9" s="40">
        <v>16</v>
      </c>
      <c r="V9" s="118">
        <v>17</v>
      </c>
      <c r="W9" s="40" t="s">
        <v>8</v>
      </c>
    </row>
    <row r="10" spans="1:29" s="75" customFormat="1" ht="20.25" customHeight="1">
      <c r="A10" s="87" t="s">
        <v>13</v>
      </c>
      <c r="B10" s="88" t="s">
        <v>267</v>
      </c>
      <c r="C10" s="89"/>
      <c r="D10" s="90">
        <f>SUBTOTAL(9,D11:D19)</f>
        <v>141000000</v>
      </c>
      <c r="E10" s="90">
        <f>SUBTOTAL(9,E11:E19)</f>
        <v>243</v>
      </c>
      <c r="F10" s="90">
        <f>SUBTOTAL(9,F11:F19)</f>
        <v>241</v>
      </c>
      <c r="G10" s="90">
        <f>SUBTOTAL(9,G11:G19)</f>
        <v>140259259</v>
      </c>
      <c r="H10" s="90">
        <f t="shared" ref="H10:R10" si="0">SUBTOTAL(9,H11:H19)</f>
        <v>14025926</v>
      </c>
      <c r="I10" s="90">
        <f t="shared" si="0"/>
        <v>6025000</v>
      </c>
      <c r="J10" s="90">
        <f t="shared" si="0"/>
        <v>1400000</v>
      </c>
      <c r="K10" s="90">
        <f t="shared" si="0"/>
        <v>6500000</v>
      </c>
      <c r="L10" s="90">
        <f t="shared" si="0"/>
        <v>168210185</v>
      </c>
      <c r="M10" s="90">
        <f t="shared" si="0"/>
        <v>11280000</v>
      </c>
      <c r="N10" s="90">
        <f t="shared" si="0"/>
        <v>2115000</v>
      </c>
      <c r="O10" s="90">
        <f t="shared" si="0"/>
        <v>1410000</v>
      </c>
      <c r="P10" s="90">
        <f t="shared" si="0"/>
        <v>14805000</v>
      </c>
      <c r="Q10" s="90">
        <f t="shared" si="0"/>
        <v>9</v>
      </c>
      <c r="R10" s="90">
        <f t="shared" si="0"/>
        <v>154285185</v>
      </c>
      <c r="S10" s="90">
        <f>SUBTOTAL(9,S11:S19)</f>
        <v>99000000</v>
      </c>
      <c r="T10" s="90">
        <f>SUBTOTAL(9,T11:T19)</f>
        <v>39600000</v>
      </c>
      <c r="U10" s="90">
        <f>SUBTOTAL(9,U11:U19)</f>
        <v>18700000</v>
      </c>
      <c r="V10" s="90">
        <f>SUBTOTAL(9,V11:V19)</f>
        <v>1260000</v>
      </c>
      <c r="W10" s="90">
        <f>SUBTOTAL(9,W11:W19)</f>
        <v>0</v>
      </c>
    </row>
    <row r="11" spans="1:29" ht="28.5" customHeight="1">
      <c r="A11" s="91">
        <v>1</v>
      </c>
      <c r="B11" s="72" t="s">
        <v>85</v>
      </c>
      <c r="C11" s="72" t="s">
        <v>87</v>
      </c>
      <c r="D11" s="92">
        <v>25000000</v>
      </c>
      <c r="E11" s="93">
        <v>27</v>
      </c>
      <c r="F11" s="93">
        <v>27</v>
      </c>
      <c r="G11" s="43">
        <f>ROUND(D11/E11*F11,0)</f>
        <v>25000000</v>
      </c>
      <c r="H11" s="44">
        <f>ROUND(D11*10%*F11/E11,0)</f>
        <v>2500000</v>
      </c>
      <c r="I11" s="44">
        <f>F11*25000</f>
        <v>675000</v>
      </c>
      <c r="J11" s="44">
        <v>500000</v>
      </c>
      <c r="K11" s="70">
        <v>2000000</v>
      </c>
      <c r="L11" s="71">
        <f>SUM(G11:K11)</f>
        <v>30675000</v>
      </c>
      <c r="M11" s="44">
        <f>D11*8%</f>
        <v>2000000</v>
      </c>
      <c r="N11" s="44">
        <f>D11*1.5%</f>
        <v>375000</v>
      </c>
      <c r="O11" s="44">
        <f>D11*1%</f>
        <v>250000</v>
      </c>
      <c r="P11" s="44">
        <f>SUM(M11:O11)</f>
        <v>2625000</v>
      </c>
      <c r="Q11" s="72">
        <v>2</v>
      </c>
      <c r="R11" s="44">
        <f>G11+H11</f>
        <v>27500000</v>
      </c>
      <c r="S11" s="44">
        <v>11000000</v>
      </c>
      <c r="T11" s="44">
        <v>8800000</v>
      </c>
      <c r="U11" s="44">
        <f>IF(R11-(S11+T11)&gt;0,R11-(S11+T11),0)</f>
        <v>7700000</v>
      </c>
      <c r="V11" s="43">
        <f>IF(U11&gt;80000000,35%*U11-9850000,IF(U11&gt;52000000,30%*U11-5850000,IF(U11&gt;32000000,25%*U11-3250000,IF(U11&gt;18000000,20%*U11-1650000,IF(U11&gt;10000000,15%*U11-750000,IF(U11&gt;5000000,10%*U11-250000,5%*U11))))))</f>
        <v>520000</v>
      </c>
      <c r="W11" s="43"/>
    </row>
    <row r="12" spans="1:29" ht="20.25" customHeight="1">
      <c r="A12" s="91">
        <v>2</v>
      </c>
      <c r="B12" s="72" t="s">
        <v>90</v>
      </c>
      <c r="C12" s="72" t="s">
        <v>91</v>
      </c>
      <c r="D12" s="92">
        <v>20000000</v>
      </c>
      <c r="E12" s="93">
        <v>27</v>
      </c>
      <c r="F12" s="93">
        <v>27</v>
      </c>
      <c r="G12" s="43">
        <f t="shared" ref="G12:G24" si="1">ROUND(D12/E12*F12,0)</f>
        <v>20000000</v>
      </c>
      <c r="H12" s="44">
        <f t="shared" ref="H12:H24" si="2">ROUND(D12*10%*F12/E12,0)</f>
        <v>2000000</v>
      </c>
      <c r="I12" s="44">
        <f t="shared" ref="I12:I24" si="3">F12*25000</f>
        <v>675000</v>
      </c>
      <c r="J12" s="44">
        <v>300000</v>
      </c>
      <c r="K12" s="70">
        <v>1500000</v>
      </c>
      <c r="L12" s="71">
        <f t="shared" ref="L12:L24" si="4">SUM(G12:K12)</f>
        <v>24475000</v>
      </c>
      <c r="M12" s="44">
        <f t="shared" ref="M12:M24" si="5">D12*8%</f>
        <v>1600000</v>
      </c>
      <c r="N12" s="44">
        <f t="shared" ref="N12:N24" si="6">D12*1.5%</f>
        <v>300000</v>
      </c>
      <c r="O12" s="44">
        <f t="shared" ref="O12:O24" si="7">D12*1%</f>
        <v>200000</v>
      </c>
      <c r="P12" s="44">
        <f t="shared" ref="P12:P24" si="8">SUM(M12:O12)</f>
        <v>2100000</v>
      </c>
      <c r="Q12" s="72">
        <v>2</v>
      </c>
      <c r="R12" s="44">
        <f t="shared" ref="R12:R19" si="9">G12+H12</f>
        <v>22000000</v>
      </c>
      <c r="S12" s="44">
        <v>11000000</v>
      </c>
      <c r="T12" s="44">
        <v>8800000</v>
      </c>
      <c r="U12" s="44">
        <f t="shared" ref="U12:U24" si="10">IF(R12-(S12+T12)&gt;0,R12-(S12+T12),0)</f>
        <v>2200000</v>
      </c>
      <c r="V12" s="43">
        <f t="shared" ref="V12:V24" si="11">IF(U12&gt;80000000,35%*U12-9850000,IF(U12&gt;52000000,30%*U12-5850000,IF(U12&gt;32000000,25%*U12-3250000,IF(U12&gt;18000000,20%*U12-1650000,IF(U12&gt;10000000,15%*U12-750000,IF(U12&gt;5000000,10%*U12-250000,5%*U12))))))</f>
        <v>110000</v>
      </c>
      <c r="W12" s="43"/>
    </row>
    <row r="13" spans="1:29" ht="20.25" customHeight="1">
      <c r="A13" s="91">
        <v>3</v>
      </c>
      <c r="B13" s="72" t="s">
        <v>94</v>
      </c>
      <c r="C13" s="72" t="s">
        <v>96</v>
      </c>
      <c r="D13" s="92">
        <v>18000000</v>
      </c>
      <c r="E13" s="93">
        <v>27</v>
      </c>
      <c r="F13" s="93">
        <v>27</v>
      </c>
      <c r="G13" s="43">
        <f t="shared" si="1"/>
        <v>18000000</v>
      </c>
      <c r="H13" s="44">
        <f t="shared" si="2"/>
        <v>1800000</v>
      </c>
      <c r="I13" s="44">
        <f t="shared" si="3"/>
        <v>675000</v>
      </c>
      <c r="J13" s="44">
        <v>200000</v>
      </c>
      <c r="K13" s="70">
        <v>1000000</v>
      </c>
      <c r="L13" s="71">
        <f t="shared" si="4"/>
        <v>21675000</v>
      </c>
      <c r="M13" s="44">
        <f t="shared" si="5"/>
        <v>1440000</v>
      </c>
      <c r="N13" s="44">
        <f t="shared" si="6"/>
        <v>270000</v>
      </c>
      <c r="O13" s="44">
        <f t="shared" si="7"/>
        <v>180000</v>
      </c>
      <c r="P13" s="44">
        <f t="shared" si="8"/>
        <v>1890000</v>
      </c>
      <c r="Q13" s="72">
        <v>2</v>
      </c>
      <c r="R13" s="44">
        <f t="shared" si="9"/>
        <v>19800000</v>
      </c>
      <c r="S13" s="44">
        <v>11000000</v>
      </c>
      <c r="T13" s="44">
        <v>8800000</v>
      </c>
      <c r="U13" s="44">
        <f t="shared" si="10"/>
        <v>0</v>
      </c>
      <c r="V13" s="43">
        <f t="shared" si="11"/>
        <v>0</v>
      </c>
      <c r="W13" s="43"/>
    </row>
    <row r="14" spans="1:29" ht="20.25" customHeight="1">
      <c r="A14" s="91">
        <v>4</v>
      </c>
      <c r="B14" s="72" t="s">
        <v>99</v>
      </c>
      <c r="C14" s="72" t="s">
        <v>100</v>
      </c>
      <c r="D14" s="92">
        <v>10000000</v>
      </c>
      <c r="E14" s="93">
        <v>27</v>
      </c>
      <c r="F14" s="93">
        <v>27</v>
      </c>
      <c r="G14" s="43">
        <f t="shared" si="1"/>
        <v>10000000</v>
      </c>
      <c r="H14" s="44">
        <f t="shared" si="2"/>
        <v>1000000</v>
      </c>
      <c r="I14" s="44">
        <f t="shared" si="3"/>
        <v>675000</v>
      </c>
      <c r="J14" s="44"/>
      <c r="K14" s="70"/>
      <c r="L14" s="71">
        <f t="shared" si="4"/>
        <v>11675000</v>
      </c>
      <c r="M14" s="44">
        <f t="shared" si="5"/>
        <v>800000</v>
      </c>
      <c r="N14" s="44">
        <f t="shared" si="6"/>
        <v>150000</v>
      </c>
      <c r="O14" s="44">
        <f t="shared" si="7"/>
        <v>100000</v>
      </c>
      <c r="P14" s="44">
        <f t="shared" si="8"/>
        <v>1050000</v>
      </c>
      <c r="Q14" s="72"/>
      <c r="R14" s="44">
        <f t="shared" si="9"/>
        <v>11000000</v>
      </c>
      <c r="S14" s="44">
        <v>11000000</v>
      </c>
      <c r="T14" s="44"/>
      <c r="U14" s="44">
        <f t="shared" si="10"/>
        <v>0</v>
      </c>
      <c r="V14" s="43">
        <f t="shared" si="11"/>
        <v>0</v>
      </c>
      <c r="W14" s="43"/>
    </row>
    <row r="15" spans="1:29" ht="20.25" customHeight="1">
      <c r="A15" s="91">
        <v>5</v>
      </c>
      <c r="B15" s="72" t="s">
        <v>103</v>
      </c>
      <c r="C15" s="72" t="s">
        <v>100</v>
      </c>
      <c r="D15" s="94">
        <v>10000000</v>
      </c>
      <c r="E15" s="93">
        <v>27</v>
      </c>
      <c r="F15" s="93">
        <v>27</v>
      </c>
      <c r="G15" s="43">
        <f t="shared" si="1"/>
        <v>10000000</v>
      </c>
      <c r="H15" s="44">
        <f t="shared" si="2"/>
        <v>1000000</v>
      </c>
      <c r="I15" s="44">
        <f t="shared" si="3"/>
        <v>675000</v>
      </c>
      <c r="J15" s="44"/>
      <c r="K15" s="70"/>
      <c r="L15" s="71">
        <f t="shared" si="4"/>
        <v>11675000</v>
      </c>
      <c r="M15" s="44">
        <f t="shared" si="5"/>
        <v>800000</v>
      </c>
      <c r="N15" s="44">
        <f t="shared" si="6"/>
        <v>150000</v>
      </c>
      <c r="O15" s="44">
        <f t="shared" si="7"/>
        <v>100000</v>
      </c>
      <c r="P15" s="44">
        <f t="shared" si="8"/>
        <v>1050000</v>
      </c>
      <c r="Q15" s="72"/>
      <c r="R15" s="44">
        <f t="shared" si="9"/>
        <v>11000000</v>
      </c>
      <c r="S15" s="44">
        <v>11000000</v>
      </c>
      <c r="T15" s="44"/>
      <c r="U15" s="44">
        <f t="shared" si="10"/>
        <v>0</v>
      </c>
      <c r="V15" s="43">
        <f t="shared" si="11"/>
        <v>0</v>
      </c>
      <c r="W15" s="43"/>
    </row>
    <row r="16" spans="1:29" ht="20.25" customHeight="1">
      <c r="A16" s="91">
        <v>6</v>
      </c>
      <c r="B16" s="72" t="s">
        <v>106</v>
      </c>
      <c r="C16" s="72" t="s">
        <v>108</v>
      </c>
      <c r="D16" s="94">
        <v>18000000</v>
      </c>
      <c r="E16" s="93">
        <v>27</v>
      </c>
      <c r="F16" s="93">
        <v>27</v>
      </c>
      <c r="G16" s="43">
        <f t="shared" si="1"/>
        <v>18000000</v>
      </c>
      <c r="H16" s="44">
        <f t="shared" si="2"/>
        <v>1800000</v>
      </c>
      <c r="I16" s="44">
        <f t="shared" si="3"/>
        <v>675000</v>
      </c>
      <c r="J16" s="44">
        <v>200000</v>
      </c>
      <c r="K16" s="70">
        <v>1000000</v>
      </c>
      <c r="L16" s="71">
        <f t="shared" si="4"/>
        <v>21675000</v>
      </c>
      <c r="M16" s="44">
        <f t="shared" si="5"/>
        <v>1440000</v>
      </c>
      <c r="N16" s="44">
        <f t="shared" si="6"/>
        <v>270000</v>
      </c>
      <c r="O16" s="44">
        <f t="shared" si="7"/>
        <v>180000</v>
      </c>
      <c r="P16" s="44">
        <f t="shared" si="8"/>
        <v>1890000</v>
      </c>
      <c r="Q16" s="72"/>
      <c r="R16" s="44">
        <f t="shared" si="9"/>
        <v>19800000</v>
      </c>
      <c r="S16" s="44">
        <v>11000000</v>
      </c>
      <c r="T16" s="44"/>
      <c r="U16" s="44">
        <f t="shared" si="10"/>
        <v>8800000</v>
      </c>
      <c r="V16" s="43">
        <f t="shared" si="11"/>
        <v>630000</v>
      </c>
      <c r="W16" s="43"/>
    </row>
    <row r="17" spans="1:23" ht="20.25" customHeight="1">
      <c r="A17" s="91">
        <v>7</v>
      </c>
      <c r="B17" s="72" t="s">
        <v>111</v>
      </c>
      <c r="C17" s="72" t="s">
        <v>112</v>
      </c>
      <c r="D17" s="94">
        <v>10000000</v>
      </c>
      <c r="E17" s="93">
        <v>27</v>
      </c>
      <c r="F17" s="93">
        <v>25</v>
      </c>
      <c r="G17" s="43">
        <f t="shared" si="1"/>
        <v>9259259</v>
      </c>
      <c r="H17" s="44">
        <f t="shared" si="2"/>
        <v>925926</v>
      </c>
      <c r="I17" s="44">
        <f t="shared" si="3"/>
        <v>625000</v>
      </c>
      <c r="J17" s="44"/>
      <c r="K17" s="70"/>
      <c r="L17" s="71">
        <f t="shared" si="4"/>
        <v>10810185</v>
      </c>
      <c r="M17" s="44">
        <f t="shared" si="5"/>
        <v>800000</v>
      </c>
      <c r="N17" s="44">
        <f t="shared" si="6"/>
        <v>150000</v>
      </c>
      <c r="O17" s="44">
        <f t="shared" si="7"/>
        <v>100000</v>
      </c>
      <c r="P17" s="44">
        <f t="shared" si="8"/>
        <v>1050000</v>
      </c>
      <c r="Q17" s="72"/>
      <c r="R17" s="44">
        <f t="shared" si="9"/>
        <v>10185185</v>
      </c>
      <c r="S17" s="44">
        <v>11000000</v>
      </c>
      <c r="T17" s="44"/>
      <c r="U17" s="44">
        <f t="shared" si="10"/>
        <v>0</v>
      </c>
      <c r="V17" s="43">
        <f t="shared" si="11"/>
        <v>0</v>
      </c>
      <c r="W17" s="43"/>
    </row>
    <row r="18" spans="1:23" ht="20.25" customHeight="1">
      <c r="A18" s="91">
        <v>8</v>
      </c>
      <c r="B18" s="72" t="s">
        <v>115</v>
      </c>
      <c r="C18" s="72" t="s">
        <v>96</v>
      </c>
      <c r="D18" s="92">
        <v>18000000</v>
      </c>
      <c r="E18" s="93">
        <v>27</v>
      </c>
      <c r="F18" s="93">
        <v>27</v>
      </c>
      <c r="G18" s="43">
        <f t="shared" si="1"/>
        <v>18000000</v>
      </c>
      <c r="H18" s="44">
        <f t="shared" si="2"/>
        <v>1800000</v>
      </c>
      <c r="I18" s="44">
        <f t="shared" si="3"/>
        <v>675000</v>
      </c>
      <c r="J18" s="44">
        <v>200000</v>
      </c>
      <c r="K18" s="70">
        <v>1000000</v>
      </c>
      <c r="L18" s="71">
        <f t="shared" si="4"/>
        <v>21675000</v>
      </c>
      <c r="M18" s="44">
        <f t="shared" si="5"/>
        <v>1440000</v>
      </c>
      <c r="N18" s="44">
        <f t="shared" si="6"/>
        <v>270000</v>
      </c>
      <c r="O18" s="44">
        <f t="shared" si="7"/>
        <v>180000</v>
      </c>
      <c r="P18" s="44">
        <f t="shared" si="8"/>
        <v>1890000</v>
      </c>
      <c r="Q18" s="72">
        <v>2</v>
      </c>
      <c r="R18" s="44">
        <f t="shared" si="9"/>
        <v>19800000</v>
      </c>
      <c r="S18" s="44">
        <v>11000000</v>
      </c>
      <c r="T18" s="44">
        <v>8800000</v>
      </c>
      <c r="U18" s="44">
        <f t="shared" si="10"/>
        <v>0</v>
      </c>
      <c r="V18" s="43">
        <f t="shared" si="11"/>
        <v>0</v>
      </c>
      <c r="W18" s="43"/>
    </row>
    <row r="19" spans="1:23" ht="20.25" customHeight="1">
      <c r="A19" s="91">
        <v>9</v>
      </c>
      <c r="B19" s="72" t="s">
        <v>119</v>
      </c>
      <c r="C19" s="72" t="s">
        <v>100</v>
      </c>
      <c r="D19" s="94">
        <v>12000000</v>
      </c>
      <c r="E19" s="93">
        <v>27</v>
      </c>
      <c r="F19" s="93">
        <v>27</v>
      </c>
      <c r="G19" s="43">
        <f t="shared" si="1"/>
        <v>12000000</v>
      </c>
      <c r="H19" s="44">
        <f t="shared" si="2"/>
        <v>1200000</v>
      </c>
      <c r="I19" s="44">
        <f t="shared" si="3"/>
        <v>675000</v>
      </c>
      <c r="J19" s="44"/>
      <c r="K19" s="70"/>
      <c r="L19" s="71">
        <f t="shared" si="4"/>
        <v>13875000</v>
      </c>
      <c r="M19" s="44">
        <f t="shared" si="5"/>
        <v>960000</v>
      </c>
      <c r="N19" s="44">
        <f t="shared" si="6"/>
        <v>180000</v>
      </c>
      <c r="O19" s="44">
        <f t="shared" si="7"/>
        <v>120000</v>
      </c>
      <c r="P19" s="44">
        <f t="shared" si="8"/>
        <v>1260000</v>
      </c>
      <c r="Q19" s="44">
        <v>1</v>
      </c>
      <c r="R19" s="44">
        <f t="shared" si="9"/>
        <v>13200000</v>
      </c>
      <c r="S19" s="44">
        <v>11000000</v>
      </c>
      <c r="T19" s="44">
        <v>4400000</v>
      </c>
      <c r="U19" s="44">
        <f t="shared" si="10"/>
        <v>0</v>
      </c>
      <c r="V19" s="43">
        <f t="shared" si="11"/>
        <v>0</v>
      </c>
      <c r="W19" s="43"/>
    </row>
    <row r="20" spans="1:23" s="76" customFormat="1" ht="20.25" customHeight="1">
      <c r="A20" s="87" t="s">
        <v>177</v>
      </c>
      <c r="B20" s="88" t="s">
        <v>268</v>
      </c>
      <c r="C20" s="89"/>
      <c r="D20" s="90">
        <f>SUBTOTAL(9,D21:D24)</f>
        <v>48000000</v>
      </c>
      <c r="E20" s="90">
        <f>SUBTOTAL(9,E21:E24)</f>
        <v>108</v>
      </c>
      <c r="F20" s="90">
        <f>SUBTOTAL(9,F21:F24)</f>
        <v>105</v>
      </c>
      <c r="G20" s="42">
        <f>SUBTOTAL(9,G21:G24)</f>
        <v>46666667</v>
      </c>
      <c r="H20" s="42">
        <f t="shared" ref="H20:P20" si="12">SUBTOTAL(9,H21:H24)</f>
        <v>4666667</v>
      </c>
      <c r="I20" s="42">
        <f t="shared" si="12"/>
        <v>2625000</v>
      </c>
      <c r="J20" s="42">
        <f t="shared" si="12"/>
        <v>0</v>
      </c>
      <c r="K20" s="42">
        <f t="shared" si="12"/>
        <v>0</v>
      </c>
      <c r="L20" s="42">
        <f t="shared" si="12"/>
        <v>53958334</v>
      </c>
      <c r="M20" s="42">
        <f t="shared" si="12"/>
        <v>3840000</v>
      </c>
      <c r="N20" s="42">
        <f t="shared" si="12"/>
        <v>720000</v>
      </c>
      <c r="O20" s="42">
        <f t="shared" si="12"/>
        <v>480000</v>
      </c>
      <c r="P20" s="42">
        <f t="shared" si="12"/>
        <v>5040000</v>
      </c>
      <c r="Q20" s="42">
        <f t="shared" ref="Q20:W20" si="13">SUBTOTAL(9,Q21:Q24)</f>
        <v>0</v>
      </c>
      <c r="R20" s="42">
        <f t="shared" si="13"/>
        <v>51333334</v>
      </c>
      <c r="S20" s="42">
        <f t="shared" si="13"/>
        <v>44000000</v>
      </c>
      <c r="T20" s="42">
        <f t="shared" si="13"/>
        <v>0</v>
      </c>
      <c r="U20" s="42">
        <f t="shared" si="13"/>
        <v>7333334</v>
      </c>
      <c r="V20" s="42">
        <f t="shared" si="13"/>
        <v>366666.7</v>
      </c>
      <c r="W20" s="42">
        <f t="shared" si="13"/>
        <v>0</v>
      </c>
    </row>
    <row r="21" spans="1:23" ht="20.25" customHeight="1">
      <c r="A21" s="95">
        <v>1</v>
      </c>
      <c r="B21" s="72" t="s">
        <v>122</v>
      </c>
      <c r="C21" s="72" t="s">
        <v>124</v>
      </c>
      <c r="D21" s="94">
        <v>12000000</v>
      </c>
      <c r="E21" s="93">
        <v>27</v>
      </c>
      <c r="F21" s="93">
        <v>27</v>
      </c>
      <c r="G21" s="43">
        <f t="shared" si="1"/>
        <v>12000000</v>
      </c>
      <c r="H21" s="44">
        <f t="shared" si="2"/>
        <v>1200000</v>
      </c>
      <c r="I21" s="44">
        <f t="shared" si="3"/>
        <v>675000</v>
      </c>
      <c r="J21" s="116"/>
      <c r="K21" s="116"/>
      <c r="L21" s="71">
        <f t="shared" si="4"/>
        <v>13875000</v>
      </c>
      <c r="M21" s="44">
        <f t="shared" si="5"/>
        <v>960000</v>
      </c>
      <c r="N21" s="44">
        <f t="shared" si="6"/>
        <v>180000</v>
      </c>
      <c r="O21" s="44">
        <f t="shared" si="7"/>
        <v>120000</v>
      </c>
      <c r="P21" s="44">
        <f t="shared" si="8"/>
        <v>1260000</v>
      </c>
      <c r="Q21" s="44"/>
      <c r="R21" s="44">
        <f>G21+H21</f>
        <v>13200000</v>
      </c>
      <c r="S21" s="44">
        <v>11000000</v>
      </c>
      <c r="T21" s="44"/>
      <c r="U21" s="44">
        <f t="shared" si="10"/>
        <v>2200000</v>
      </c>
      <c r="V21" s="43">
        <f t="shared" si="11"/>
        <v>110000</v>
      </c>
      <c r="W21" s="116"/>
    </row>
    <row r="22" spans="1:23" ht="20.25" customHeight="1">
      <c r="A22" s="95">
        <v>2</v>
      </c>
      <c r="B22" s="72" t="s">
        <v>127</v>
      </c>
      <c r="C22" s="72" t="s">
        <v>124</v>
      </c>
      <c r="D22" s="94">
        <v>12000000</v>
      </c>
      <c r="E22" s="93">
        <v>27</v>
      </c>
      <c r="F22" s="93">
        <v>24</v>
      </c>
      <c r="G22" s="43">
        <f t="shared" si="1"/>
        <v>10666667</v>
      </c>
      <c r="H22" s="44">
        <f t="shared" si="2"/>
        <v>1066667</v>
      </c>
      <c r="I22" s="44">
        <f t="shared" si="3"/>
        <v>600000</v>
      </c>
      <c r="J22" s="116"/>
      <c r="K22" s="116"/>
      <c r="L22" s="71">
        <f t="shared" si="4"/>
        <v>12333334</v>
      </c>
      <c r="M22" s="44">
        <f t="shared" si="5"/>
        <v>960000</v>
      </c>
      <c r="N22" s="44">
        <f t="shared" si="6"/>
        <v>180000</v>
      </c>
      <c r="O22" s="44">
        <f t="shared" si="7"/>
        <v>120000</v>
      </c>
      <c r="P22" s="44">
        <f t="shared" si="8"/>
        <v>1260000</v>
      </c>
      <c r="Q22" s="44"/>
      <c r="R22" s="44">
        <f>G22+H22</f>
        <v>11733334</v>
      </c>
      <c r="S22" s="44">
        <v>11000000</v>
      </c>
      <c r="T22" s="44"/>
      <c r="U22" s="44">
        <f t="shared" si="10"/>
        <v>733334</v>
      </c>
      <c r="V22" s="43">
        <f t="shared" si="11"/>
        <v>36666.700000000004</v>
      </c>
      <c r="W22" s="116"/>
    </row>
    <row r="23" spans="1:23" ht="20.25" customHeight="1">
      <c r="A23" s="95">
        <v>3</v>
      </c>
      <c r="B23" s="72" t="s">
        <v>130</v>
      </c>
      <c r="C23" s="72" t="s">
        <v>124</v>
      </c>
      <c r="D23" s="94">
        <v>12000000</v>
      </c>
      <c r="E23" s="93">
        <v>27</v>
      </c>
      <c r="F23" s="93">
        <v>27</v>
      </c>
      <c r="G23" s="43">
        <f t="shared" si="1"/>
        <v>12000000</v>
      </c>
      <c r="H23" s="44">
        <f t="shared" si="2"/>
        <v>1200000</v>
      </c>
      <c r="I23" s="44">
        <f t="shared" si="3"/>
        <v>675000</v>
      </c>
      <c r="J23" s="116"/>
      <c r="K23" s="116"/>
      <c r="L23" s="71">
        <f t="shared" si="4"/>
        <v>13875000</v>
      </c>
      <c r="M23" s="44">
        <f t="shared" si="5"/>
        <v>960000</v>
      </c>
      <c r="N23" s="44">
        <f t="shared" si="6"/>
        <v>180000</v>
      </c>
      <c r="O23" s="44">
        <f t="shared" si="7"/>
        <v>120000</v>
      </c>
      <c r="P23" s="44">
        <f t="shared" si="8"/>
        <v>1260000</v>
      </c>
      <c r="Q23" s="44"/>
      <c r="R23" s="44">
        <f>G23+H23</f>
        <v>13200000</v>
      </c>
      <c r="S23" s="44">
        <v>11000000</v>
      </c>
      <c r="T23" s="44"/>
      <c r="U23" s="44">
        <f t="shared" si="10"/>
        <v>2200000</v>
      </c>
      <c r="V23" s="43">
        <f t="shared" si="11"/>
        <v>110000</v>
      </c>
      <c r="W23" s="116"/>
    </row>
    <row r="24" spans="1:23" ht="20.25" customHeight="1">
      <c r="A24" s="95">
        <v>4</v>
      </c>
      <c r="B24" s="72" t="s">
        <v>133</v>
      </c>
      <c r="C24" s="72" t="s">
        <v>124</v>
      </c>
      <c r="D24" s="94">
        <v>12000000</v>
      </c>
      <c r="E24" s="93">
        <v>27</v>
      </c>
      <c r="F24" s="93">
        <v>27</v>
      </c>
      <c r="G24" s="43">
        <f t="shared" si="1"/>
        <v>12000000</v>
      </c>
      <c r="H24" s="44">
        <f t="shared" si="2"/>
        <v>1200000</v>
      </c>
      <c r="I24" s="44">
        <f t="shared" si="3"/>
        <v>675000</v>
      </c>
      <c r="J24" s="116"/>
      <c r="K24" s="116"/>
      <c r="L24" s="71">
        <f t="shared" si="4"/>
        <v>13875000</v>
      </c>
      <c r="M24" s="44">
        <f t="shared" si="5"/>
        <v>960000</v>
      </c>
      <c r="N24" s="44">
        <f t="shared" si="6"/>
        <v>180000</v>
      </c>
      <c r="O24" s="44">
        <f t="shared" si="7"/>
        <v>120000</v>
      </c>
      <c r="P24" s="44">
        <f t="shared" si="8"/>
        <v>1260000</v>
      </c>
      <c r="Q24" s="44"/>
      <c r="R24" s="44">
        <f>G24+H24</f>
        <v>13200000</v>
      </c>
      <c r="S24" s="44">
        <v>11000000</v>
      </c>
      <c r="T24" s="44"/>
      <c r="U24" s="44">
        <f t="shared" si="10"/>
        <v>2200000</v>
      </c>
      <c r="V24" s="43">
        <f t="shared" si="11"/>
        <v>110000</v>
      </c>
      <c r="W24" s="116"/>
    </row>
    <row r="25" spans="1:23" s="75" customFormat="1" ht="20.25" customHeight="1">
      <c r="A25" s="87"/>
      <c r="B25" s="88" t="s">
        <v>269</v>
      </c>
      <c r="C25" s="89"/>
      <c r="D25" s="90">
        <f>SUBTOTAL(9,D10:D24)</f>
        <v>189000000</v>
      </c>
      <c r="E25" s="90">
        <f>SUBTOTAL(9,E10:E24)</f>
        <v>351</v>
      </c>
      <c r="F25" s="90">
        <f>SUBTOTAL(9,F10:F24)</f>
        <v>346</v>
      </c>
      <c r="G25" s="90">
        <f>SUBTOTAL(9,G10:G24)</f>
        <v>186925926</v>
      </c>
      <c r="H25" s="90">
        <f t="shared" ref="H25:R25" si="14">SUBTOTAL(9,H10:H24)</f>
        <v>18692593</v>
      </c>
      <c r="I25" s="90">
        <f t="shared" si="14"/>
        <v>8650000</v>
      </c>
      <c r="J25" s="90">
        <f t="shared" si="14"/>
        <v>1400000</v>
      </c>
      <c r="K25" s="90">
        <f t="shared" si="14"/>
        <v>6500000</v>
      </c>
      <c r="L25" s="90">
        <f t="shared" si="14"/>
        <v>222168519</v>
      </c>
      <c r="M25" s="90">
        <f t="shared" si="14"/>
        <v>15120000</v>
      </c>
      <c r="N25" s="90">
        <f t="shared" si="14"/>
        <v>2835000</v>
      </c>
      <c r="O25" s="90">
        <f t="shared" si="14"/>
        <v>1890000</v>
      </c>
      <c r="P25" s="90">
        <f t="shared" si="14"/>
        <v>19845000</v>
      </c>
      <c r="Q25" s="90">
        <f t="shared" si="14"/>
        <v>9</v>
      </c>
      <c r="R25" s="90">
        <f t="shared" si="14"/>
        <v>205618519</v>
      </c>
      <c r="S25" s="90">
        <f>SUBTOTAL(9,S10:S24)</f>
        <v>143000000</v>
      </c>
      <c r="T25" s="90">
        <f>SUBTOTAL(9,T10:T24)</f>
        <v>39600000</v>
      </c>
      <c r="U25" s="90">
        <f>SUBTOTAL(9,U10:U24)</f>
        <v>26033334</v>
      </c>
      <c r="V25" s="90">
        <f>SUBTOTAL(9,V10:V24)</f>
        <v>1626666.7</v>
      </c>
      <c r="W25" s="90">
        <f>SUBTOTAL(9,W10:W24)</f>
        <v>0</v>
      </c>
    </row>
    <row r="26" spans="1:23" s="311" customFormat="1" ht="20.25" customHeight="1">
      <c r="A26" s="307"/>
      <c r="B26" s="308"/>
      <c r="C26" s="309"/>
      <c r="D26" s="310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>
        <f>P25+LUONG2!P20+'Bang PB TL va BHXH'!K16</f>
        <v>89420000</v>
      </c>
      <c r="Q26" s="310"/>
      <c r="R26" s="310"/>
      <c r="S26" s="310"/>
      <c r="T26" s="310"/>
      <c r="U26" s="310"/>
      <c r="V26" s="310"/>
      <c r="W26" s="310"/>
    </row>
    <row r="27" spans="1:23">
      <c r="A27" s="96"/>
      <c r="B27" s="97"/>
      <c r="C27" s="98"/>
      <c r="D27" s="99"/>
      <c r="E27" s="100"/>
      <c r="F27" s="101"/>
      <c r="G27" s="100"/>
      <c r="H27" s="100"/>
      <c r="I27" s="100"/>
      <c r="J27" s="100"/>
      <c r="K27" s="101"/>
      <c r="L27" s="100"/>
      <c r="M27" s="342" t="s">
        <v>270</v>
      </c>
      <c r="N27" s="342"/>
      <c r="O27" s="342"/>
      <c r="P27" s="342"/>
      <c r="Q27" s="342"/>
      <c r="R27" s="342"/>
      <c r="S27" s="342"/>
      <c r="T27" s="342"/>
      <c r="U27" s="342"/>
      <c r="V27" s="342"/>
      <c r="W27" s="342"/>
    </row>
    <row r="28" spans="1:23">
      <c r="A28" s="83"/>
      <c r="B28" s="102"/>
      <c r="C28" s="103" t="s">
        <v>16</v>
      </c>
      <c r="D28" s="104"/>
      <c r="E28" s="105"/>
      <c r="F28" s="106"/>
      <c r="G28" s="106"/>
      <c r="I28" s="106"/>
      <c r="J28" s="106"/>
      <c r="K28" s="106" t="s">
        <v>17</v>
      </c>
      <c r="L28" s="106"/>
      <c r="M28" s="343" t="s">
        <v>271</v>
      </c>
      <c r="N28" s="343"/>
      <c r="O28" s="343"/>
      <c r="P28" s="343"/>
      <c r="Q28" s="343"/>
      <c r="R28" s="343"/>
      <c r="S28" s="343"/>
      <c r="T28" s="343"/>
      <c r="U28" s="343"/>
      <c r="V28" s="343"/>
      <c r="W28" s="343"/>
    </row>
    <row r="29" spans="1:23">
      <c r="A29" s="96"/>
      <c r="B29" s="107"/>
      <c r="C29" s="108" t="s">
        <v>19</v>
      </c>
      <c r="D29" s="109"/>
      <c r="E29" s="100"/>
      <c r="F29" s="110"/>
      <c r="G29" s="111"/>
      <c r="I29" s="111"/>
      <c r="J29" s="111"/>
      <c r="K29" s="111" t="s">
        <v>19</v>
      </c>
      <c r="L29" s="111"/>
      <c r="M29" s="342" t="s">
        <v>20</v>
      </c>
      <c r="N29" s="342"/>
      <c r="O29" s="342"/>
      <c r="P29" s="342"/>
      <c r="Q29" s="342"/>
      <c r="R29" s="342"/>
      <c r="S29" s="342"/>
      <c r="T29" s="342"/>
      <c r="U29" s="342"/>
      <c r="V29" s="342"/>
      <c r="W29" s="342"/>
    </row>
    <row r="30" spans="1:23">
      <c r="A30" s="96"/>
      <c r="B30" s="97"/>
      <c r="C30" s="103"/>
      <c r="D30" s="104"/>
      <c r="E30" s="105"/>
      <c r="F30" s="106"/>
      <c r="G30" s="105"/>
      <c r="H30" s="105"/>
      <c r="I30" s="105"/>
      <c r="J30" s="105"/>
      <c r="K30" s="106"/>
      <c r="L30" s="105"/>
      <c r="M30" s="105"/>
      <c r="N30" s="105"/>
      <c r="O30" s="105"/>
      <c r="P30" s="343"/>
      <c r="Q30" s="343"/>
      <c r="R30" s="343"/>
      <c r="S30" s="343"/>
      <c r="T30" s="343"/>
      <c r="U30" s="343"/>
      <c r="V30" s="100"/>
      <c r="W30" s="100"/>
    </row>
    <row r="31" spans="1:23">
      <c r="L31" s="117"/>
      <c r="M31" s="117"/>
      <c r="N31" s="117"/>
    </row>
    <row r="35" spans="3:18" s="31" customFormat="1" ht="15">
      <c r="C35" s="298" t="s">
        <v>111</v>
      </c>
      <c r="D35" s="32"/>
      <c r="K35" s="298" t="s">
        <v>106</v>
      </c>
      <c r="R35" s="298" t="s">
        <v>85</v>
      </c>
    </row>
  </sheetData>
  <mergeCells count="25">
    <mergeCell ref="O1:W2"/>
    <mergeCell ref="M27:W27"/>
    <mergeCell ref="M28:W28"/>
    <mergeCell ref="M29:W29"/>
    <mergeCell ref="P30:U30"/>
    <mergeCell ref="U7:U8"/>
    <mergeCell ref="V7:V8"/>
    <mergeCell ref="P3:U3"/>
    <mergeCell ref="A4:W4"/>
    <mergeCell ref="A5:W5"/>
    <mergeCell ref="N6:W6"/>
    <mergeCell ref="S7:T7"/>
    <mergeCell ref="W7:W8"/>
    <mergeCell ref="A7:A8"/>
    <mergeCell ref="B7:B8"/>
    <mergeCell ref="C7:C8"/>
    <mergeCell ref="Q7:Q8"/>
    <mergeCell ref="R7:R8"/>
    <mergeCell ref="H7:K7"/>
    <mergeCell ref="M7:P7"/>
    <mergeCell ref="D7:D8"/>
    <mergeCell ref="E7:E8"/>
    <mergeCell ref="F7:F8"/>
    <mergeCell ref="G7:G8"/>
    <mergeCell ref="L7:L8"/>
  </mergeCells>
  <pageMargins left="0.7" right="0.7" top="0.75" bottom="0.75" header="0.3" footer="0.3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="80" zoomScaleNormal="80" workbookViewId="0">
      <selection activeCell="K17" sqref="K17"/>
    </sheetView>
  </sheetViews>
  <sheetFormatPr defaultColWidth="9.140625" defaultRowHeight="12"/>
  <cols>
    <col min="1" max="1" width="5.85546875" style="31" customWidth="1"/>
    <col min="2" max="2" width="13.5703125" style="31" customWidth="1"/>
    <col min="3" max="3" width="5.42578125" style="31" customWidth="1"/>
    <col min="4" max="4" width="11.7109375" style="32" customWidth="1"/>
    <col min="5" max="5" width="5" style="31" customWidth="1"/>
    <col min="6" max="6" width="5.140625" style="31" customWidth="1"/>
    <col min="7" max="7" width="14.42578125" style="31" customWidth="1"/>
    <col min="8" max="8" width="11.85546875" style="31" customWidth="1"/>
    <col min="9" max="9" width="15.140625" style="31" customWidth="1"/>
    <col min="10" max="10" width="13.140625" style="31" customWidth="1"/>
    <col min="11" max="11" width="12.85546875" style="31" customWidth="1"/>
    <col min="12" max="12" width="12.5703125" style="31" customWidth="1"/>
    <col min="13" max="13" width="13.140625" style="31" customWidth="1"/>
    <col min="14" max="15" width="11.7109375" style="31" customWidth="1"/>
    <col min="16" max="16" width="13.28515625" style="31" customWidth="1"/>
    <col min="17" max="17" width="5" style="31" customWidth="1"/>
    <col min="18" max="18" width="12" style="31" customWidth="1"/>
    <col min="19" max="19" width="12.140625" style="31" customWidth="1"/>
    <col min="20" max="20" width="12.28515625" style="31" customWidth="1"/>
    <col min="21" max="16384" width="9.140625" style="31"/>
  </cols>
  <sheetData>
    <row r="1" spans="1:27" ht="18.75" customHeight="1">
      <c r="A1" s="300" t="s">
        <v>504</v>
      </c>
      <c r="B1" s="33"/>
      <c r="C1" s="33"/>
      <c r="D1" s="33"/>
      <c r="E1" s="33"/>
      <c r="F1" s="355"/>
      <c r="G1" s="355"/>
      <c r="H1" s="355"/>
      <c r="I1" s="355"/>
      <c r="J1" s="355"/>
      <c r="K1" s="355"/>
      <c r="L1" s="355"/>
      <c r="M1" s="65"/>
      <c r="N1" s="66"/>
      <c r="O1" s="374" t="s">
        <v>239</v>
      </c>
      <c r="P1" s="374"/>
      <c r="Q1" s="374"/>
      <c r="R1" s="374"/>
      <c r="S1" s="374"/>
      <c r="T1" s="374"/>
      <c r="U1" s="374"/>
    </row>
    <row r="2" spans="1:27" ht="18.75" customHeight="1">
      <c r="A2" s="299" t="s">
        <v>505</v>
      </c>
      <c r="B2" s="34"/>
      <c r="C2" s="34"/>
      <c r="D2" s="34"/>
      <c r="E2" s="34"/>
      <c r="F2" s="34"/>
      <c r="G2" s="34"/>
      <c r="H2" s="35"/>
      <c r="I2" s="35"/>
      <c r="J2" s="35"/>
      <c r="K2" s="35"/>
      <c r="L2" s="35"/>
      <c r="M2" s="35"/>
      <c r="N2" s="68"/>
      <c r="O2" s="374"/>
      <c r="P2" s="374"/>
      <c r="Q2" s="374"/>
      <c r="R2" s="374"/>
      <c r="S2" s="374"/>
      <c r="T2" s="374"/>
      <c r="U2" s="374"/>
    </row>
    <row r="3" spans="1:27">
      <c r="A3" s="33"/>
      <c r="B3" s="36"/>
      <c r="C3" s="36"/>
      <c r="D3" s="37"/>
      <c r="E3" s="36"/>
      <c r="F3" s="36"/>
      <c r="G3" s="36"/>
      <c r="H3" s="35"/>
      <c r="I3" s="35"/>
      <c r="J3" s="35"/>
      <c r="K3" s="35"/>
      <c r="L3" s="35"/>
      <c r="M3" s="35"/>
      <c r="N3" s="68"/>
      <c r="O3" s="67"/>
      <c r="P3" s="356" t="s">
        <v>240</v>
      </c>
      <c r="Q3" s="356"/>
      <c r="R3" s="356"/>
      <c r="S3" s="356"/>
      <c r="T3" s="67"/>
      <c r="U3" s="67"/>
    </row>
    <row r="4" spans="1:27" ht="21.75" customHeight="1">
      <c r="A4" s="357" t="s">
        <v>241</v>
      </c>
      <c r="B4" s="357"/>
      <c r="C4" s="357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X4" s="31">
        <f>15%*S10-750000</f>
        <v>900000</v>
      </c>
      <c r="Y4" s="74">
        <f>X4-T10</f>
        <v>900000</v>
      </c>
      <c r="AA4" s="31">
        <f>250000+500000+675000*15%</f>
        <v>851250</v>
      </c>
    </row>
    <row r="5" spans="1:27">
      <c r="A5" s="358" t="s">
        <v>457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</row>
    <row r="6" spans="1:27" ht="12.75" thickBot="1">
      <c r="A6" s="38"/>
      <c r="B6" s="38"/>
      <c r="C6" s="38"/>
      <c r="D6" s="39"/>
      <c r="E6" s="38"/>
      <c r="F6" s="38"/>
      <c r="G6" s="38"/>
      <c r="H6" s="38"/>
      <c r="I6" s="38"/>
      <c r="J6" s="38"/>
      <c r="K6" s="38"/>
      <c r="L6" s="38"/>
      <c r="M6" s="38"/>
      <c r="N6" s="359" t="s">
        <v>242</v>
      </c>
      <c r="O6" s="359"/>
      <c r="P6" s="359"/>
      <c r="Q6" s="359"/>
      <c r="R6" s="359"/>
      <c r="S6" s="359"/>
      <c r="T6" s="359"/>
      <c r="U6" s="359"/>
    </row>
    <row r="7" spans="1:27" ht="15" customHeight="1" thickTop="1">
      <c r="A7" s="363" t="s">
        <v>0</v>
      </c>
      <c r="B7" s="365" t="s">
        <v>243</v>
      </c>
      <c r="C7" s="367" t="s">
        <v>244</v>
      </c>
      <c r="D7" s="210"/>
      <c r="E7" s="211"/>
      <c r="F7" s="368" t="s">
        <v>247</v>
      </c>
      <c r="G7" s="360" t="s">
        <v>248</v>
      </c>
      <c r="H7" s="360" t="s">
        <v>249</v>
      </c>
      <c r="I7" s="360"/>
      <c r="J7" s="360"/>
      <c r="K7" s="360"/>
      <c r="L7" s="360" t="s">
        <v>250</v>
      </c>
      <c r="M7" s="362" t="s">
        <v>251</v>
      </c>
      <c r="N7" s="362"/>
      <c r="O7" s="362"/>
      <c r="P7" s="362"/>
      <c r="Q7" s="360" t="s">
        <v>79</v>
      </c>
      <c r="R7" s="360" t="s">
        <v>252</v>
      </c>
      <c r="S7" s="360" t="s">
        <v>253</v>
      </c>
      <c r="T7" s="360"/>
      <c r="U7" s="360" t="s">
        <v>254</v>
      </c>
      <c r="V7" s="370" t="s">
        <v>255</v>
      </c>
      <c r="W7" s="372" t="s">
        <v>256</v>
      </c>
    </row>
    <row r="8" spans="1:27" ht="41.45" customHeight="1" thickBot="1">
      <c r="A8" s="364"/>
      <c r="B8" s="366"/>
      <c r="C8" s="366"/>
      <c r="D8" s="237" t="s">
        <v>245</v>
      </c>
      <c r="E8" s="238" t="s">
        <v>246</v>
      </c>
      <c r="F8" s="369"/>
      <c r="G8" s="361"/>
      <c r="H8" s="239" t="s">
        <v>257</v>
      </c>
      <c r="I8" s="240" t="s">
        <v>258</v>
      </c>
      <c r="J8" s="239" t="s">
        <v>259</v>
      </c>
      <c r="K8" s="240" t="s">
        <v>260</v>
      </c>
      <c r="L8" s="361"/>
      <c r="M8" s="240" t="s">
        <v>261</v>
      </c>
      <c r="N8" s="240" t="s">
        <v>262</v>
      </c>
      <c r="O8" s="240" t="s">
        <v>263</v>
      </c>
      <c r="P8" s="241" t="s">
        <v>264</v>
      </c>
      <c r="Q8" s="361"/>
      <c r="R8" s="361"/>
      <c r="S8" s="240" t="s">
        <v>265</v>
      </c>
      <c r="T8" s="240" t="s">
        <v>266</v>
      </c>
      <c r="U8" s="361"/>
      <c r="V8" s="371"/>
      <c r="W8" s="373"/>
    </row>
    <row r="9" spans="1:27" s="30" customFormat="1" ht="20.25" customHeight="1" thickBot="1">
      <c r="A9" s="250" t="s">
        <v>5</v>
      </c>
      <c r="B9" s="251" t="s">
        <v>272</v>
      </c>
      <c r="C9" s="252"/>
      <c r="D9" s="253">
        <f>SUBTOTAL(9,D10)</f>
        <v>10000000</v>
      </c>
      <c r="E9" s="253">
        <f>SUBTOTAL(9,E10)</f>
        <v>27</v>
      </c>
      <c r="F9" s="253">
        <f>SUBTOTAL(9,F10)</f>
        <v>27</v>
      </c>
      <c r="G9" s="254">
        <f>SUBTOTAL(9,G10:G10)</f>
        <v>10000000</v>
      </c>
      <c r="H9" s="254">
        <f t="shared" ref="H9:V9" si="0">SUBTOTAL(9,H10:H10)</f>
        <v>1000000</v>
      </c>
      <c r="I9" s="254">
        <f t="shared" si="0"/>
        <v>675000</v>
      </c>
      <c r="J9" s="254">
        <f t="shared" si="0"/>
        <v>100000</v>
      </c>
      <c r="K9" s="254">
        <f t="shared" si="0"/>
        <v>500000</v>
      </c>
      <c r="L9" s="254">
        <f t="shared" si="0"/>
        <v>12275000</v>
      </c>
      <c r="M9" s="254">
        <f t="shared" si="0"/>
        <v>800000</v>
      </c>
      <c r="N9" s="254">
        <f t="shared" si="0"/>
        <v>150000</v>
      </c>
      <c r="O9" s="254">
        <f t="shared" si="0"/>
        <v>100000</v>
      </c>
      <c r="P9" s="254">
        <f t="shared" si="0"/>
        <v>1050000</v>
      </c>
      <c r="Q9" s="254">
        <f t="shared" si="0"/>
        <v>0</v>
      </c>
      <c r="R9" s="254">
        <f t="shared" si="0"/>
        <v>11000000</v>
      </c>
      <c r="S9" s="254">
        <f t="shared" si="0"/>
        <v>11000000</v>
      </c>
      <c r="T9" s="254">
        <f t="shared" si="0"/>
        <v>0</v>
      </c>
      <c r="U9" s="254">
        <f t="shared" si="0"/>
        <v>0</v>
      </c>
      <c r="V9" s="254">
        <f t="shared" si="0"/>
        <v>0</v>
      </c>
      <c r="W9" s="255"/>
    </row>
    <row r="10" spans="1:27" ht="20.25" customHeight="1" thickBot="1">
      <c r="A10" s="276">
        <v>1</v>
      </c>
      <c r="B10" s="256" t="s">
        <v>136</v>
      </c>
      <c r="C10" s="257" t="s">
        <v>138</v>
      </c>
      <c r="D10" s="258">
        <v>10000000</v>
      </c>
      <c r="E10" s="259">
        <v>27</v>
      </c>
      <c r="F10" s="259">
        <v>27</v>
      </c>
      <c r="G10" s="260">
        <f>ROUND(D10/E10*F10,0)</f>
        <v>10000000</v>
      </c>
      <c r="H10" s="261">
        <f>ROUND(D10*10%*F10/E10,0)</f>
        <v>1000000</v>
      </c>
      <c r="I10" s="261">
        <f>F10*25000</f>
        <v>675000</v>
      </c>
      <c r="J10" s="261">
        <v>100000</v>
      </c>
      <c r="K10" s="262">
        <v>500000</v>
      </c>
      <c r="L10" s="263">
        <f>SUM(G10:K10)</f>
        <v>12275000</v>
      </c>
      <c r="M10" s="261">
        <f>D10*8%</f>
        <v>800000</v>
      </c>
      <c r="N10" s="261">
        <f>D10*1.5%</f>
        <v>150000</v>
      </c>
      <c r="O10" s="261">
        <f>D10*1%</f>
        <v>100000</v>
      </c>
      <c r="P10" s="261">
        <f>SUM(M10:O10)</f>
        <v>1050000</v>
      </c>
      <c r="Q10" s="264"/>
      <c r="R10" s="261">
        <f>G10+H10</f>
        <v>11000000</v>
      </c>
      <c r="S10" s="261">
        <v>11000000</v>
      </c>
      <c r="T10" s="261"/>
      <c r="U10" s="261">
        <f>IF(R10-(S10+T10)&gt;0,R10-(S10+T10),0)</f>
        <v>0</v>
      </c>
      <c r="V10" s="260">
        <f t="shared" ref="V10:V19" si="1">IF(U10&gt;80000000,35%*U10-9850000,IF(U10&gt;52000000,30%*U10-5850000,IF(U10&gt;32000000,25%*U10-3250000,IF(U10&gt;18000000,20%*U10-1650000,IF(U10&gt;10000000,15%*U10-750000,IF(U10&gt;5000000,10%*U10-250000,5%*U10))))))</f>
        <v>0</v>
      </c>
      <c r="W10" s="274"/>
    </row>
    <row r="11" spans="1:27" s="30" customFormat="1" ht="20.25" customHeight="1" thickBot="1">
      <c r="A11" s="250" t="s">
        <v>6</v>
      </c>
      <c r="B11" s="251" t="s">
        <v>273</v>
      </c>
      <c r="C11" s="252"/>
      <c r="D11" s="253">
        <f>SUBTOTAL(9,D12:D19)</f>
        <v>64000000</v>
      </c>
      <c r="E11" s="253">
        <f t="shared" ref="E11:V11" si="2">SUBTOTAL(9,E12:E19)</f>
        <v>216</v>
      </c>
      <c r="F11" s="253">
        <f t="shared" si="2"/>
        <v>212</v>
      </c>
      <c r="G11" s="253">
        <f t="shared" si="2"/>
        <v>62814815</v>
      </c>
      <c r="H11" s="253">
        <f t="shared" si="2"/>
        <v>6281481</v>
      </c>
      <c r="I11" s="253">
        <f t="shared" si="2"/>
        <v>5300000</v>
      </c>
      <c r="J11" s="253">
        <f t="shared" si="2"/>
        <v>0</v>
      </c>
      <c r="K11" s="253">
        <f t="shared" si="2"/>
        <v>0</v>
      </c>
      <c r="L11" s="253">
        <f t="shared" si="2"/>
        <v>74396296</v>
      </c>
      <c r="M11" s="253">
        <f t="shared" si="2"/>
        <v>5120000</v>
      </c>
      <c r="N11" s="253">
        <f t="shared" si="2"/>
        <v>960000</v>
      </c>
      <c r="O11" s="253">
        <f t="shared" si="2"/>
        <v>640000</v>
      </c>
      <c r="P11" s="253">
        <f t="shared" si="2"/>
        <v>6720000</v>
      </c>
      <c r="Q11" s="253">
        <f t="shared" si="2"/>
        <v>2</v>
      </c>
      <c r="R11" s="253">
        <f t="shared" si="2"/>
        <v>69096296</v>
      </c>
      <c r="S11" s="253">
        <f t="shared" si="2"/>
        <v>88000000</v>
      </c>
      <c r="T11" s="268">
        <f t="shared" si="2"/>
        <v>8800000</v>
      </c>
      <c r="U11" s="275">
        <f t="shared" si="2"/>
        <v>0</v>
      </c>
      <c r="V11" s="253">
        <f t="shared" si="2"/>
        <v>0</v>
      </c>
      <c r="W11" s="255"/>
    </row>
    <row r="12" spans="1:27" ht="20.25" customHeight="1">
      <c r="A12" s="265">
        <v>1</v>
      </c>
      <c r="B12" s="242" t="s">
        <v>141</v>
      </c>
      <c r="C12" s="266" t="s">
        <v>143</v>
      </c>
      <c r="D12" s="267">
        <v>8000000</v>
      </c>
      <c r="E12" s="243">
        <v>27</v>
      </c>
      <c r="F12" s="243">
        <v>27</v>
      </c>
      <c r="G12" s="244">
        <f t="shared" ref="G12:G19" si="3">ROUND(D12/E12*F12,0)</f>
        <v>8000000</v>
      </c>
      <c r="H12" s="245">
        <f t="shared" ref="H12:H19" si="4">ROUND(D12*10%*F12/E12,0)</f>
        <v>800000</v>
      </c>
      <c r="I12" s="245">
        <f t="shared" ref="I12:I19" si="5">F12*25000</f>
        <v>675000</v>
      </c>
      <c r="J12" s="245"/>
      <c r="K12" s="246"/>
      <c r="L12" s="247">
        <f t="shared" ref="L12:L19" si="6">SUM(G12:K12)</f>
        <v>9475000</v>
      </c>
      <c r="M12" s="245">
        <f t="shared" ref="M12:M19" si="7">D12*8%</f>
        <v>640000</v>
      </c>
      <c r="N12" s="245">
        <f t="shared" ref="N12:N19" si="8">D12*1.5%</f>
        <v>120000</v>
      </c>
      <c r="O12" s="245">
        <f t="shared" ref="O12:O19" si="9">D12*1%</f>
        <v>80000</v>
      </c>
      <c r="P12" s="245">
        <f t="shared" ref="P12:P19" si="10">SUM(M12:O12)</f>
        <v>840000</v>
      </c>
      <c r="Q12" s="248">
        <v>1</v>
      </c>
      <c r="R12" s="245">
        <f t="shared" ref="R12:R19" si="11">G12+H12</f>
        <v>8800000</v>
      </c>
      <c r="S12" s="245">
        <v>11000000</v>
      </c>
      <c r="T12" s="245">
        <v>4400000</v>
      </c>
      <c r="U12" s="245">
        <f>IF(R12-(S12+T12)&gt;0,R12-(S12+T12),0)</f>
        <v>0</v>
      </c>
      <c r="V12" s="244">
        <f t="shared" si="1"/>
        <v>0</v>
      </c>
      <c r="W12" s="249"/>
    </row>
    <row r="13" spans="1:27" ht="20.25" customHeight="1">
      <c r="A13" s="220">
        <v>2</v>
      </c>
      <c r="B13" s="212" t="s">
        <v>146</v>
      </c>
      <c r="C13" s="221" t="s">
        <v>143</v>
      </c>
      <c r="D13" s="222">
        <v>8000000</v>
      </c>
      <c r="E13" s="213">
        <v>27</v>
      </c>
      <c r="F13" s="213">
        <v>27</v>
      </c>
      <c r="G13" s="214">
        <f t="shared" si="3"/>
        <v>8000000</v>
      </c>
      <c r="H13" s="215">
        <f t="shared" si="4"/>
        <v>800000</v>
      </c>
      <c r="I13" s="215">
        <f t="shared" si="5"/>
        <v>675000</v>
      </c>
      <c r="J13" s="215"/>
      <c r="K13" s="216"/>
      <c r="L13" s="217">
        <f t="shared" si="6"/>
        <v>9475000</v>
      </c>
      <c r="M13" s="215">
        <f t="shared" si="7"/>
        <v>640000</v>
      </c>
      <c r="N13" s="215">
        <f t="shared" si="8"/>
        <v>120000</v>
      </c>
      <c r="O13" s="215">
        <f t="shared" si="9"/>
        <v>80000</v>
      </c>
      <c r="P13" s="215">
        <f t="shared" si="10"/>
        <v>840000</v>
      </c>
      <c r="Q13" s="218"/>
      <c r="R13" s="215">
        <f t="shared" si="11"/>
        <v>8800000</v>
      </c>
      <c r="S13" s="215">
        <v>11000000</v>
      </c>
      <c r="T13" s="215"/>
      <c r="U13" s="215">
        <f>IF(R13-(S13+T13)&gt;0,R13-(S13+T13),0)</f>
        <v>0</v>
      </c>
      <c r="V13" s="214">
        <f t="shared" si="1"/>
        <v>0</v>
      </c>
      <c r="W13" s="219"/>
    </row>
    <row r="14" spans="1:27" ht="20.25" customHeight="1">
      <c r="A14" s="220">
        <v>3</v>
      </c>
      <c r="B14" s="212" t="s">
        <v>149</v>
      </c>
      <c r="C14" s="221" t="s">
        <v>143</v>
      </c>
      <c r="D14" s="222">
        <v>8000000</v>
      </c>
      <c r="E14" s="213">
        <v>27</v>
      </c>
      <c r="F14" s="213">
        <v>27</v>
      </c>
      <c r="G14" s="214">
        <f t="shared" si="3"/>
        <v>8000000</v>
      </c>
      <c r="H14" s="215">
        <f t="shared" si="4"/>
        <v>800000</v>
      </c>
      <c r="I14" s="215">
        <f t="shared" si="5"/>
        <v>675000</v>
      </c>
      <c r="J14" s="215"/>
      <c r="K14" s="216"/>
      <c r="L14" s="217">
        <f t="shared" si="6"/>
        <v>9475000</v>
      </c>
      <c r="M14" s="215">
        <f t="shared" si="7"/>
        <v>640000</v>
      </c>
      <c r="N14" s="215">
        <f t="shared" si="8"/>
        <v>120000</v>
      </c>
      <c r="O14" s="215">
        <f t="shared" si="9"/>
        <v>80000</v>
      </c>
      <c r="P14" s="215">
        <f t="shared" si="10"/>
        <v>840000</v>
      </c>
      <c r="Q14" s="218"/>
      <c r="R14" s="215">
        <f t="shared" si="11"/>
        <v>8800000</v>
      </c>
      <c r="S14" s="215">
        <v>11000000</v>
      </c>
      <c r="T14" s="215"/>
      <c r="U14" s="215">
        <f>IF(R14-(S14+T14)&gt;0,R14-(S14+T14),0)</f>
        <v>0</v>
      </c>
      <c r="V14" s="214">
        <f t="shared" si="1"/>
        <v>0</v>
      </c>
      <c r="W14" s="219"/>
    </row>
    <row r="15" spans="1:27" ht="20.25" customHeight="1">
      <c r="A15" s="220">
        <v>4</v>
      </c>
      <c r="B15" s="212" t="s">
        <v>152</v>
      </c>
      <c r="C15" s="221" t="s">
        <v>143</v>
      </c>
      <c r="D15" s="222">
        <v>8000000</v>
      </c>
      <c r="E15" s="213">
        <v>27</v>
      </c>
      <c r="F15" s="213">
        <v>27</v>
      </c>
      <c r="G15" s="214">
        <f t="shared" si="3"/>
        <v>8000000</v>
      </c>
      <c r="H15" s="215">
        <f t="shared" si="4"/>
        <v>800000</v>
      </c>
      <c r="I15" s="215">
        <f t="shared" si="5"/>
        <v>675000</v>
      </c>
      <c r="J15" s="215"/>
      <c r="K15" s="216"/>
      <c r="L15" s="217">
        <f t="shared" si="6"/>
        <v>9475000</v>
      </c>
      <c r="M15" s="215">
        <f t="shared" si="7"/>
        <v>640000</v>
      </c>
      <c r="N15" s="215">
        <f t="shared" si="8"/>
        <v>120000</v>
      </c>
      <c r="O15" s="215">
        <f t="shared" si="9"/>
        <v>80000</v>
      </c>
      <c r="P15" s="215">
        <f t="shared" si="10"/>
        <v>840000</v>
      </c>
      <c r="Q15" s="223"/>
      <c r="R15" s="215">
        <f t="shared" si="11"/>
        <v>8800000</v>
      </c>
      <c r="S15" s="215">
        <v>11000000</v>
      </c>
      <c r="T15" s="224"/>
      <c r="U15" s="215">
        <f t="shared" ref="U15:U19" si="12">IF(R15-(S15+T15)&gt;0,R15-(S15+T15),0)</f>
        <v>0</v>
      </c>
      <c r="V15" s="214">
        <f t="shared" si="1"/>
        <v>0</v>
      </c>
      <c r="W15" s="219"/>
    </row>
    <row r="16" spans="1:27" ht="20.25" customHeight="1">
      <c r="A16" s="220">
        <v>5</v>
      </c>
      <c r="B16" s="212" t="s">
        <v>155</v>
      </c>
      <c r="C16" s="221" t="s">
        <v>143</v>
      </c>
      <c r="D16" s="222">
        <v>8000000</v>
      </c>
      <c r="E16" s="213">
        <v>27</v>
      </c>
      <c r="F16" s="213">
        <v>27</v>
      </c>
      <c r="G16" s="214">
        <f t="shared" si="3"/>
        <v>8000000</v>
      </c>
      <c r="H16" s="215">
        <f t="shared" si="4"/>
        <v>800000</v>
      </c>
      <c r="I16" s="215">
        <f t="shared" si="5"/>
        <v>675000</v>
      </c>
      <c r="J16" s="215"/>
      <c r="K16" s="216"/>
      <c r="L16" s="217">
        <f t="shared" si="6"/>
        <v>9475000</v>
      </c>
      <c r="M16" s="215">
        <f t="shared" si="7"/>
        <v>640000</v>
      </c>
      <c r="N16" s="215">
        <f t="shared" si="8"/>
        <v>120000</v>
      </c>
      <c r="O16" s="215">
        <f t="shared" si="9"/>
        <v>80000</v>
      </c>
      <c r="P16" s="215">
        <f t="shared" si="10"/>
        <v>840000</v>
      </c>
      <c r="Q16" s="223">
        <v>1</v>
      </c>
      <c r="R16" s="215">
        <f t="shared" si="11"/>
        <v>8800000</v>
      </c>
      <c r="S16" s="215">
        <v>11000000</v>
      </c>
      <c r="T16" s="215">
        <v>4400000</v>
      </c>
      <c r="U16" s="215">
        <f t="shared" si="12"/>
        <v>0</v>
      </c>
      <c r="V16" s="214">
        <f t="shared" si="1"/>
        <v>0</v>
      </c>
      <c r="W16" s="219"/>
    </row>
    <row r="17" spans="1:23" ht="20.25" customHeight="1">
      <c r="A17" s="220">
        <v>6</v>
      </c>
      <c r="B17" s="212" t="s">
        <v>158</v>
      </c>
      <c r="C17" s="221" t="s">
        <v>143</v>
      </c>
      <c r="D17" s="222">
        <v>8000000</v>
      </c>
      <c r="E17" s="213">
        <v>27</v>
      </c>
      <c r="F17" s="213">
        <v>27</v>
      </c>
      <c r="G17" s="214">
        <f t="shared" si="3"/>
        <v>8000000</v>
      </c>
      <c r="H17" s="215">
        <f t="shared" si="4"/>
        <v>800000</v>
      </c>
      <c r="I17" s="215">
        <f t="shared" si="5"/>
        <v>675000</v>
      </c>
      <c r="J17" s="215"/>
      <c r="K17" s="216"/>
      <c r="L17" s="217">
        <f t="shared" si="6"/>
        <v>9475000</v>
      </c>
      <c r="M17" s="215">
        <f t="shared" si="7"/>
        <v>640000</v>
      </c>
      <c r="N17" s="215">
        <f t="shared" si="8"/>
        <v>120000</v>
      </c>
      <c r="O17" s="215">
        <f t="shared" si="9"/>
        <v>80000</v>
      </c>
      <c r="P17" s="215">
        <f t="shared" si="10"/>
        <v>840000</v>
      </c>
      <c r="Q17" s="223"/>
      <c r="R17" s="215">
        <f t="shared" si="11"/>
        <v>8800000</v>
      </c>
      <c r="S17" s="215">
        <v>11000000</v>
      </c>
      <c r="T17" s="224"/>
      <c r="U17" s="215">
        <f t="shared" si="12"/>
        <v>0</v>
      </c>
      <c r="V17" s="214">
        <f t="shared" si="1"/>
        <v>0</v>
      </c>
      <c r="W17" s="219"/>
    </row>
    <row r="18" spans="1:23" ht="20.25" customHeight="1">
      <c r="A18" s="220">
        <v>7</v>
      </c>
      <c r="B18" s="212" t="s">
        <v>161</v>
      </c>
      <c r="C18" s="221" t="s">
        <v>143</v>
      </c>
      <c r="D18" s="222">
        <v>8000000</v>
      </c>
      <c r="E18" s="213">
        <v>27</v>
      </c>
      <c r="F18" s="213">
        <v>23</v>
      </c>
      <c r="G18" s="214">
        <f t="shared" si="3"/>
        <v>6814815</v>
      </c>
      <c r="H18" s="215">
        <f t="shared" si="4"/>
        <v>681481</v>
      </c>
      <c r="I18" s="215">
        <f t="shared" si="5"/>
        <v>575000</v>
      </c>
      <c r="J18" s="215"/>
      <c r="K18" s="216"/>
      <c r="L18" s="217">
        <f t="shared" si="6"/>
        <v>8071296</v>
      </c>
      <c r="M18" s="215">
        <f t="shared" si="7"/>
        <v>640000</v>
      </c>
      <c r="N18" s="215">
        <f t="shared" si="8"/>
        <v>120000</v>
      </c>
      <c r="O18" s="215">
        <f t="shared" si="9"/>
        <v>80000</v>
      </c>
      <c r="P18" s="215">
        <f t="shared" si="10"/>
        <v>840000</v>
      </c>
      <c r="Q18" s="223"/>
      <c r="R18" s="215">
        <f t="shared" si="11"/>
        <v>7496296</v>
      </c>
      <c r="S18" s="215">
        <v>11000000</v>
      </c>
      <c r="T18" s="224"/>
      <c r="U18" s="215">
        <f t="shared" si="12"/>
        <v>0</v>
      </c>
      <c r="V18" s="214">
        <f t="shared" si="1"/>
        <v>0</v>
      </c>
      <c r="W18" s="219"/>
    </row>
    <row r="19" spans="1:23" ht="20.25" customHeight="1" thickBot="1">
      <c r="A19" s="225">
        <v>8</v>
      </c>
      <c r="B19" s="226" t="s">
        <v>164</v>
      </c>
      <c r="C19" s="227" t="s">
        <v>143</v>
      </c>
      <c r="D19" s="228">
        <v>8000000</v>
      </c>
      <c r="E19" s="229">
        <v>27</v>
      </c>
      <c r="F19" s="229">
        <v>27</v>
      </c>
      <c r="G19" s="230">
        <f t="shared" si="3"/>
        <v>8000000</v>
      </c>
      <c r="H19" s="231">
        <f t="shared" si="4"/>
        <v>800000</v>
      </c>
      <c r="I19" s="231">
        <f t="shared" si="5"/>
        <v>675000</v>
      </c>
      <c r="J19" s="231"/>
      <c r="K19" s="232"/>
      <c r="L19" s="233">
        <f t="shared" si="6"/>
        <v>9475000</v>
      </c>
      <c r="M19" s="231">
        <f t="shared" si="7"/>
        <v>640000</v>
      </c>
      <c r="N19" s="231">
        <f t="shared" si="8"/>
        <v>120000</v>
      </c>
      <c r="O19" s="231">
        <f t="shared" si="9"/>
        <v>80000</v>
      </c>
      <c r="P19" s="231">
        <f t="shared" si="10"/>
        <v>840000</v>
      </c>
      <c r="Q19" s="234"/>
      <c r="R19" s="231">
        <f t="shared" si="11"/>
        <v>8800000</v>
      </c>
      <c r="S19" s="231">
        <v>11000000</v>
      </c>
      <c r="T19" s="235"/>
      <c r="U19" s="231">
        <f t="shared" si="12"/>
        <v>0</v>
      </c>
      <c r="V19" s="230">
        <f t="shared" si="1"/>
        <v>0</v>
      </c>
      <c r="W19" s="236"/>
    </row>
    <row r="20" spans="1:23" s="30" customFormat="1" ht="20.25" customHeight="1" thickTop="1" thickBot="1">
      <c r="A20" s="269"/>
      <c r="B20" s="270" t="s">
        <v>269</v>
      </c>
      <c r="C20" s="271"/>
      <c r="D20" s="272">
        <f>SUBTOTAL(9,D9:D19)</f>
        <v>74000000</v>
      </c>
      <c r="E20" s="272">
        <f>SUBTOTAL(9,E9:E19)</f>
        <v>243</v>
      </c>
      <c r="F20" s="272">
        <f>SUBTOTAL(9,F9:F19)</f>
        <v>239</v>
      </c>
      <c r="G20" s="273">
        <f>G9+G11</f>
        <v>72814815</v>
      </c>
      <c r="H20" s="273">
        <f t="shared" ref="H20:W20" si="13">H9+H11</f>
        <v>7281481</v>
      </c>
      <c r="I20" s="273">
        <f t="shared" si="13"/>
        <v>5975000</v>
      </c>
      <c r="J20" s="273">
        <f t="shared" si="13"/>
        <v>100000</v>
      </c>
      <c r="K20" s="273">
        <f t="shared" si="13"/>
        <v>500000</v>
      </c>
      <c r="L20" s="273">
        <f t="shared" si="13"/>
        <v>86671296</v>
      </c>
      <c r="M20" s="273">
        <f t="shared" si="13"/>
        <v>5920000</v>
      </c>
      <c r="N20" s="273">
        <f t="shared" si="13"/>
        <v>1110000</v>
      </c>
      <c r="O20" s="273">
        <f t="shared" si="13"/>
        <v>740000</v>
      </c>
      <c r="P20" s="273">
        <f t="shared" si="13"/>
        <v>7770000</v>
      </c>
      <c r="Q20" s="273">
        <f t="shared" si="13"/>
        <v>2</v>
      </c>
      <c r="R20" s="273">
        <f t="shared" si="13"/>
        <v>80096296</v>
      </c>
      <c r="S20" s="273">
        <f t="shared" si="13"/>
        <v>99000000</v>
      </c>
      <c r="T20" s="273">
        <f t="shared" si="13"/>
        <v>8800000</v>
      </c>
      <c r="U20" s="273">
        <f t="shared" si="13"/>
        <v>0</v>
      </c>
      <c r="V20" s="273">
        <f t="shared" si="13"/>
        <v>0</v>
      </c>
      <c r="W20" s="273">
        <f t="shared" si="13"/>
        <v>0</v>
      </c>
    </row>
    <row r="21" spans="1:23" ht="20.25" customHeight="1">
      <c r="A21" s="45"/>
      <c r="B21" s="46"/>
      <c r="C21" s="47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73"/>
    </row>
    <row r="22" spans="1:23">
      <c r="A22" s="49"/>
      <c r="B22" s="50"/>
      <c r="C22" s="51"/>
      <c r="D22" s="52"/>
      <c r="E22" s="53"/>
      <c r="F22" s="54"/>
      <c r="G22" s="53"/>
      <c r="H22" s="53"/>
      <c r="I22" s="53"/>
      <c r="J22" s="53"/>
      <c r="K22" s="54"/>
      <c r="L22" s="53"/>
      <c r="M22" s="375" t="s">
        <v>270</v>
      </c>
      <c r="N22" s="375"/>
      <c r="O22" s="375"/>
      <c r="P22" s="375"/>
      <c r="Q22" s="375"/>
      <c r="R22" s="375"/>
      <c r="S22" s="375"/>
      <c r="T22" s="375"/>
      <c r="U22" s="375"/>
    </row>
    <row r="23" spans="1:23">
      <c r="A23" s="38"/>
      <c r="B23" s="55"/>
      <c r="C23" s="56" t="s">
        <v>16</v>
      </c>
      <c r="D23" s="57"/>
      <c r="E23" s="58"/>
      <c r="F23" s="59"/>
      <c r="G23" s="59"/>
      <c r="H23" s="59"/>
      <c r="I23" s="59"/>
      <c r="J23" s="297" t="s">
        <v>17</v>
      </c>
      <c r="K23" s="59"/>
      <c r="L23" s="59"/>
      <c r="M23" s="376" t="s">
        <v>271</v>
      </c>
      <c r="N23" s="376"/>
      <c r="O23" s="376"/>
      <c r="P23" s="376"/>
      <c r="Q23" s="376"/>
      <c r="R23" s="376"/>
      <c r="S23" s="376"/>
      <c r="T23" s="376"/>
      <c r="U23" s="376"/>
    </row>
    <row r="24" spans="1:23">
      <c r="A24" s="49"/>
      <c r="B24" s="60"/>
      <c r="C24" s="61" t="s">
        <v>19</v>
      </c>
      <c r="D24" s="62"/>
      <c r="E24" s="53"/>
      <c r="F24" s="63"/>
      <c r="G24" s="64"/>
      <c r="H24" s="64"/>
      <c r="I24" s="64"/>
      <c r="J24" s="296" t="s">
        <v>19</v>
      </c>
      <c r="K24" s="64"/>
      <c r="L24" s="64"/>
      <c r="M24" s="375" t="s">
        <v>20</v>
      </c>
      <c r="N24" s="375"/>
      <c r="O24" s="375"/>
      <c r="P24" s="375"/>
      <c r="Q24" s="375"/>
      <c r="R24" s="375"/>
      <c r="S24" s="375"/>
      <c r="T24" s="375"/>
      <c r="U24" s="375"/>
    </row>
    <row r="25" spans="1:23">
      <c r="A25" s="49"/>
      <c r="B25" s="50"/>
      <c r="C25" s="56"/>
      <c r="D25" s="57"/>
      <c r="E25" s="58"/>
      <c r="F25" s="59"/>
      <c r="G25" s="58"/>
      <c r="H25" s="58"/>
      <c r="I25" s="58"/>
      <c r="J25" s="58"/>
      <c r="K25" s="59"/>
      <c r="L25" s="58"/>
      <c r="M25" s="58"/>
      <c r="N25" s="58"/>
      <c r="O25" s="58"/>
      <c r="P25" s="376"/>
      <c r="Q25" s="376"/>
      <c r="R25" s="376"/>
      <c r="S25" s="376"/>
      <c r="T25" s="53"/>
      <c r="U25" s="53"/>
    </row>
    <row r="30" spans="1:23" ht="15">
      <c r="C30" s="298" t="s">
        <v>111</v>
      </c>
      <c r="J30" s="298" t="s">
        <v>106</v>
      </c>
      <c r="Q30" s="298" t="s">
        <v>85</v>
      </c>
    </row>
  </sheetData>
  <mergeCells count="24">
    <mergeCell ref="V7:V8"/>
    <mergeCell ref="W7:W8"/>
    <mergeCell ref="O1:U2"/>
    <mergeCell ref="M24:U24"/>
    <mergeCell ref="P25:S25"/>
    <mergeCell ref="M22:U22"/>
    <mergeCell ref="M23:U23"/>
    <mergeCell ref="A7:A8"/>
    <mergeCell ref="B7:B8"/>
    <mergeCell ref="C7:C8"/>
    <mergeCell ref="F7:F8"/>
    <mergeCell ref="G7:G8"/>
    <mergeCell ref="L7:L8"/>
    <mergeCell ref="Q7:Q8"/>
    <mergeCell ref="R7:R8"/>
    <mergeCell ref="U7:U8"/>
    <mergeCell ref="H7:K7"/>
    <mergeCell ref="M7:P7"/>
    <mergeCell ref="S7:T7"/>
    <mergeCell ref="F1:L1"/>
    <mergeCell ref="P3:S3"/>
    <mergeCell ref="A4:U4"/>
    <mergeCell ref="A5:U5"/>
    <mergeCell ref="N6:U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abSelected="1" topLeftCell="A7" zoomScale="80" zoomScaleNormal="80" workbookViewId="0">
      <selection activeCell="J24" sqref="J24"/>
    </sheetView>
  </sheetViews>
  <sheetFormatPr defaultColWidth="9.140625" defaultRowHeight="15"/>
  <cols>
    <col min="1" max="3" width="9.140625" style="1"/>
    <col min="4" max="4" width="14.140625" style="24" customWidth="1"/>
    <col min="5" max="5" width="9.140625" style="1"/>
    <col min="6" max="6" width="10.42578125" style="4" customWidth="1"/>
    <col min="7" max="7" width="18.28515625" style="4" customWidth="1"/>
    <col min="8" max="8" width="12.7109375" style="4" customWidth="1"/>
    <col min="9" max="9" width="17" style="4" customWidth="1"/>
    <col min="10" max="10" width="19.85546875" style="4" customWidth="1"/>
    <col min="11" max="11" width="11.7109375" style="4" customWidth="1"/>
    <col min="12" max="12" width="16.28515625" style="4" customWidth="1"/>
    <col min="13" max="13" width="11.85546875" style="4" customWidth="1"/>
    <col min="14" max="14" width="16" style="4" customWidth="1"/>
    <col min="15" max="16384" width="9.140625" style="1"/>
  </cols>
  <sheetData>
    <row r="1" spans="1:24">
      <c r="A1" s="300" t="s">
        <v>504</v>
      </c>
    </row>
    <row r="2" spans="1:24">
      <c r="A2" s="299" t="s">
        <v>505</v>
      </c>
    </row>
    <row r="3" spans="1:24">
      <c r="A3" s="299"/>
    </row>
    <row r="4" spans="1:24" s="23" customFormat="1" ht="53.25" customHeight="1">
      <c r="A4" s="25"/>
      <c r="B4" s="380" t="s">
        <v>274</v>
      </c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28"/>
      <c r="P4" s="28"/>
      <c r="Q4" s="28"/>
      <c r="R4" s="28"/>
      <c r="S4" s="28"/>
      <c r="T4" s="28"/>
      <c r="U4" s="28"/>
      <c r="V4" s="28"/>
      <c r="W4" s="3"/>
      <c r="X4" s="3"/>
    </row>
    <row r="5" spans="1:24" s="23" customFormat="1" ht="15.95" customHeight="1">
      <c r="A5" s="26"/>
      <c r="B5" s="381" t="s">
        <v>470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28"/>
      <c r="P5" s="28"/>
      <c r="Q5" s="28"/>
      <c r="R5" s="28"/>
      <c r="S5" s="28"/>
      <c r="T5" s="28"/>
      <c r="U5" s="28"/>
      <c r="V5" s="28"/>
      <c r="W5" s="3"/>
      <c r="X5" s="3"/>
    </row>
    <row r="6" spans="1:24" s="23" customFormat="1" ht="15.95" customHeight="1">
      <c r="A6" s="387" t="s">
        <v>0</v>
      </c>
      <c r="B6" s="388" t="s">
        <v>275</v>
      </c>
      <c r="C6" s="388" t="s">
        <v>276</v>
      </c>
      <c r="D6" s="389" t="s">
        <v>277</v>
      </c>
      <c r="E6" s="388" t="s">
        <v>3</v>
      </c>
      <c r="F6" s="383" t="s">
        <v>278</v>
      </c>
      <c r="G6" s="383"/>
      <c r="H6" s="383" t="s">
        <v>279</v>
      </c>
      <c r="I6" s="383"/>
      <c r="J6" s="383" t="s">
        <v>280</v>
      </c>
      <c r="K6" s="383"/>
      <c r="L6" s="383"/>
      <c r="M6" s="383" t="s">
        <v>281</v>
      </c>
      <c r="N6" s="383"/>
      <c r="O6" s="28"/>
      <c r="P6" s="28"/>
      <c r="Q6" s="28"/>
      <c r="R6" s="28"/>
      <c r="S6" s="28"/>
      <c r="T6" s="28"/>
      <c r="U6" s="28"/>
      <c r="V6" s="28"/>
      <c r="W6" s="3"/>
      <c r="X6" s="3"/>
    </row>
    <row r="7" spans="1:24" s="23" customFormat="1" ht="59.25" customHeight="1">
      <c r="A7" s="387"/>
      <c r="B7" s="388"/>
      <c r="C7" s="388"/>
      <c r="D7" s="390"/>
      <c r="E7" s="388"/>
      <c r="F7" s="27" t="s">
        <v>282</v>
      </c>
      <c r="G7" s="27" t="s">
        <v>283</v>
      </c>
      <c r="H7" s="27" t="s">
        <v>282</v>
      </c>
      <c r="I7" s="27" t="s">
        <v>283</v>
      </c>
      <c r="J7" s="29" t="s">
        <v>284</v>
      </c>
      <c r="K7" s="27" t="s">
        <v>282</v>
      </c>
      <c r="L7" s="27" t="s">
        <v>283</v>
      </c>
      <c r="M7" s="27" t="s">
        <v>282</v>
      </c>
      <c r="N7" s="27" t="s">
        <v>283</v>
      </c>
      <c r="O7" s="28"/>
      <c r="P7" s="28"/>
      <c r="Q7" s="28"/>
      <c r="R7" s="28"/>
      <c r="S7" s="28"/>
      <c r="T7" s="28"/>
      <c r="U7" s="28"/>
      <c r="V7" s="28"/>
      <c r="W7" s="3"/>
      <c r="X7" s="3"/>
    </row>
    <row r="8" spans="1:24">
      <c r="A8" s="278">
        <v>1</v>
      </c>
      <c r="B8" s="177" t="s">
        <v>168</v>
      </c>
      <c r="C8" s="6" t="str">
        <f>VLOOKUP(B8,HTK!$B$9:$E$24,2,0)</f>
        <v>KAKI</v>
      </c>
      <c r="D8" s="6" t="str">
        <f>VLOOKUP(B8,HTK!$B$9:$E$24,3,0)</f>
        <v>Vải KAKI</v>
      </c>
      <c r="E8" s="6" t="str">
        <f>VLOOKUP(B8,HTK!$B$9:$E$24,4,0)</f>
        <v>Mét</v>
      </c>
      <c r="F8" s="5">
        <v>10000</v>
      </c>
      <c r="G8" s="5">
        <v>2000000000</v>
      </c>
      <c r="H8" s="5">
        <v>20000</v>
      </c>
      <c r="I8" s="5">
        <f>H8*220000</f>
        <v>4400000000</v>
      </c>
      <c r="J8" s="612">
        <f>(G8+I8)/(F8+H8)</f>
        <v>213333.33333333334</v>
      </c>
      <c r="K8" s="611">
        <f>3000+3000</f>
        <v>6000</v>
      </c>
      <c r="L8" s="5">
        <f>J8*K8</f>
        <v>1280000000</v>
      </c>
      <c r="M8" s="5">
        <f>F8+H8-K8</f>
        <v>24000</v>
      </c>
      <c r="N8" s="5">
        <f>G8+I8-L8</f>
        <v>5120000000</v>
      </c>
    </row>
    <row r="9" spans="1:24">
      <c r="A9" s="278">
        <v>2</v>
      </c>
      <c r="B9" s="177" t="s">
        <v>172</v>
      </c>
      <c r="C9" s="6" t="str">
        <f>VLOOKUP(B9,HTK!$B$9:$E$24,2,0)</f>
        <v>COTTON</v>
      </c>
      <c r="D9" s="6" t="str">
        <f>VLOOKUP(B9,HTK!$B$9:$E$24,3,0)</f>
        <v>Vải COTTON</v>
      </c>
      <c r="E9" s="6" t="str">
        <f>VLOOKUP(B9,HTK!$B$9:$E$24,4,0)</f>
        <v>Mét</v>
      </c>
      <c r="F9" s="5">
        <v>10000</v>
      </c>
      <c r="G9" s="5">
        <v>1500000000</v>
      </c>
      <c r="H9" s="5">
        <v>10000</v>
      </c>
      <c r="I9" s="5">
        <f>H9*55000</f>
        <v>550000000</v>
      </c>
      <c r="J9" s="612">
        <f t="shared" ref="J9:J20" si="0">(G9+I9)/(F9+H9)</f>
        <v>102500</v>
      </c>
      <c r="K9" s="611">
        <f>2000+4000</f>
        <v>6000</v>
      </c>
      <c r="L9" s="5">
        <f t="shared" ref="L9:L20" si="1">J9*K9</f>
        <v>615000000</v>
      </c>
      <c r="M9" s="5">
        <f t="shared" ref="M9:M20" si="2">F9+H9-K9</f>
        <v>14000</v>
      </c>
      <c r="N9" s="5">
        <f t="shared" ref="N9:N20" si="3">G9+I9-L9</f>
        <v>1435000000</v>
      </c>
    </row>
    <row r="10" spans="1:24">
      <c r="A10" s="278">
        <v>3</v>
      </c>
      <c r="B10" s="277" t="s">
        <v>417</v>
      </c>
      <c r="C10" s="6" t="str">
        <f>VLOOKUP(B10,HTK!$B$9:$E$24,2,0)</f>
        <v>CHI</v>
      </c>
      <c r="D10" s="6" t="str">
        <f>VLOOKUP(B10,HTK!$B$9:$E$24,3,0)</f>
        <v>Chỉ</v>
      </c>
      <c r="E10" s="6" t="str">
        <f>VLOOKUP(B10,HTK!$B$9:$E$24,4,0)</f>
        <v>Cuộn</v>
      </c>
      <c r="F10" s="5">
        <v>15000</v>
      </c>
      <c r="G10" s="5">
        <v>750000000</v>
      </c>
      <c r="H10" s="5">
        <v>2500</v>
      </c>
      <c r="I10" s="5">
        <f>H10*30000</f>
        <v>75000000</v>
      </c>
      <c r="J10" s="612">
        <f t="shared" si="0"/>
        <v>47142.857142857145</v>
      </c>
      <c r="K10" s="611">
        <f>2500+1500+1000+2000</f>
        <v>7000</v>
      </c>
      <c r="L10" s="5">
        <f t="shared" si="1"/>
        <v>330000000</v>
      </c>
      <c r="M10" s="5">
        <f t="shared" si="2"/>
        <v>10500</v>
      </c>
      <c r="N10" s="5">
        <f t="shared" si="3"/>
        <v>495000000</v>
      </c>
    </row>
    <row r="11" spans="1:24">
      <c r="A11" s="278">
        <v>4</v>
      </c>
      <c r="B11" s="177" t="s">
        <v>179</v>
      </c>
      <c r="C11" s="6" t="str">
        <f>VLOOKUP(B11,HTK!$B$9:$E$24,2,0)</f>
        <v>KIM</v>
      </c>
      <c r="D11" s="6" t="str">
        <f>VLOOKUP(B11,HTK!$B$9:$E$24,3,0)</f>
        <v>Kim</v>
      </c>
      <c r="E11" s="6" t="str">
        <f>VLOOKUP(B11,HTK!$B$9:$E$24,4,0)</f>
        <v>Hộp</v>
      </c>
      <c r="F11" s="5">
        <v>500</v>
      </c>
      <c r="G11" s="5">
        <v>1000000</v>
      </c>
      <c r="H11" s="5"/>
      <c r="I11" s="5"/>
      <c r="J11" s="612">
        <f t="shared" si="0"/>
        <v>2000</v>
      </c>
      <c r="K11" s="5"/>
      <c r="L11" s="5">
        <f t="shared" si="1"/>
        <v>0</v>
      </c>
      <c r="M11" s="5">
        <f t="shared" si="2"/>
        <v>500</v>
      </c>
      <c r="N11" s="5">
        <f t="shared" si="3"/>
        <v>1000000</v>
      </c>
    </row>
    <row r="12" spans="1:24">
      <c r="A12" s="278">
        <v>5</v>
      </c>
      <c r="B12" s="177" t="s">
        <v>183</v>
      </c>
      <c r="C12" s="6" t="str">
        <f>VLOOKUP(B12,HTK!$B$9:$E$24,2,0)</f>
        <v>KEO</v>
      </c>
      <c r="D12" s="6" t="str">
        <f>VLOOKUP(B12,HTK!$B$9:$E$24,3,0)</f>
        <v>Kéo</v>
      </c>
      <c r="E12" s="6" t="str">
        <f>VLOOKUP(B12,HTK!$B$9:$E$24,4,0)</f>
        <v>Cái</v>
      </c>
      <c r="F12" s="5">
        <v>100</v>
      </c>
      <c r="G12" s="5">
        <v>2000000</v>
      </c>
      <c r="H12" s="5"/>
      <c r="I12" s="5"/>
      <c r="J12" s="612">
        <f t="shared" si="0"/>
        <v>20000</v>
      </c>
      <c r="K12" s="5"/>
      <c r="L12" s="5">
        <f t="shared" si="1"/>
        <v>0</v>
      </c>
      <c r="M12" s="5">
        <f t="shared" si="2"/>
        <v>100</v>
      </c>
      <c r="N12" s="5">
        <f t="shared" si="3"/>
        <v>2000000</v>
      </c>
    </row>
    <row r="13" spans="1:24">
      <c r="A13" s="278">
        <v>6</v>
      </c>
      <c r="B13" s="177" t="s">
        <v>189</v>
      </c>
      <c r="C13" s="6" t="str">
        <f>VLOOKUP(B13,HTK!$B$9:$E$24,2,0)</f>
        <v>QNAM</v>
      </c>
      <c r="D13" s="6" t="str">
        <f>VLOOKUP(B13,HTK!$B$9:$E$24,3,0)</f>
        <v>Quần Nam</v>
      </c>
      <c r="E13" s="6" t="str">
        <f>VLOOKUP(B13,HTK!$B$9:$E$24,4,0)</f>
        <v xml:space="preserve">Cái </v>
      </c>
      <c r="F13" s="5">
        <v>3000</v>
      </c>
      <c r="G13" s="5">
        <v>1200000000</v>
      </c>
      <c r="H13" s="5">
        <v>2500</v>
      </c>
      <c r="I13" s="5">
        <f>'DINH KHOAN'!D185</f>
        <v>798540036.93611562</v>
      </c>
      <c r="J13" s="612">
        <f t="shared" si="0"/>
        <v>363370.91580656648</v>
      </c>
      <c r="K13" s="5">
        <v>500</v>
      </c>
      <c r="L13" s="5">
        <f t="shared" si="1"/>
        <v>181685457.90328324</v>
      </c>
      <c r="M13" s="5">
        <f t="shared" si="2"/>
        <v>5000</v>
      </c>
      <c r="N13" s="5">
        <f t="shared" si="3"/>
        <v>1816854579.0328326</v>
      </c>
    </row>
    <row r="14" spans="1:24">
      <c r="A14" s="278">
        <v>7</v>
      </c>
      <c r="B14" s="177" t="s">
        <v>192</v>
      </c>
      <c r="C14" s="6" t="str">
        <f>VLOOKUP(B14,HTK!$B$9:$E$24,2,0)</f>
        <v>QNU</v>
      </c>
      <c r="D14" s="6" t="str">
        <f>VLOOKUP(B14,HTK!$B$9:$E$24,3,0)</f>
        <v>Quần Nữ</v>
      </c>
      <c r="E14" s="6" t="str">
        <f>VLOOKUP(B14,HTK!$B$9:$E$24,4,0)</f>
        <v xml:space="preserve">Cái </v>
      </c>
      <c r="F14" s="5">
        <v>2500</v>
      </c>
      <c r="G14" s="5">
        <v>1250000000</v>
      </c>
      <c r="H14" s="5">
        <v>3000</v>
      </c>
      <c r="I14" s="5">
        <f>'DINH KHOAN'!D188</f>
        <v>748866481.38683796</v>
      </c>
      <c r="J14" s="612">
        <f t="shared" si="0"/>
        <v>363430.26934306143</v>
      </c>
      <c r="K14" s="5">
        <v>200</v>
      </c>
      <c r="L14" s="5">
        <f t="shared" si="1"/>
        <v>72686053.868612289</v>
      </c>
      <c r="M14" s="5">
        <f t="shared" si="2"/>
        <v>5300</v>
      </c>
      <c r="N14" s="5">
        <f t="shared" si="3"/>
        <v>1926180427.5182257</v>
      </c>
    </row>
    <row r="15" spans="1:24">
      <c r="A15" s="278">
        <v>8</v>
      </c>
      <c r="B15" s="177" t="s">
        <v>195</v>
      </c>
      <c r="C15" s="6" t="str">
        <f>VLOOKUP(B15,HTK!$B$9:$E$24,2,0)</f>
        <v>ANAM</v>
      </c>
      <c r="D15" s="6" t="str">
        <f>VLOOKUP(B15,HTK!$B$9:$E$24,3,0)</f>
        <v>Áo Sơ mi nam</v>
      </c>
      <c r="E15" s="6" t="str">
        <f>VLOOKUP(B15,HTK!$B$9:$E$24,4,0)</f>
        <v xml:space="preserve">Cái </v>
      </c>
      <c r="F15" s="5">
        <v>2700</v>
      </c>
      <c r="G15" s="5">
        <v>340000000</v>
      </c>
      <c r="H15" s="5">
        <v>2000</v>
      </c>
      <c r="I15" s="5">
        <f>'DINH KHOAN'!D191</f>
        <v>265678259.22568217</v>
      </c>
      <c r="J15" s="612">
        <f t="shared" si="0"/>
        <v>128867.71472886854</v>
      </c>
      <c r="K15" s="5">
        <v>100</v>
      </c>
      <c r="L15" s="5">
        <f t="shared" si="1"/>
        <v>12886771.472886853</v>
      </c>
      <c r="M15" s="5">
        <f t="shared" si="2"/>
        <v>4600</v>
      </c>
      <c r="N15" s="5">
        <f t="shared" si="3"/>
        <v>592791487.75279534</v>
      </c>
    </row>
    <row r="16" spans="1:24">
      <c r="A16" s="278">
        <v>9</v>
      </c>
      <c r="B16" s="177" t="s">
        <v>198</v>
      </c>
      <c r="C16" s="6" t="str">
        <f>VLOOKUP(B16,HTK!$B$9:$E$24,2,0)</f>
        <v>ANU</v>
      </c>
      <c r="D16" s="6" t="str">
        <f>VLOOKUP(B16,HTK!$B$9:$E$24,3,0)</f>
        <v>Áo Sơ mi nữ</v>
      </c>
      <c r="E16" s="6" t="str">
        <f>VLOOKUP(B16,HTK!$B$9:$E$24,4,0)</f>
        <v xml:space="preserve">Cái </v>
      </c>
      <c r="F16" s="5">
        <v>2850</v>
      </c>
      <c r="G16" s="5">
        <v>440000000</v>
      </c>
      <c r="H16" s="5">
        <v>4000</v>
      </c>
      <c r="I16" s="5">
        <f>'DINH KHOAN'!D194</f>
        <v>531356518.45136434</v>
      </c>
      <c r="J16" s="612">
        <f t="shared" si="0"/>
        <v>141803.8713067685</v>
      </c>
      <c r="K16" s="5">
        <v>150</v>
      </c>
      <c r="L16" s="5">
        <f t="shared" si="1"/>
        <v>21270580.696015276</v>
      </c>
      <c r="M16" s="5">
        <f t="shared" si="2"/>
        <v>6700</v>
      </c>
      <c r="N16" s="5">
        <f t="shared" si="3"/>
        <v>950085937.75534904</v>
      </c>
    </row>
    <row r="17" spans="1:16">
      <c r="A17" s="278">
        <v>10</v>
      </c>
      <c r="B17" s="177" t="s">
        <v>203</v>
      </c>
      <c r="C17" s="6" t="str">
        <f>VLOOKUP(B17,HTK!$B$9:$E$24,2,0)</f>
        <v>CHUOT</v>
      </c>
      <c r="D17" s="6" t="str">
        <f>VLOOKUP(B17,HTK!$B$9:$E$24,3,0)</f>
        <v>Chuột quang</v>
      </c>
      <c r="E17" s="6" t="str">
        <f>VLOOKUP(B17,HTK!$B$9:$E$24,4,0)</f>
        <v xml:space="preserve">Cái </v>
      </c>
      <c r="F17" s="5">
        <v>200</v>
      </c>
      <c r="G17" s="5">
        <v>20000000</v>
      </c>
      <c r="H17" s="5"/>
      <c r="I17" s="5"/>
      <c r="J17" s="612">
        <f t="shared" si="0"/>
        <v>100000</v>
      </c>
      <c r="K17" s="5">
        <v>30</v>
      </c>
      <c r="L17" s="5">
        <f t="shared" si="1"/>
        <v>3000000</v>
      </c>
      <c r="M17" s="5">
        <f t="shared" si="2"/>
        <v>170</v>
      </c>
      <c r="N17" s="5">
        <f t="shared" si="3"/>
        <v>17000000</v>
      </c>
    </row>
    <row r="18" spans="1:16">
      <c r="A18" s="278">
        <v>11</v>
      </c>
      <c r="B18" s="177" t="s">
        <v>206</v>
      </c>
      <c r="C18" s="6" t="str">
        <f>VLOOKUP(B18,HTK!$B$9:$E$24,2,0)</f>
        <v>CPU</v>
      </c>
      <c r="D18" s="6" t="str">
        <f>VLOOKUP(B18,HTK!$B$9:$E$24,3,0)</f>
        <v>CPU</v>
      </c>
      <c r="E18" s="6" t="str">
        <f>VLOOKUP(B18,HTK!$B$9:$E$24,4,0)</f>
        <v xml:space="preserve">Cái </v>
      </c>
      <c r="F18" s="5">
        <v>50</v>
      </c>
      <c r="G18" s="5">
        <v>200000000</v>
      </c>
      <c r="H18" s="5"/>
      <c r="I18" s="5"/>
      <c r="J18" s="612">
        <f t="shared" si="0"/>
        <v>4000000</v>
      </c>
      <c r="K18" s="5">
        <v>40</v>
      </c>
      <c r="L18" s="5">
        <f t="shared" si="1"/>
        <v>160000000</v>
      </c>
      <c r="M18" s="5">
        <f t="shared" si="2"/>
        <v>10</v>
      </c>
      <c r="N18" s="5">
        <f t="shared" si="3"/>
        <v>40000000</v>
      </c>
    </row>
    <row r="19" spans="1:16">
      <c r="A19" s="278">
        <v>12</v>
      </c>
      <c r="B19" s="177" t="s">
        <v>208</v>
      </c>
      <c r="C19" s="6" t="str">
        <f>VLOOKUP(B19,HTK!$B$9:$E$24,2,0)</f>
        <v>MHINH</v>
      </c>
      <c r="D19" s="6" t="str">
        <f>VLOOKUP(B19,HTK!$B$9:$E$24,3,0)</f>
        <v>Màn hình</v>
      </c>
      <c r="E19" s="6" t="str">
        <f>VLOOKUP(B19,HTK!$B$9:$E$24,4,0)</f>
        <v xml:space="preserve">Cái </v>
      </c>
      <c r="F19" s="5">
        <v>70</v>
      </c>
      <c r="G19" s="5">
        <v>140000000</v>
      </c>
      <c r="H19" s="5"/>
      <c r="I19" s="5"/>
      <c r="J19" s="612">
        <f t="shared" si="0"/>
        <v>2000000</v>
      </c>
      <c r="K19" s="5">
        <v>50</v>
      </c>
      <c r="L19" s="5">
        <f t="shared" si="1"/>
        <v>100000000</v>
      </c>
      <c r="M19" s="5">
        <f t="shared" si="2"/>
        <v>20</v>
      </c>
      <c r="N19" s="5">
        <f t="shared" si="3"/>
        <v>40000000</v>
      </c>
    </row>
    <row r="20" spans="1:16">
      <c r="A20" s="278">
        <v>13</v>
      </c>
      <c r="B20" s="177" t="s">
        <v>211</v>
      </c>
      <c r="C20" s="6" t="str">
        <f>VLOOKUP(B20,HTK!$B$9:$E$24,2,0)</f>
        <v>BPHIM</v>
      </c>
      <c r="D20" s="6" t="str">
        <f>VLOOKUP(B20,HTK!$B$9:$E$24,3,0)</f>
        <v>Bàn phím</v>
      </c>
      <c r="E20" s="6" t="str">
        <f>VLOOKUP(B20,HTK!$B$9:$E$24,4,0)</f>
        <v xml:space="preserve">Cái </v>
      </c>
      <c r="F20" s="5">
        <v>100</v>
      </c>
      <c r="G20" s="5">
        <v>16000000</v>
      </c>
      <c r="H20" s="5"/>
      <c r="I20" s="5"/>
      <c r="J20" s="612">
        <f t="shared" si="0"/>
        <v>160000</v>
      </c>
      <c r="K20" s="5">
        <v>50</v>
      </c>
      <c r="L20" s="5">
        <f t="shared" si="1"/>
        <v>8000000</v>
      </c>
      <c r="M20" s="5">
        <f t="shared" si="2"/>
        <v>50</v>
      </c>
      <c r="N20" s="5">
        <f t="shared" si="3"/>
        <v>8000000</v>
      </c>
    </row>
    <row r="21" spans="1:16">
      <c r="A21" s="384" t="s">
        <v>236</v>
      </c>
      <c r="B21" s="385"/>
      <c r="C21" s="385"/>
      <c r="D21" s="385"/>
      <c r="E21" s="386"/>
      <c r="F21" s="279">
        <f>SUM(F8:F20)</f>
        <v>47070</v>
      </c>
      <c r="G21" s="279">
        <f>SUM(G8:G20)</f>
        <v>7859000000</v>
      </c>
      <c r="H21" s="279">
        <f t="shared" ref="H21:L21" si="4">SUM(H8:H20)</f>
        <v>44000</v>
      </c>
      <c r="I21" s="279">
        <f t="shared" si="4"/>
        <v>7369441296</v>
      </c>
      <c r="J21" s="279"/>
      <c r="K21" s="279">
        <f t="shared" si="4"/>
        <v>20120</v>
      </c>
      <c r="L21" s="279">
        <f t="shared" si="4"/>
        <v>2784528863.9407978</v>
      </c>
      <c r="M21" s="279">
        <f>SUM(M8:M20)</f>
        <v>70950</v>
      </c>
      <c r="N21" s="279">
        <f>SUM(N8:N20)</f>
        <v>12443912432.059204</v>
      </c>
    </row>
    <row r="23" spans="1:16" customFormat="1">
      <c r="A23" s="1"/>
      <c r="B23" s="1"/>
      <c r="C23" s="1"/>
      <c r="D23" s="1"/>
      <c r="E23" s="1"/>
      <c r="F23" s="1"/>
      <c r="G23" s="1"/>
      <c r="H23" s="1"/>
      <c r="I23" s="4"/>
      <c r="J23" s="4"/>
      <c r="K23" s="1"/>
      <c r="L23" s="4"/>
      <c r="M23" s="303" t="s">
        <v>15</v>
      </c>
      <c r="N23" s="303"/>
      <c r="O23" s="303"/>
      <c r="P23" s="303"/>
    </row>
    <row r="24" spans="1:16" customFormat="1">
      <c r="A24" s="1"/>
      <c r="B24" s="304" t="s">
        <v>16</v>
      </c>
      <c r="C24" s="304"/>
      <c r="D24" s="304"/>
      <c r="E24" s="304"/>
      <c r="F24" s="4"/>
      <c r="G24" s="304"/>
      <c r="H24" s="304" t="s">
        <v>17</v>
      </c>
      <c r="I24" s="7"/>
      <c r="J24" s="4"/>
      <c r="L24" s="4"/>
      <c r="M24" s="304" t="s">
        <v>18</v>
      </c>
      <c r="N24" s="301"/>
      <c r="O24" s="301"/>
      <c r="P24" s="301"/>
    </row>
    <row r="25" spans="1:16" customFormat="1">
      <c r="A25" s="1"/>
      <c r="B25" s="305" t="s">
        <v>19</v>
      </c>
      <c r="C25" s="305"/>
      <c r="D25" s="305"/>
      <c r="E25" s="305"/>
      <c r="F25" s="4"/>
      <c r="G25" s="305"/>
      <c r="H25" s="305" t="s">
        <v>19</v>
      </c>
      <c r="I25" s="7"/>
      <c r="J25" s="4"/>
      <c r="L25" s="4"/>
      <c r="M25" s="305" t="s">
        <v>20</v>
      </c>
      <c r="N25" s="302"/>
      <c r="O25" s="302"/>
      <c r="P25" s="302"/>
    </row>
    <row r="26" spans="1:16" customFormat="1">
      <c r="F26" s="4"/>
      <c r="I26" s="7"/>
      <c r="J26" s="4"/>
      <c r="L26" s="4"/>
    </row>
    <row r="27" spans="1:16" customFormat="1">
      <c r="F27" s="4"/>
      <c r="I27" s="7"/>
      <c r="J27" s="4"/>
      <c r="L27" s="4"/>
    </row>
    <row r="28" spans="1:16" customFormat="1">
      <c r="F28" s="4"/>
      <c r="I28" s="7"/>
      <c r="J28" s="4"/>
      <c r="L28" s="4"/>
    </row>
    <row r="29" spans="1:16" customFormat="1">
      <c r="F29" s="4"/>
      <c r="I29" s="7"/>
      <c r="J29" s="4"/>
      <c r="L29" s="4"/>
    </row>
    <row r="30" spans="1:16" customFormat="1">
      <c r="B30" s="298" t="s">
        <v>111</v>
      </c>
      <c r="C30" s="298"/>
      <c r="F30" s="4"/>
      <c r="G30" s="298"/>
      <c r="H30" s="298" t="s">
        <v>106</v>
      </c>
      <c r="I30" s="7"/>
      <c r="J30" s="4"/>
      <c r="L30" s="4"/>
      <c r="M30" s="298" t="s">
        <v>85</v>
      </c>
    </row>
  </sheetData>
  <mergeCells count="12">
    <mergeCell ref="A21:E21"/>
    <mergeCell ref="A6:A7"/>
    <mergeCell ref="B6:B7"/>
    <mergeCell ref="C6:C7"/>
    <mergeCell ref="D6:D7"/>
    <mergeCell ref="E6:E7"/>
    <mergeCell ref="B4:N4"/>
    <mergeCell ref="B5:N5"/>
    <mergeCell ref="F6:G6"/>
    <mergeCell ref="H6:I6"/>
    <mergeCell ref="J6:L6"/>
    <mergeCell ref="M6:N6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7" workbookViewId="0">
      <selection activeCell="M40" sqref="M40"/>
    </sheetView>
  </sheetViews>
  <sheetFormatPr defaultColWidth="9" defaultRowHeight="15"/>
  <cols>
    <col min="1" max="1" width="5" style="396" customWidth="1"/>
    <col min="2" max="2" width="7" style="396" customWidth="1"/>
    <col min="3" max="3" width="16.140625" style="396" customWidth="1"/>
    <col min="4" max="4" width="11.42578125" style="396" customWidth="1"/>
    <col min="5" max="5" width="12.5703125" style="478" hidden="1" customWidth="1"/>
    <col min="6" max="6" width="13.5703125" style="396" customWidth="1"/>
    <col min="7" max="7" width="6.7109375" style="479" customWidth="1"/>
    <col min="8" max="8" width="11.42578125" style="396" customWidth="1"/>
    <col min="9" max="9" width="5.85546875" style="396" hidden="1" customWidth="1"/>
    <col min="10" max="10" width="12.7109375" style="396" customWidth="1"/>
    <col min="11" max="11" width="12.42578125" style="396" customWidth="1"/>
    <col min="12" max="12" width="13.5703125" style="396" customWidth="1"/>
    <col min="13" max="13" width="12.5703125" style="396" customWidth="1"/>
    <col min="14" max="14" width="10.140625" style="479" customWidth="1"/>
    <col min="15" max="15" width="13.5703125" style="395" customWidth="1"/>
    <col min="16" max="16" width="9.28515625" style="396" bestFit="1" customWidth="1"/>
    <col min="17" max="256" width="9" style="396"/>
    <col min="257" max="257" width="5" style="396" customWidth="1"/>
    <col min="258" max="258" width="7" style="396" customWidth="1"/>
    <col min="259" max="259" width="16.140625" style="396" customWidth="1"/>
    <col min="260" max="260" width="11.42578125" style="396" customWidth="1"/>
    <col min="261" max="261" width="0" style="396" hidden="1" customWidth="1"/>
    <col min="262" max="262" width="13.5703125" style="396" customWidth="1"/>
    <col min="263" max="263" width="6.7109375" style="396" customWidth="1"/>
    <col min="264" max="264" width="11.42578125" style="396" customWidth="1"/>
    <col min="265" max="265" width="0" style="396" hidden="1" customWidth="1"/>
    <col min="266" max="266" width="12.7109375" style="396" customWidth="1"/>
    <col min="267" max="267" width="12.42578125" style="396" customWidth="1"/>
    <col min="268" max="268" width="13.5703125" style="396" customWidth="1"/>
    <col min="269" max="269" width="12.5703125" style="396" customWidth="1"/>
    <col min="270" max="270" width="10.140625" style="396" customWidth="1"/>
    <col min="271" max="271" width="13.5703125" style="396" customWidth="1"/>
    <col min="272" max="272" width="9.28515625" style="396" bestFit="1" customWidth="1"/>
    <col min="273" max="512" width="9" style="396"/>
    <col min="513" max="513" width="5" style="396" customWidth="1"/>
    <col min="514" max="514" width="7" style="396" customWidth="1"/>
    <col min="515" max="515" width="16.140625" style="396" customWidth="1"/>
    <col min="516" max="516" width="11.42578125" style="396" customWidth="1"/>
    <col min="517" max="517" width="0" style="396" hidden="1" customWidth="1"/>
    <col min="518" max="518" width="13.5703125" style="396" customWidth="1"/>
    <col min="519" max="519" width="6.7109375" style="396" customWidth="1"/>
    <col min="520" max="520" width="11.42578125" style="396" customWidth="1"/>
    <col min="521" max="521" width="0" style="396" hidden="1" customWidth="1"/>
    <col min="522" max="522" width="12.7109375" style="396" customWidth="1"/>
    <col min="523" max="523" width="12.42578125" style="396" customWidth="1"/>
    <col min="524" max="524" width="13.5703125" style="396" customWidth="1"/>
    <col min="525" max="525" width="12.5703125" style="396" customWidth="1"/>
    <col min="526" max="526" width="10.140625" style="396" customWidth="1"/>
    <col min="527" max="527" width="13.5703125" style="396" customWidth="1"/>
    <col min="528" max="528" width="9.28515625" style="396" bestFit="1" customWidth="1"/>
    <col min="529" max="768" width="9" style="396"/>
    <col min="769" max="769" width="5" style="396" customWidth="1"/>
    <col min="770" max="770" width="7" style="396" customWidth="1"/>
    <col min="771" max="771" width="16.140625" style="396" customWidth="1"/>
    <col min="772" max="772" width="11.42578125" style="396" customWidth="1"/>
    <col min="773" max="773" width="0" style="396" hidden="1" customWidth="1"/>
    <col min="774" max="774" width="13.5703125" style="396" customWidth="1"/>
    <col min="775" max="775" width="6.7109375" style="396" customWidth="1"/>
    <col min="776" max="776" width="11.42578125" style="396" customWidth="1"/>
    <col min="777" max="777" width="0" style="396" hidden="1" customWidth="1"/>
    <col min="778" max="778" width="12.7109375" style="396" customWidth="1"/>
    <col min="779" max="779" width="12.42578125" style="396" customWidth="1"/>
    <col min="780" max="780" width="13.5703125" style="396" customWidth="1"/>
    <col min="781" max="781" width="12.5703125" style="396" customWidth="1"/>
    <col min="782" max="782" width="10.140625" style="396" customWidth="1"/>
    <col min="783" max="783" width="13.5703125" style="396" customWidth="1"/>
    <col min="784" max="784" width="9.28515625" style="396" bestFit="1" customWidth="1"/>
    <col min="785" max="1024" width="9" style="396"/>
    <col min="1025" max="1025" width="5" style="396" customWidth="1"/>
    <col min="1026" max="1026" width="7" style="396" customWidth="1"/>
    <col min="1027" max="1027" width="16.140625" style="396" customWidth="1"/>
    <col min="1028" max="1028" width="11.42578125" style="396" customWidth="1"/>
    <col min="1029" max="1029" width="0" style="396" hidden="1" customWidth="1"/>
    <col min="1030" max="1030" width="13.5703125" style="396" customWidth="1"/>
    <col min="1031" max="1031" width="6.7109375" style="396" customWidth="1"/>
    <col min="1032" max="1032" width="11.42578125" style="396" customWidth="1"/>
    <col min="1033" max="1033" width="0" style="396" hidden="1" customWidth="1"/>
    <col min="1034" max="1034" width="12.7109375" style="396" customWidth="1"/>
    <col min="1035" max="1035" width="12.42578125" style="396" customWidth="1"/>
    <col min="1036" max="1036" width="13.5703125" style="396" customWidth="1"/>
    <col min="1037" max="1037" width="12.5703125" style="396" customWidth="1"/>
    <col min="1038" max="1038" width="10.140625" style="396" customWidth="1"/>
    <col min="1039" max="1039" width="13.5703125" style="396" customWidth="1"/>
    <col min="1040" max="1040" width="9.28515625" style="396" bestFit="1" customWidth="1"/>
    <col min="1041" max="1280" width="9" style="396"/>
    <col min="1281" max="1281" width="5" style="396" customWidth="1"/>
    <col min="1282" max="1282" width="7" style="396" customWidth="1"/>
    <col min="1283" max="1283" width="16.140625" style="396" customWidth="1"/>
    <col min="1284" max="1284" width="11.42578125" style="396" customWidth="1"/>
    <col min="1285" max="1285" width="0" style="396" hidden="1" customWidth="1"/>
    <col min="1286" max="1286" width="13.5703125" style="396" customWidth="1"/>
    <col min="1287" max="1287" width="6.7109375" style="396" customWidth="1"/>
    <col min="1288" max="1288" width="11.42578125" style="396" customWidth="1"/>
    <col min="1289" max="1289" width="0" style="396" hidden="1" customWidth="1"/>
    <col min="1290" max="1290" width="12.7109375" style="396" customWidth="1"/>
    <col min="1291" max="1291" width="12.42578125" style="396" customWidth="1"/>
    <col min="1292" max="1292" width="13.5703125" style="396" customWidth="1"/>
    <col min="1293" max="1293" width="12.5703125" style="396" customWidth="1"/>
    <col min="1294" max="1294" width="10.140625" style="396" customWidth="1"/>
    <col min="1295" max="1295" width="13.5703125" style="396" customWidth="1"/>
    <col min="1296" max="1296" width="9.28515625" style="396" bestFit="1" customWidth="1"/>
    <col min="1297" max="1536" width="9" style="396"/>
    <col min="1537" max="1537" width="5" style="396" customWidth="1"/>
    <col min="1538" max="1538" width="7" style="396" customWidth="1"/>
    <col min="1539" max="1539" width="16.140625" style="396" customWidth="1"/>
    <col min="1540" max="1540" width="11.42578125" style="396" customWidth="1"/>
    <col min="1541" max="1541" width="0" style="396" hidden="1" customWidth="1"/>
    <col min="1542" max="1542" width="13.5703125" style="396" customWidth="1"/>
    <col min="1543" max="1543" width="6.7109375" style="396" customWidth="1"/>
    <col min="1544" max="1544" width="11.42578125" style="396" customWidth="1"/>
    <col min="1545" max="1545" width="0" style="396" hidden="1" customWidth="1"/>
    <col min="1546" max="1546" width="12.7109375" style="396" customWidth="1"/>
    <col min="1547" max="1547" width="12.42578125" style="396" customWidth="1"/>
    <col min="1548" max="1548" width="13.5703125" style="396" customWidth="1"/>
    <col min="1549" max="1549" width="12.5703125" style="396" customWidth="1"/>
    <col min="1550" max="1550" width="10.140625" style="396" customWidth="1"/>
    <col min="1551" max="1551" width="13.5703125" style="396" customWidth="1"/>
    <col min="1552" max="1552" width="9.28515625" style="396" bestFit="1" customWidth="1"/>
    <col min="1553" max="1792" width="9" style="396"/>
    <col min="1793" max="1793" width="5" style="396" customWidth="1"/>
    <col min="1794" max="1794" width="7" style="396" customWidth="1"/>
    <col min="1795" max="1795" width="16.140625" style="396" customWidth="1"/>
    <col min="1796" max="1796" width="11.42578125" style="396" customWidth="1"/>
    <col min="1797" max="1797" width="0" style="396" hidden="1" customWidth="1"/>
    <col min="1798" max="1798" width="13.5703125" style="396" customWidth="1"/>
    <col min="1799" max="1799" width="6.7109375" style="396" customWidth="1"/>
    <col min="1800" max="1800" width="11.42578125" style="396" customWidth="1"/>
    <col min="1801" max="1801" width="0" style="396" hidden="1" customWidth="1"/>
    <col min="1802" max="1802" width="12.7109375" style="396" customWidth="1"/>
    <col min="1803" max="1803" width="12.42578125" style="396" customWidth="1"/>
    <col min="1804" max="1804" width="13.5703125" style="396" customWidth="1"/>
    <col min="1805" max="1805" width="12.5703125" style="396" customWidth="1"/>
    <col min="1806" max="1806" width="10.140625" style="396" customWidth="1"/>
    <col min="1807" max="1807" width="13.5703125" style="396" customWidth="1"/>
    <col min="1808" max="1808" width="9.28515625" style="396" bestFit="1" customWidth="1"/>
    <col min="1809" max="2048" width="9" style="396"/>
    <col min="2049" max="2049" width="5" style="396" customWidth="1"/>
    <col min="2050" max="2050" width="7" style="396" customWidth="1"/>
    <col min="2051" max="2051" width="16.140625" style="396" customWidth="1"/>
    <col min="2052" max="2052" width="11.42578125" style="396" customWidth="1"/>
    <col min="2053" max="2053" width="0" style="396" hidden="1" customWidth="1"/>
    <col min="2054" max="2054" width="13.5703125" style="396" customWidth="1"/>
    <col min="2055" max="2055" width="6.7109375" style="396" customWidth="1"/>
    <col min="2056" max="2056" width="11.42578125" style="396" customWidth="1"/>
    <col min="2057" max="2057" width="0" style="396" hidden="1" customWidth="1"/>
    <col min="2058" max="2058" width="12.7109375" style="396" customWidth="1"/>
    <col min="2059" max="2059" width="12.42578125" style="396" customWidth="1"/>
    <col min="2060" max="2060" width="13.5703125" style="396" customWidth="1"/>
    <col min="2061" max="2061" width="12.5703125" style="396" customWidth="1"/>
    <col min="2062" max="2062" width="10.140625" style="396" customWidth="1"/>
    <col min="2063" max="2063" width="13.5703125" style="396" customWidth="1"/>
    <col min="2064" max="2064" width="9.28515625" style="396" bestFit="1" customWidth="1"/>
    <col min="2065" max="2304" width="9" style="396"/>
    <col min="2305" max="2305" width="5" style="396" customWidth="1"/>
    <col min="2306" max="2306" width="7" style="396" customWidth="1"/>
    <col min="2307" max="2307" width="16.140625" style="396" customWidth="1"/>
    <col min="2308" max="2308" width="11.42578125" style="396" customWidth="1"/>
    <col min="2309" max="2309" width="0" style="396" hidden="1" customWidth="1"/>
    <col min="2310" max="2310" width="13.5703125" style="396" customWidth="1"/>
    <col min="2311" max="2311" width="6.7109375" style="396" customWidth="1"/>
    <col min="2312" max="2312" width="11.42578125" style="396" customWidth="1"/>
    <col min="2313" max="2313" width="0" style="396" hidden="1" customWidth="1"/>
    <col min="2314" max="2314" width="12.7109375" style="396" customWidth="1"/>
    <col min="2315" max="2315" width="12.42578125" style="396" customWidth="1"/>
    <col min="2316" max="2316" width="13.5703125" style="396" customWidth="1"/>
    <col min="2317" max="2317" width="12.5703125" style="396" customWidth="1"/>
    <col min="2318" max="2318" width="10.140625" style="396" customWidth="1"/>
    <col min="2319" max="2319" width="13.5703125" style="396" customWidth="1"/>
    <col min="2320" max="2320" width="9.28515625" style="396" bestFit="1" customWidth="1"/>
    <col min="2321" max="2560" width="9" style="396"/>
    <col min="2561" max="2561" width="5" style="396" customWidth="1"/>
    <col min="2562" max="2562" width="7" style="396" customWidth="1"/>
    <col min="2563" max="2563" width="16.140625" style="396" customWidth="1"/>
    <col min="2564" max="2564" width="11.42578125" style="396" customWidth="1"/>
    <col min="2565" max="2565" width="0" style="396" hidden="1" customWidth="1"/>
    <col min="2566" max="2566" width="13.5703125" style="396" customWidth="1"/>
    <col min="2567" max="2567" width="6.7109375" style="396" customWidth="1"/>
    <col min="2568" max="2568" width="11.42578125" style="396" customWidth="1"/>
    <col min="2569" max="2569" width="0" style="396" hidden="1" customWidth="1"/>
    <col min="2570" max="2570" width="12.7109375" style="396" customWidth="1"/>
    <col min="2571" max="2571" width="12.42578125" style="396" customWidth="1"/>
    <col min="2572" max="2572" width="13.5703125" style="396" customWidth="1"/>
    <col min="2573" max="2573" width="12.5703125" style="396" customWidth="1"/>
    <col min="2574" max="2574" width="10.140625" style="396" customWidth="1"/>
    <col min="2575" max="2575" width="13.5703125" style="396" customWidth="1"/>
    <col min="2576" max="2576" width="9.28515625" style="396" bestFit="1" customWidth="1"/>
    <col min="2577" max="2816" width="9" style="396"/>
    <col min="2817" max="2817" width="5" style="396" customWidth="1"/>
    <col min="2818" max="2818" width="7" style="396" customWidth="1"/>
    <col min="2819" max="2819" width="16.140625" style="396" customWidth="1"/>
    <col min="2820" max="2820" width="11.42578125" style="396" customWidth="1"/>
    <col min="2821" max="2821" width="0" style="396" hidden="1" customWidth="1"/>
    <col min="2822" max="2822" width="13.5703125" style="396" customWidth="1"/>
    <col min="2823" max="2823" width="6.7109375" style="396" customWidth="1"/>
    <col min="2824" max="2824" width="11.42578125" style="396" customWidth="1"/>
    <col min="2825" max="2825" width="0" style="396" hidden="1" customWidth="1"/>
    <col min="2826" max="2826" width="12.7109375" style="396" customWidth="1"/>
    <col min="2827" max="2827" width="12.42578125" style="396" customWidth="1"/>
    <col min="2828" max="2828" width="13.5703125" style="396" customWidth="1"/>
    <col min="2829" max="2829" width="12.5703125" style="396" customWidth="1"/>
    <col min="2830" max="2830" width="10.140625" style="396" customWidth="1"/>
    <col min="2831" max="2831" width="13.5703125" style="396" customWidth="1"/>
    <col min="2832" max="2832" width="9.28515625" style="396" bestFit="1" customWidth="1"/>
    <col min="2833" max="3072" width="9" style="396"/>
    <col min="3073" max="3073" width="5" style="396" customWidth="1"/>
    <col min="3074" max="3074" width="7" style="396" customWidth="1"/>
    <col min="3075" max="3075" width="16.140625" style="396" customWidth="1"/>
    <col min="3076" max="3076" width="11.42578125" style="396" customWidth="1"/>
    <col min="3077" max="3077" width="0" style="396" hidden="1" customWidth="1"/>
    <col min="3078" max="3078" width="13.5703125" style="396" customWidth="1"/>
    <col min="3079" max="3079" width="6.7109375" style="396" customWidth="1"/>
    <col min="3080" max="3080" width="11.42578125" style="396" customWidth="1"/>
    <col min="3081" max="3081" width="0" style="396" hidden="1" customWidth="1"/>
    <col min="3082" max="3082" width="12.7109375" style="396" customWidth="1"/>
    <col min="3083" max="3083" width="12.42578125" style="396" customWidth="1"/>
    <col min="3084" max="3084" width="13.5703125" style="396" customWidth="1"/>
    <col min="3085" max="3085" width="12.5703125" style="396" customWidth="1"/>
    <col min="3086" max="3086" width="10.140625" style="396" customWidth="1"/>
    <col min="3087" max="3087" width="13.5703125" style="396" customWidth="1"/>
    <col min="3088" max="3088" width="9.28515625" style="396" bestFit="1" customWidth="1"/>
    <col min="3089" max="3328" width="9" style="396"/>
    <col min="3329" max="3329" width="5" style="396" customWidth="1"/>
    <col min="3330" max="3330" width="7" style="396" customWidth="1"/>
    <col min="3331" max="3331" width="16.140625" style="396" customWidth="1"/>
    <col min="3332" max="3332" width="11.42578125" style="396" customWidth="1"/>
    <col min="3333" max="3333" width="0" style="396" hidden="1" customWidth="1"/>
    <col min="3334" max="3334" width="13.5703125" style="396" customWidth="1"/>
    <col min="3335" max="3335" width="6.7109375" style="396" customWidth="1"/>
    <col min="3336" max="3336" width="11.42578125" style="396" customWidth="1"/>
    <col min="3337" max="3337" width="0" style="396" hidden="1" customWidth="1"/>
    <col min="3338" max="3338" width="12.7109375" style="396" customWidth="1"/>
    <col min="3339" max="3339" width="12.42578125" style="396" customWidth="1"/>
    <col min="3340" max="3340" width="13.5703125" style="396" customWidth="1"/>
    <col min="3341" max="3341" width="12.5703125" style="396" customWidth="1"/>
    <col min="3342" max="3342" width="10.140625" style="396" customWidth="1"/>
    <col min="3343" max="3343" width="13.5703125" style="396" customWidth="1"/>
    <col min="3344" max="3344" width="9.28515625" style="396" bestFit="1" customWidth="1"/>
    <col min="3345" max="3584" width="9" style="396"/>
    <col min="3585" max="3585" width="5" style="396" customWidth="1"/>
    <col min="3586" max="3586" width="7" style="396" customWidth="1"/>
    <col min="3587" max="3587" width="16.140625" style="396" customWidth="1"/>
    <col min="3588" max="3588" width="11.42578125" style="396" customWidth="1"/>
    <col min="3589" max="3589" width="0" style="396" hidden="1" customWidth="1"/>
    <col min="3590" max="3590" width="13.5703125" style="396" customWidth="1"/>
    <col min="3591" max="3591" width="6.7109375" style="396" customWidth="1"/>
    <col min="3592" max="3592" width="11.42578125" style="396" customWidth="1"/>
    <col min="3593" max="3593" width="0" style="396" hidden="1" customWidth="1"/>
    <col min="3594" max="3594" width="12.7109375" style="396" customWidth="1"/>
    <col min="3595" max="3595" width="12.42578125" style="396" customWidth="1"/>
    <col min="3596" max="3596" width="13.5703125" style="396" customWidth="1"/>
    <col min="3597" max="3597" width="12.5703125" style="396" customWidth="1"/>
    <col min="3598" max="3598" width="10.140625" style="396" customWidth="1"/>
    <col min="3599" max="3599" width="13.5703125" style="396" customWidth="1"/>
    <col min="3600" max="3600" width="9.28515625" style="396" bestFit="1" customWidth="1"/>
    <col min="3601" max="3840" width="9" style="396"/>
    <col min="3841" max="3841" width="5" style="396" customWidth="1"/>
    <col min="3842" max="3842" width="7" style="396" customWidth="1"/>
    <col min="3843" max="3843" width="16.140625" style="396" customWidth="1"/>
    <col min="3844" max="3844" width="11.42578125" style="396" customWidth="1"/>
    <col min="3845" max="3845" width="0" style="396" hidden="1" customWidth="1"/>
    <col min="3846" max="3846" width="13.5703125" style="396" customWidth="1"/>
    <col min="3847" max="3847" width="6.7109375" style="396" customWidth="1"/>
    <col min="3848" max="3848" width="11.42578125" style="396" customWidth="1"/>
    <col min="3849" max="3849" width="0" style="396" hidden="1" customWidth="1"/>
    <col min="3850" max="3850" width="12.7109375" style="396" customWidth="1"/>
    <col min="3851" max="3851" width="12.42578125" style="396" customWidth="1"/>
    <col min="3852" max="3852" width="13.5703125" style="396" customWidth="1"/>
    <col min="3853" max="3853" width="12.5703125" style="396" customWidth="1"/>
    <col min="3854" max="3854" width="10.140625" style="396" customWidth="1"/>
    <col min="3855" max="3855" width="13.5703125" style="396" customWidth="1"/>
    <col min="3856" max="3856" width="9.28515625" style="396" bestFit="1" customWidth="1"/>
    <col min="3857" max="4096" width="9" style="396"/>
    <col min="4097" max="4097" width="5" style="396" customWidth="1"/>
    <col min="4098" max="4098" width="7" style="396" customWidth="1"/>
    <col min="4099" max="4099" width="16.140625" style="396" customWidth="1"/>
    <col min="4100" max="4100" width="11.42578125" style="396" customWidth="1"/>
    <col min="4101" max="4101" width="0" style="396" hidden="1" customWidth="1"/>
    <col min="4102" max="4102" width="13.5703125" style="396" customWidth="1"/>
    <col min="4103" max="4103" width="6.7109375" style="396" customWidth="1"/>
    <col min="4104" max="4104" width="11.42578125" style="396" customWidth="1"/>
    <col min="4105" max="4105" width="0" style="396" hidden="1" customWidth="1"/>
    <col min="4106" max="4106" width="12.7109375" style="396" customWidth="1"/>
    <col min="4107" max="4107" width="12.42578125" style="396" customWidth="1"/>
    <col min="4108" max="4108" width="13.5703125" style="396" customWidth="1"/>
    <col min="4109" max="4109" width="12.5703125" style="396" customWidth="1"/>
    <col min="4110" max="4110" width="10.140625" style="396" customWidth="1"/>
    <col min="4111" max="4111" width="13.5703125" style="396" customWidth="1"/>
    <col min="4112" max="4112" width="9.28515625" style="396" bestFit="1" customWidth="1"/>
    <col min="4113" max="4352" width="9" style="396"/>
    <col min="4353" max="4353" width="5" style="396" customWidth="1"/>
    <col min="4354" max="4354" width="7" style="396" customWidth="1"/>
    <col min="4355" max="4355" width="16.140625" style="396" customWidth="1"/>
    <col min="4356" max="4356" width="11.42578125" style="396" customWidth="1"/>
    <col min="4357" max="4357" width="0" style="396" hidden="1" customWidth="1"/>
    <col min="4358" max="4358" width="13.5703125" style="396" customWidth="1"/>
    <col min="4359" max="4359" width="6.7109375" style="396" customWidth="1"/>
    <col min="4360" max="4360" width="11.42578125" style="396" customWidth="1"/>
    <col min="4361" max="4361" width="0" style="396" hidden="1" customWidth="1"/>
    <col min="4362" max="4362" width="12.7109375" style="396" customWidth="1"/>
    <col min="4363" max="4363" width="12.42578125" style="396" customWidth="1"/>
    <col min="4364" max="4364" width="13.5703125" style="396" customWidth="1"/>
    <col min="4365" max="4365" width="12.5703125" style="396" customWidth="1"/>
    <col min="4366" max="4366" width="10.140625" style="396" customWidth="1"/>
    <col min="4367" max="4367" width="13.5703125" style="396" customWidth="1"/>
    <col min="4368" max="4368" width="9.28515625" style="396" bestFit="1" customWidth="1"/>
    <col min="4369" max="4608" width="9" style="396"/>
    <col min="4609" max="4609" width="5" style="396" customWidth="1"/>
    <col min="4610" max="4610" width="7" style="396" customWidth="1"/>
    <col min="4611" max="4611" width="16.140625" style="396" customWidth="1"/>
    <col min="4612" max="4612" width="11.42578125" style="396" customWidth="1"/>
    <col min="4613" max="4613" width="0" style="396" hidden="1" customWidth="1"/>
    <col min="4614" max="4614" width="13.5703125" style="396" customWidth="1"/>
    <col min="4615" max="4615" width="6.7109375" style="396" customWidth="1"/>
    <col min="4616" max="4616" width="11.42578125" style="396" customWidth="1"/>
    <col min="4617" max="4617" width="0" style="396" hidden="1" customWidth="1"/>
    <col min="4618" max="4618" width="12.7109375" style="396" customWidth="1"/>
    <col min="4619" max="4619" width="12.42578125" style="396" customWidth="1"/>
    <col min="4620" max="4620" width="13.5703125" style="396" customWidth="1"/>
    <col min="4621" max="4621" width="12.5703125" style="396" customWidth="1"/>
    <col min="4622" max="4622" width="10.140625" style="396" customWidth="1"/>
    <col min="4623" max="4623" width="13.5703125" style="396" customWidth="1"/>
    <col min="4624" max="4624" width="9.28515625" style="396" bestFit="1" customWidth="1"/>
    <col min="4625" max="4864" width="9" style="396"/>
    <col min="4865" max="4865" width="5" style="396" customWidth="1"/>
    <col min="4866" max="4866" width="7" style="396" customWidth="1"/>
    <col min="4867" max="4867" width="16.140625" style="396" customWidth="1"/>
    <col min="4868" max="4868" width="11.42578125" style="396" customWidth="1"/>
    <col min="4869" max="4869" width="0" style="396" hidden="1" customWidth="1"/>
    <col min="4870" max="4870" width="13.5703125" style="396" customWidth="1"/>
    <col min="4871" max="4871" width="6.7109375" style="396" customWidth="1"/>
    <col min="4872" max="4872" width="11.42578125" style="396" customWidth="1"/>
    <col min="4873" max="4873" width="0" style="396" hidden="1" customWidth="1"/>
    <col min="4874" max="4874" width="12.7109375" style="396" customWidth="1"/>
    <col min="4875" max="4875" width="12.42578125" style="396" customWidth="1"/>
    <col min="4876" max="4876" width="13.5703125" style="396" customWidth="1"/>
    <col min="4877" max="4877" width="12.5703125" style="396" customWidth="1"/>
    <col min="4878" max="4878" width="10.140625" style="396" customWidth="1"/>
    <col min="4879" max="4879" width="13.5703125" style="396" customWidth="1"/>
    <col min="4880" max="4880" width="9.28515625" style="396" bestFit="1" customWidth="1"/>
    <col min="4881" max="5120" width="9" style="396"/>
    <col min="5121" max="5121" width="5" style="396" customWidth="1"/>
    <col min="5122" max="5122" width="7" style="396" customWidth="1"/>
    <col min="5123" max="5123" width="16.140625" style="396" customWidth="1"/>
    <col min="5124" max="5124" width="11.42578125" style="396" customWidth="1"/>
    <col min="5125" max="5125" width="0" style="396" hidden="1" customWidth="1"/>
    <col min="5126" max="5126" width="13.5703125" style="396" customWidth="1"/>
    <col min="5127" max="5127" width="6.7109375" style="396" customWidth="1"/>
    <col min="5128" max="5128" width="11.42578125" style="396" customWidth="1"/>
    <col min="5129" max="5129" width="0" style="396" hidden="1" customWidth="1"/>
    <col min="5130" max="5130" width="12.7109375" style="396" customWidth="1"/>
    <col min="5131" max="5131" width="12.42578125" style="396" customWidth="1"/>
    <col min="5132" max="5132" width="13.5703125" style="396" customWidth="1"/>
    <col min="5133" max="5133" width="12.5703125" style="396" customWidth="1"/>
    <col min="5134" max="5134" width="10.140625" style="396" customWidth="1"/>
    <col min="5135" max="5135" width="13.5703125" style="396" customWidth="1"/>
    <col min="5136" max="5136" width="9.28515625" style="396" bestFit="1" customWidth="1"/>
    <col min="5137" max="5376" width="9" style="396"/>
    <col min="5377" max="5377" width="5" style="396" customWidth="1"/>
    <col min="5378" max="5378" width="7" style="396" customWidth="1"/>
    <col min="5379" max="5379" width="16.140625" style="396" customWidth="1"/>
    <col min="5380" max="5380" width="11.42578125" style="396" customWidth="1"/>
    <col min="5381" max="5381" width="0" style="396" hidden="1" customWidth="1"/>
    <col min="5382" max="5382" width="13.5703125" style="396" customWidth="1"/>
    <col min="5383" max="5383" width="6.7109375" style="396" customWidth="1"/>
    <col min="5384" max="5384" width="11.42578125" style="396" customWidth="1"/>
    <col min="5385" max="5385" width="0" style="396" hidden="1" customWidth="1"/>
    <col min="5386" max="5386" width="12.7109375" style="396" customWidth="1"/>
    <col min="5387" max="5387" width="12.42578125" style="396" customWidth="1"/>
    <col min="5388" max="5388" width="13.5703125" style="396" customWidth="1"/>
    <col min="5389" max="5389" width="12.5703125" style="396" customWidth="1"/>
    <col min="5390" max="5390" width="10.140625" style="396" customWidth="1"/>
    <col min="5391" max="5391" width="13.5703125" style="396" customWidth="1"/>
    <col min="5392" max="5392" width="9.28515625" style="396" bestFit="1" customWidth="1"/>
    <col min="5393" max="5632" width="9" style="396"/>
    <col min="5633" max="5633" width="5" style="396" customWidth="1"/>
    <col min="5634" max="5634" width="7" style="396" customWidth="1"/>
    <col min="5635" max="5635" width="16.140625" style="396" customWidth="1"/>
    <col min="5636" max="5636" width="11.42578125" style="396" customWidth="1"/>
    <col min="5637" max="5637" width="0" style="396" hidden="1" customWidth="1"/>
    <col min="5638" max="5638" width="13.5703125" style="396" customWidth="1"/>
    <col min="5639" max="5639" width="6.7109375" style="396" customWidth="1"/>
    <col min="5640" max="5640" width="11.42578125" style="396" customWidth="1"/>
    <col min="5641" max="5641" width="0" style="396" hidden="1" customWidth="1"/>
    <col min="5642" max="5642" width="12.7109375" style="396" customWidth="1"/>
    <col min="5643" max="5643" width="12.42578125" style="396" customWidth="1"/>
    <col min="5644" max="5644" width="13.5703125" style="396" customWidth="1"/>
    <col min="5645" max="5645" width="12.5703125" style="396" customWidth="1"/>
    <col min="5646" max="5646" width="10.140625" style="396" customWidth="1"/>
    <col min="5647" max="5647" width="13.5703125" style="396" customWidth="1"/>
    <col min="5648" max="5648" width="9.28515625" style="396" bestFit="1" customWidth="1"/>
    <col min="5649" max="5888" width="9" style="396"/>
    <col min="5889" max="5889" width="5" style="396" customWidth="1"/>
    <col min="5890" max="5890" width="7" style="396" customWidth="1"/>
    <col min="5891" max="5891" width="16.140625" style="396" customWidth="1"/>
    <col min="5892" max="5892" width="11.42578125" style="396" customWidth="1"/>
    <col min="5893" max="5893" width="0" style="396" hidden="1" customWidth="1"/>
    <col min="5894" max="5894" width="13.5703125" style="396" customWidth="1"/>
    <col min="5895" max="5895" width="6.7109375" style="396" customWidth="1"/>
    <col min="5896" max="5896" width="11.42578125" style="396" customWidth="1"/>
    <col min="5897" max="5897" width="0" style="396" hidden="1" customWidth="1"/>
    <col min="5898" max="5898" width="12.7109375" style="396" customWidth="1"/>
    <col min="5899" max="5899" width="12.42578125" style="396" customWidth="1"/>
    <col min="5900" max="5900" width="13.5703125" style="396" customWidth="1"/>
    <col min="5901" max="5901" width="12.5703125" style="396" customWidth="1"/>
    <col min="5902" max="5902" width="10.140625" style="396" customWidth="1"/>
    <col min="5903" max="5903" width="13.5703125" style="396" customWidth="1"/>
    <col min="5904" max="5904" width="9.28515625" style="396" bestFit="1" customWidth="1"/>
    <col min="5905" max="6144" width="9" style="396"/>
    <col min="6145" max="6145" width="5" style="396" customWidth="1"/>
    <col min="6146" max="6146" width="7" style="396" customWidth="1"/>
    <col min="6147" max="6147" width="16.140625" style="396" customWidth="1"/>
    <col min="6148" max="6148" width="11.42578125" style="396" customWidth="1"/>
    <col min="6149" max="6149" width="0" style="396" hidden="1" customWidth="1"/>
    <col min="6150" max="6150" width="13.5703125" style="396" customWidth="1"/>
    <col min="6151" max="6151" width="6.7109375" style="396" customWidth="1"/>
    <col min="6152" max="6152" width="11.42578125" style="396" customWidth="1"/>
    <col min="6153" max="6153" width="0" style="396" hidden="1" customWidth="1"/>
    <col min="6154" max="6154" width="12.7109375" style="396" customWidth="1"/>
    <col min="6155" max="6155" width="12.42578125" style="396" customWidth="1"/>
    <col min="6156" max="6156" width="13.5703125" style="396" customWidth="1"/>
    <col min="6157" max="6157" width="12.5703125" style="396" customWidth="1"/>
    <col min="6158" max="6158" width="10.140625" style="396" customWidth="1"/>
    <col min="6159" max="6159" width="13.5703125" style="396" customWidth="1"/>
    <col min="6160" max="6160" width="9.28515625" style="396" bestFit="1" customWidth="1"/>
    <col min="6161" max="6400" width="9" style="396"/>
    <col min="6401" max="6401" width="5" style="396" customWidth="1"/>
    <col min="6402" max="6402" width="7" style="396" customWidth="1"/>
    <col min="6403" max="6403" width="16.140625" style="396" customWidth="1"/>
    <col min="6404" max="6404" width="11.42578125" style="396" customWidth="1"/>
    <col min="6405" max="6405" width="0" style="396" hidden="1" customWidth="1"/>
    <col min="6406" max="6406" width="13.5703125" style="396" customWidth="1"/>
    <col min="6407" max="6407" width="6.7109375" style="396" customWidth="1"/>
    <col min="6408" max="6408" width="11.42578125" style="396" customWidth="1"/>
    <col min="6409" max="6409" width="0" style="396" hidden="1" customWidth="1"/>
    <col min="6410" max="6410" width="12.7109375" style="396" customWidth="1"/>
    <col min="6411" max="6411" width="12.42578125" style="396" customWidth="1"/>
    <col min="6412" max="6412" width="13.5703125" style="396" customWidth="1"/>
    <col min="6413" max="6413" width="12.5703125" style="396" customWidth="1"/>
    <col min="6414" max="6414" width="10.140625" style="396" customWidth="1"/>
    <col min="6415" max="6415" width="13.5703125" style="396" customWidth="1"/>
    <col min="6416" max="6416" width="9.28515625" style="396" bestFit="1" customWidth="1"/>
    <col min="6417" max="6656" width="9" style="396"/>
    <col min="6657" max="6657" width="5" style="396" customWidth="1"/>
    <col min="6658" max="6658" width="7" style="396" customWidth="1"/>
    <col min="6659" max="6659" width="16.140625" style="396" customWidth="1"/>
    <col min="6660" max="6660" width="11.42578125" style="396" customWidth="1"/>
    <col min="6661" max="6661" width="0" style="396" hidden="1" customWidth="1"/>
    <col min="6662" max="6662" width="13.5703125" style="396" customWidth="1"/>
    <col min="6663" max="6663" width="6.7109375" style="396" customWidth="1"/>
    <col min="6664" max="6664" width="11.42578125" style="396" customWidth="1"/>
    <col min="6665" max="6665" width="0" style="396" hidden="1" customWidth="1"/>
    <col min="6666" max="6666" width="12.7109375" style="396" customWidth="1"/>
    <col min="6667" max="6667" width="12.42578125" style="396" customWidth="1"/>
    <col min="6668" max="6668" width="13.5703125" style="396" customWidth="1"/>
    <col min="6669" max="6669" width="12.5703125" style="396" customWidth="1"/>
    <col min="6670" max="6670" width="10.140625" style="396" customWidth="1"/>
    <col min="6671" max="6671" width="13.5703125" style="396" customWidth="1"/>
    <col min="6672" max="6672" width="9.28515625" style="396" bestFit="1" customWidth="1"/>
    <col min="6673" max="6912" width="9" style="396"/>
    <col min="6913" max="6913" width="5" style="396" customWidth="1"/>
    <col min="6914" max="6914" width="7" style="396" customWidth="1"/>
    <col min="6915" max="6915" width="16.140625" style="396" customWidth="1"/>
    <col min="6916" max="6916" width="11.42578125" style="396" customWidth="1"/>
    <col min="6917" max="6917" width="0" style="396" hidden="1" customWidth="1"/>
    <col min="6918" max="6918" width="13.5703125" style="396" customWidth="1"/>
    <col min="6919" max="6919" width="6.7109375" style="396" customWidth="1"/>
    <col min="6920" max="6920" width="11.42578125" style="396" customWidth="1"/>
    <col min="6921" max="6921" width="0" style="396" hidden="1" customWidth="1"/>
    <col min="6922" max="6922" width="12.7109375" style="396" customWidth="1"/>
    <col min="6923" max="6923" width="12.42578125" style="396" customWidth="1"/>
    <col min="6924" max="6924" width="13.5703125" style="396" customWidth="1"/>
    <col min="6925" max="6925" width="12.5703125" style="396" customWidth="1"/>
    <col min="6926" max="6926" width="10.140625" style="396" customWidth="1"/>
    <col min="6927" max="6927" width="13.5703125" style="396" customWidth="1"/>
    <col min="6928" max="6928" width="9.28515625" style="396" bestFit="1" customWidth="1"/>
    <col min="6929" max="7168" width="9" style="396"/>
    <col min="7169" max="7169" width="5" style="396" customWidth="1"/>
    <col min="7170" max="7170" width="7" style="396" customWidth="1"/>
    <col min="7171" max="7171" width="16.140625" style="396" customWidth="1"/>
    <col min="7172" max="7172" width="11.42578125" style="396" customWidth="1"/>
    <col min="7173" max="7173" width="0" style="396" hidden="1" customWidth="1"/>
    <col min="7174" max="7174" width="13.5703125" style="396" customWidth="1"/>
    <col min="7175" max="7175" width="6.7109375" style="396" customWidth="1"/>
    <col min="7176" max="7176" width="11.42578125" style="396" customWidth="1"/>
    <col min="7177" max="7177" width="0" style="396" hidden="1" customWidth="1"/>
    <col min="7178" max="7178" width="12.7109375" style="396" customWidth="1"/>
    <col min="7179" max="7179" width="12.42578125" style="396" customWidth="1"/>
    <col min="7180" max="7180" width="13.5703125" style="396" customWidth="1"/>
    <col min="7181" max="7181" width="12.5703125" style="396" customWidth="1"/>
    <col min="7182" max="7182" width="10.140625" style="396" customWidth="1"/>
    <col min="7183" max="7183" width="13.5703125" style="396" customWidth="1"/>
    <col min="7184" max="7184" width="9.28515625" style="396" bestFit="1" customWidth="1"/>
    <col min="7185" max="7424" width="9" style="396"/>
    <col min="7425" max="7425" width="5" style="396" customWidth="1"/>
    <col min="7426" max="7426" width="7" style="396" customWidth="1"/>
    <col min="7427" max="7427" width="16.140625" style="396" customWidth="1"/>
    <col min="7428" max="7428" width="11.42578125" style="396" customWidth="1"/>
    <col min="7429" max="7429" width="0" style="396" hidden="1" customWidth="1"/>
    <col min="7430" max="7430" width="13.5703125" style="396" customWidth="1"/>
    <col min="7431" max="7431" width="6.7109375" style="396" customWidth="1"/>
    <col min="7432" max="7432" width="11.42578125" style="396" customWidth="1"/>
    <col min="7433" max="7433" width="0" style="396" hidden="1" customWidth="1"/>
    <col min="7434" max="7434" width="12.7109375" style="396" customWidth="1"/>
    <col min="7435" max="7435" width="12.42578125" style="396" customWidth="1"/>
    <col min="7436" max="7436" width="13.5703125" style="396" customWidth="1"/>
    <col min="7437" max="7437" width="12.5703125" style="396" customWidth="1"/>
    <col min="7438" max="7438" width="10.140625" style="396" customWidth="1"/>
    <col min="7439" max="7439" width="13.5703125" style="396" customWidth="1"/>
    <col min="7440" max="7440" width="9.28515625" style="396" bestFit="1" customWidth="1"/>
    <col min="7441" max="7680" width="9" style="396"/>
    <col min="7681" max="7681" width="5" style="396" customWidth="1"/>
    <col min="7682" max="7682" width="7" style="396" customWidth="1"/>
    <col min="7683" max="7683" width="16.140625" style="396" customWidth="1"/>
    <col min="7684" max="7684" width="11.42578125" style="396" customWidth="1"/>
    <col min="7685" max="7685" width="0" style="396" hidden="1" customWidth="1"/>
    <col min="7686" max="7686" width="13.5703125" style="396" customWidth="1"/>
    <col min="7687" max="7687" width="6.7109375" style="396" customWidth="1"/>
    <col min="7688" max="7688" width="11.42578125" style="396" customWidth="1"/>
    <col min="7689" max="7689" width="0" style="396" hidden="1" customWidth="1"/>
    <col min="7690" max="7690" width="12.7109375" style="396" customWidth="1"/>
    <col min="7691" max="7691" width="12.42578125" style="396" customWidth="1"/>
    <col min="7692" max="7692" width="13.5703125" style="396" customWidth="1"/>
    <col min="7693" max="7693" width="12.5703125" style="396" customWidth="1"/>
    <col min="7694" max="7694" width="10.140625" style="396" customWidth="1"/>
    <col min="7695" max="7695" width="13.5703125" style="396" customWidth="1"/>
    <col min="7696" max="7696" width="9.28515625" style="396" bestFit="1" customWidth="1"/>
    <col min="7697" max="7936" width="9" style="396"/>
    <col min="7937" max="7937" width="5" style="396" customWidth="1"/>
    <col min="7938" max="7938" width="7" style="396" customWidth="1"/>
    <col min="7939" max="7939" width="16.140625" style="396" customWidth="1"/>
    <col min="7940" max="7940" width="11.42578125" style="396" customWidth="1"/>
    <col min="7941" max="7941" width="0" style="396" hidden="1" customWidth="1"/>
    <col min="7942" max="7942" width="13.5703125" style="396" customWidth="1"/>
    <col min="7943" max="7943" width="6.7109375" style="396" customWidth="1"/>
    <col min="7944" max="7944" width="11.42578125" style="396" customWidth="1"/>
    <col min="7945" max="7945" width="0" style="396" hidden="1" customWidth="1"/>
    <col min="7946" max="7946" width="12.7109375" style="396" customWidth="1"/>
    <col min="7947" max="7947" width="12.42578125" style="396" customWidth="1"/>
    <col min="7948" max="7948" width="13.5703125" style="396" customWidth="1"/>
    <col min="7949" max="7949" width="12.5703125" style="396" customWidth="1"/>
    <col min="7950" max="7950" width="10.140625" style="396" customWidth="1"/>
    <col min="7951" max="7951" width="13.5703125" style="396" customWidth="1"/>
    <col min="7952" max="7952" width="9.28515625" style="396" bestFit="1" customWidth="1"/>
    <col min="7953" max="8192" width="9" style="396"/>
    <col min="8193" max="8193" width="5" style="396" customWidth="1"/>
    <col min="8194" max="8194" width="7" style="396" customWidth="1"/>
    <col min="8195" max="8195" width="16.140625" style="396" customWidth="1"/>
    <col min="8196" max="8196" width="11.42578125" style="396" customWidth="1"/>
    <col min="8197" max="8197" width="0" style="396" hidden="1" customWidth="1"/>
    <col min="8198" max="8198" width="13.5703125" style="396" customWidth="1"/>
    <col min="8199" max="8199" width="6.7109375" style="396" customWidth="1"/>
    <col min="8200" max="8200" width="11.42578125" style="396" customWidth="1"/>
    <col min="8201" max="8201" width="0" style="396" hidden="1" customWidth="1"/>
    <col min="8202" max="8202" width="12.7109375" style="396" customWidth="1"/>
    <col min="8203" max="8203" width="12.42578125" style="396" customWidth="1"/>
    <col min="8204" max="8204" width="13.5703125" style="396" customWidth="1"/>
    <col min="8205" max="8205" width="12.5703125" style="396" customWidth="1"/>
    <col min="8206" max="8206" width="10.140625" style="396" customWidth="1"/>
    <col min="8207" max="8207" width="13.5703125" style="396" customWidth="1"/>
    <col min="8208" max="8208" width="9.28515625" style="396" bestFit="1" customWidth="1"/>
    <col min="8209" max="8448" width="9" style="396"/>
    <col min="8449" max="8449" width="5" style="396" customWidth="1"/>
    <col min="8450" max="8450" width="7" style="396" customWidth="1"/>
    <col min="8451" max="8451" width="16.140625" style="396" customWidth="1"/>
    <col min="8452" max="8452" width="11.42578125" style="396" customWidth="1"/>
    <col min="8453" max="8453" width="0" style="396" hidden="1" customWidth="1"/>
    <col min="8454" max="8454" width="13.5703125" style="396" customWidth="1"/>
    <col min="8455" max="8455" width="6.7109375" style="396" customWidth="1"/>
    <col min="8456" max="8456" width="11.42578125" style="396" customWidth="1"/>
    <col min="8457" max="8457" width="0" style="396" hidden="1" customWidth="1"/>
    <col min="8458" max="8458" width="12.7109375" style="396" customWidth="1"/>
    <col min="8459" max="8459" width="12.42578125" style="396" customWidth="1"/>
    <col min="8460" max="8460" width="13.5703125" style="396" customWidth="1"/>
    <col min="8461" max="8461" width="12.5703125" style="396" customWidth="1"/>
    <col min="8462" max="8462" width="10.140625" style="396" customWidth="1"/>
    <col min="8463" max="8463" width="13.5703125" style="396" customWidth="1"/>
    <col min="8464" max="8464" width="9.28515625" style="396" bestFit="1" customWidth="1"/>
    <col min="8465" max="8704" width="9" style="396"/>
    <col min="8705" max="8705" width="5" style="396" customWidth="1"/>
    <col min="8706" max="8706" width="7" style="396" customWidth="1"/>
    <col min="8707" max="8707" width="16.140625" style="396" customWidth="1"/>
    <col min="8708" max="8708" width="11.42578125" style="396" customWidth="1"/>
    <col min="8709" max="8709" width="0" style="396" hidden="1" customWidth="1"/>
    <col min="8710" max="8710" width="13.5703125" style="396" customWidth="1"/>
    <col min="8711" max="8711" width="6.7109375" style="396" customWidth="1"/>
    <col min="8712" max="8712" width="11.42578125" style="396" customWidth="1"/>
    <col min="8713" max="8713" width="0" style="396" hidden="1" customWidth="1"/>
    <col min="8714" max="8714" width="12.7109375" style="396" customWidth="1"/>
    <col min="8715" max="8715" width="12.42578125" style="396" customWidth="1"/>
    <col min="8716" max="8716" width="13.5703125" style="396" customWidth="1"/>
    <col min="8717" max="8717" width="12.5703125" style="396" customWidth="1"/>
    <col min="8718" max="8718" width="10.140625" style="396" customWidth="1"/>
    <col min="8719" max="8719" width="13.5703125" style="396" customWidth="1"/>
    <col min="8720" max="8720" width="9.28515625" style="396" bestFit="1" customWidth="1"/>
    <col min="8721" max="8960" width="9" style="396"/>
    <col min="8961" max="8961" width="5" style="396" customWidth="1"/>
    <col min="8962" max="8962" width="7" style="396" customWidth="1"/>
    <col min="8963" max="8963" width="16.140625" style="396" customWidth="1"/>
    <col min="8964" max="8964" width="11.42578125" style="396" customWidth="1"/>
    <col min="8965" max="8965" width="0" style="396" hidden="1" customWidth="1"/>
    <col min="8966" max="8966" width="13.5703125" style="396" customWidth="1"/>
    <col min="8967" max="8967" width="6.7109375" style="396" customWidth="1"/>
    <col min="8968" max="8968" width="11.42578125" style="396" customWidth="1"/>
    <col min="8969" max="8969" width="0" style="396" hidden="1" customWidth="1"/>
    <col min="8970" max="8970" width="12.7109375" style="396" customWidth="1"/>
    <col min="8971" max="8971" width="12.42578125" style="396" customWidth="1"/>
    <col min="8972" max="8972" width="13.5703125" style="396" customWidth="1"/>
    <col min="8973" max="8973" width="12.5703125" style="396" customWidth="1"/>
    <col min="8974" max="8974" width="10.140625" style="396" customWidth="1"/>
    <col min="8975" max="8975" width="13.5703125" style="396" customWidth="1"/>
    <col min="8976" max="8976" width="9.28515625" style="396" bestFit="1" customWidth="1"/>
    <col min="8977" max="9216" width="9" style="396"/>
    <col min="9217" max="9217" width="5" style="396" customWidth="1"/>
    <col min="9218" max="9218" width="7" style="396" customWidth="1"/>
    <col min="9219" max="9219" width="16.140625" style="396" customWidth="1"/>
    <col min="9220" max="9220" width="11.42578125" style="396" customWidth="1"/>
    <col min="9221" max="9221" width="0" style="396" hidden="1" customWidth="1"/>
    <col min="9222" max="9222" width="13.5703125" style="396" customWidth="1"/>
    <col min="9223" max="9223" width="6.7109375" style="396" customWidth="1"/>
    <col min="9224" max="9224" width="11.42578125" style="396" customWidth="1"/>
    <col min="9225" max="9225" width="0" style="396" hidden="1" customWidth="1"/>
    <col min="9226" max="9226" width="12.7109375" style="396" customWidth="1"/>
    <col min="9227" max="9227" width="12.42578125" style="396" customWidth="1"/>
    <col min="9228" max="9228" width="13.5703125" style="396" customWidth="1"/>
    <col min="9229" max="9229" width="12.5703125" style="396" customWidth="1"/>
    <col min="9230" max="9230" width="10.140625" style="396" customWidth="1"/>
    <col min="9231" max="9231" width="13.5703125" style="396" customWidth="1"/>
    <col min="9232" max="9232" width="9.28515625" style="396" bestFit="1" customWidth="1"/>
    <col min="9233" max="9472" width="9" style="396"/>
    <col min="9473" max="9473" width="5" style="396" customWidth="1"/>
    <col min="9474" max="9474" width="7" style="396" customWidth="1"/>
    <col min="9475" max="9475" width="16.140625" style="396" customWidth="1"/>
    <col min="9476" max="9476" width="11.42578125" style="396" customWidth="1"/>
    <col min="9477" max="9477" width="0" style="396" hidden="1" customWidth="1"/>
    <col min="9478" max="9478" width="13.5703125" style="396" customWidth="1"/>
    <col min="9479" max="9479" width="6.7109375" style="396" customWidth="1"/>
    <col min="9480" max="9480" width="11.42578125" style="396" customWidth="1"/>
    <col min="9481" max="9481" width="0" style="396" hidden="1" customWidth="1"/>
    <col min="9482" max="9482" width="12.7109375" style="396" customWidth="1"/>
    <col min="9483" max="9483" width="12.42578125" style="396" customWidth="1"/>
    <col min="9484" max="9484" width="13.5703125" style="396" customWidth="1"/>
    <col min="9485" max="9485" width="12.5703125" style="396" customWidth="1"/>
    <col min="9486" max="9486" width="10.140625" style="396" customWidth="1"/>
    <col min="9487" max="9487" width="13.5703125" style="396" customWidth="1"/>
    <col min="9488" max="9488" width="9.28515625" style="396" bestFit="1" customWidth="1"/>
    <col min="9489" max="9728" width="9" style="396"/>
    <col min="9729" max="9729" width="5" style="396" customWidth="1"/>
    <col min="9730" max="9730" width="7" style="396" customWidth="1"/>
    <col min="9731" max="9731" width="16.140625" style="396" customWidth="1"/>
    <col min="9732" max="9732" width="11.42578125" style="396" customWidth="1"/>
    <col min="9733" max="9733" width="0" style="396" hidden="1" customWidth="1"/>
    <col min="9734" max="9734" width="13.5703125" style="396" customWidth="1"/>
    <col min="9735" max="9735" width="6.7109375" style="396" customWidth="1"/>
    <col min="9736" max="9736" width="11.42578125" style="396" customWidth="1"/>
    <col min="9737" max="9737" width="0" style="396" hidden="1" customWidth="1"/>
    <col min="9738" max="9738" width="12.7109375" style="396" customWidth="1"/>
    <col min="9739" max="9739" width="12.42578125" style="396" customWidth="1"/>
    <col min="9740" max="9740" width="13.5703125" style="396" customWidth="1"/>
    <col min="9741" max="9741" width="12.5703125" style="396" customWidth="1"/>
    <col min="9742" max="9742" width="10.140625" style="396" customWidth="1"/>
    <col min="9743" max="9743" width="13.5703125" style="396" customWidth="1"/>
    <col min="9744" max="9744" width="9.28515625" style="396" bestFit="1" customWidth="1"/>
    <col min="9745" max="9984" width="9" style="396"/>
    <col min="9985" max="9985" width="5" style="396" customWidth="1"/>
    <col min="9986" max="9986" width="7" style="396" customWidth="1"/>
    <col min="9987" max="9987" width="16.140625" style="396" customWidth="1"/>
    <col min="9988" max="9988" width="11.42578125" style="396" customWidth="1"/>
    <col min="9989" max="9989" width="0" style="396" hidden="1" customWidth="1"/>
    <col min="9990" max="9990" width="13.5703125" style="396" customWidth="1"/>
    <col min="9991" max="9991" width="6.7109375" style="396" customWidth="1"/>
    <col min="9992" max="9992" width="11.42578125" style="396" customWidth="1"/>
    <col min="9993" max="9993" width="0" style="396" hidden="1" customWidth="1"/>
    <col min="9994" max="9994" width="12.7109375" style="396" customWidth="1"/>
    <col min="9995" max="9995" width="12.42578125" style="396" customWidth="1"/>
    <col min="9996" max="9996" width="13.5703125" style="396" customWidth="1"/>
    <col min="9997" max="9997" width="12.5703125" style="396" customWidth="1"/>
    <col min="9998" max="9998" width="10.140625" style="396" customWidth="1"/>
    <col min="9999" max="9999" width="13.5703125" style="396" customWidth="1"/>
    <col min="10000" max="10000" width="9.28515625" style="396" bestFit="1" customWidth="1"/>
    <col min="10001" max="10240" width="9" style="396"/>
    <col min="10241" max="10241" width="5" style="396" customWidth="1"/>
    <col min="10242" max="10242" width="7" style="396" customWidth="1"/>
    <col min="10243" max="10243" width="16.140625" style="396" customWidth="1"/>
    <col min="10244" max="10244" width="11.42578125" style="396" customWidth="1"/>
    <col min="10245" max="10245" width="0" style="396" hidden="1" customWidth="1"/>
    <col min="10246" max="10246" width="13.5703125" style="396" customWidth="1"/>
    <col min="10247" max="10247" width="6.7109375" style="396" customWidth="1"/>
    <col min="10248" max="10248" width="11.42578125" style="396" customWidth="1"/>
    <col min="10249" max="10249" width="0" style="396" hidden="1" customWidth="1"/>
    <col min="10250" max="10250" width="12.7109375" style="396" customWidth="1"/>
    <col min="10251" max="10251" width="12.42578125" style="396" customWidth="1"/>
    <col min="10252" max="10252" width="13.5703125" style="396" customWidth="1"/>
    <col min="10253" max="10253" width="12.5703125" style="396" customWidth="1"/>
    <col min="10254" max="10254" width="10.140625" style="396" customWidth="1"/>
    <col min="10255" max="10255" width="13.5703125" style="396" customWidth="1"/>
    <col min="10256" max="10256" width="9.28515625" style="396" bestFit="1" customWidth="1"/>
    <col min="10257" max="10496" width="9" style="396"/>
    <col min="10497" max="10497" width="5" style="396" customWidth="1"/>
    <col min="10498" max="10498" width="7" style="396" customWidth="1"/>
    <col min="10499" max="10499" width="16.140625" style="396" customWidth="1"/>
    <col min="10500" max="10500" width="11.42578125" style="396" customWidth="1"/>
    <col min="10501" max="10501" width="0" style="396" hidden="1" customWidth="1"/>
    <col min="10502" max="10502" width="13.5703125" style="396" customWidth="1"/>
    <col min="10503" max="10503" width="6.7109375" style="396" customWidth="1"/>
    <col min="10504" max="10504" width="11.42578125" style="396" customWidth="1"/>
    <col min="10505" max="10505" width="0" style="396" hidden="1" customWidth="1"/>
    <col min="10506" max="10506" width="12.7109375" style="396" customWidth="1"/>
    <col min="10507" max="10507" width="12.42578125" style="396" customWidth="1"/>
    <col min="10508" max="10508" width="13.5703125" style="396" customWidth="1"/>
    <col min="10509" max="10509" width="12.5703125" style="396" customWidth="1"/>
    <col min="10510" max="10510" width="10.140625" style="396" customWidth="1"/>
    <col min="10511" max="10511" width="13.5703125" style="396" customWidth="1"/>
    <col min="10512" max="10512" width="9.28515625" style="396" bestFit="1" customWidth="1"/>
    <col min="10513" max="10752" width="9" style="396"/>
    <col min="10753" max="10753" width="5" style="396" customWidth="1"/>
    <col min="10754" max="10754" width="7" style="396" customWidth="1"/>
    <col min="10755" max="10755" width="16.140625" style="396" customWidth="1"/>
    <col min="10756" max="10756" width="11.42578125" style="396" customWidth="1"/>
    <col min="10757" max="10757" width="0" style="396" hidden="1" customWidth="1"/>
    <col min="10758" max="10758" width="13.5703125" style="396" customWidth="1"/>
    <col min="10759" max="10759" width="6.7109375" style="396" customWidth="1"/>
    <col min="10760" max="10760" width="11.42578125" style="396" customWidth="1"/>
    <col min="10761" max="10761" width="0" style="396" hidden="1" customWidth="1"/>
    <col min="10762" max="10762" width="12.7109375" style="396" customWidth="1"/>
    <col min="10763" max="10763" width="12.42578125" style="396" customWidth="1"/>
    <col min="10764" max="10764" width="13.5703125" style="396" customWidth="1"/>
    <col min="10765" max="10765" width="12.5703125" style="396" customWidth="1"/>
    <col min="10766" max="10766" width="10.140625" style="396" customWidth="1"/>
    <col min="10767" max="10767" width="13.5703125" style="396" customWidth="1"/>
    <col min="10768" max="10768" width="9.28515625" style="396" bestFit="1" customWidth="1"/>
    <col min="10769" max="11008" width="9" style="396"/>
    <col min="11009" max="11009" width="5" style="396" customWidth="1"/>
    <col min="11010" max="11010" width="7" style="396" customWidth="1"/>
    <col min="11011" max="11011" width="16.140625" style="396" customWidth="1"/>
    <col min="11012" max="11012" width="11.42578125" style="396" customWidth="1"/>
    <col min="11013" max="11013" width="0" style="396" hidden="1" customWidth="1"/>
    <col min="11014" max="11014" width="13.5703125" style="396" customWidth="1"/>
    <col min="11015" max="11015" width="6.7109375" style="396" customWidth="1"/>
    <col min="11016" max="11016" width="11.42578125" style="396" customWidth="1"/>
    <col min="11017" max="11017" width="0" style="396" hidden="1" customWidth="1"/>
    <col min="11018" max="11018" width="12.7109375" style="396" customWidth="1"/>
    <col min="11019" max="11019" width="12.42578125" style="396" customWidth="1"/>
    <col min="11020" max="11020" width="13.5703125" style="396" customWidth="1"/>
    <col min="11021" max="11021" width="12.5703125" style="396" customWidth="1"/>
    <col min="11022" max="11022" width="10.140625" style="396" customWidth="1"/>
    <col min="11023" max="11023" width="13.5703125" style="396" customWidth="1"/>
    <col min="11024" max="11024" width="9.28515625" style="396" bestFit="1" customWidth="1"/>
    <col min="11025" max="11264" width="9" style="396"/>
    <col min="11265" max="11265" width="5" style="396" customWidth="1"/>
    <col min="11266" max="11266" width="7" style="396" customWidth="1"/>
    <col min="11267" max="11267" width="16.140625" style="396" customWidth="1"/>
    <col min="11268" max="11268" width="11.42578125" style="396" customWidth="1"/>
    <col min="11269" max="11269" width="0" style="396" hidden="1" customWidth="1"/>
    <col min="11270" max="11270" width="13.5703125" style="396" customWidth="1"/>
    <col min="11271" max="11271" width="6.7109375" style="396" customWidth="1"/>
    <col min="11272" max="11272" width="11.42578125" style="396" customWidth="1"/>
    <col min="11273" max="11273" width="0" style="396" hidden="1" customWidth="1"/>
    <col min="11274" max="11274" width="12.7109375" style="396" customWidth="1"/>
    <col min="11275" max="11275" width="12.42578125" style="396" customWidth="1"/>
    <col min="11276" max="11276" width="13.5703125" style="396" customWidth="1"/>
    <col min="11277" max="11277" width="12.5703125" style="396" customWidth="1"/>
    <col min="11278" max="11278" width="10.140625" style="396" customWidth="1"/>
    <col min="11279" max="11279" width="13.5703125" style="396" customWidth="1"/>
    <col min="11280" max="11280" width="9.28515625" style="396" bestFit="1" customWidth="1"/>
    <col min="11281" max="11520" width="9" style="396"/>
    <col min="11521" max="11521" width="5" style="396" customWidth="1"/>
    <col min="11522" max="11522" width="7" style="396" customWidth="1"/>
    <col min="11523" max="11523" width="16.140625" style="396" customWidth="1"/>
    <col min="11524" max="11524" width="11.42578125" style="396" customWidth="1"/>
    <col min="11525" max="11525" width="0" style="396" hidden="1" customWidth="1"/>
    <col min="11526" max="11526" width="13.5703125" style="396" customWidth="1"/>
    <col min="11527" max="11527" width="6.7109375" style="396" customWidth="1"/>
    <col min="11528" max="11528" width="11.42578125" style="396" customWidth="1"/>
    <col min="11529" max="11529" width="0" style="396" hidden="1" customWidth="1"/>
    <col min="11530" max="11530" width="12.7109375" style="396" customWidth="1"/>
    <col min="11531" max="11531" width="12.42578125" style="396" customWidth="1"/>
    <col min="11532" max="11532" width="13.5703125" style="396" customWidth="1"/>
    <col min="11533" max="11533" width="12.5703125" style="396" customWidth="1"/>
    <col min="11534" max="11534" width="10.140625" style="396" customWidth="1"/>
    <col min="11535" max="11535" width="13.5703125" style="396" customWidth="1"/>
    <col min="11536" max="11536" width="9.28515625" style="396" bestFit="1" customWidth="1"/>
    <col min="11537" max="11776" width="9" style="396"/>
    <col min="11777" max="11777" width="5" style="396" customWidth="1"/>
    <col min="11778" max="11778" width="7" style="396" customWidth="1"/>
    <col min="11779" max="11779" width="16.140625" style="396" customWidth="1"/>
    <col min="11780" max="11780" width="11.42578125" style="396" customWidth="1"/>
    <col min="11781" max="11781" width="0" style="396" hidden="1" customWidth="1"/>
    <col min="11782" max="11782" width="13.5703125" style="396" customWidth="1"/>
    <col min="11783" max="11783" width="6.7109375" style="396" customWidth="1"/>
    <col min="11784" max="11784" width="11.42578125" style="396" customWidth="1"/>
    <col min="11785" max="11785" width="0" style="396" hidden="1" customWidth="1"/>
    <col min="11786" max="11786" width="12.7109375" style="396" customWidth="1"/>
    <col min="11787" max="11787" width="12.42578125" style="396" customWidth="1"/>
    <col min="11788" max="11788" width="13.5703125" style="396" customWidth="1"/>
    <col min="11789" max="11789" width="12.5703125" style="396" customWidth="1"/>
    <col min="11790" max="11790" width="10.140625" style="396" customWidth="1"/>
    <col min="11791" max="11791" width="13.5703125" style="396" customWidth="1"/>
    <col min="11792" max="11792" width="9.28515625" style="396" bestFit="1" customWidth="1"/>
    <col min="11793" max="12032" width="9" style="396"/>
    <col min="12033" max="12033" width="5" style="396" customWidth="1"/>
    <col min="12034" max="12034" width="7" style="396" customWidth="1"/>
    <col min="12035" max="12035" width="16.140625" style="396" customWidth="1"/>
    <col min="12036" max="12036" width="11.42578125" style="396" customWidth="1"/>
    <col min="12037" max="12037" width="0" style="396" hidden="1" customWidth="1"/>
    <col min="12038" max="12038" width="13.5703125" style="396" customWidth="1"/>
    <col min="12039" max="12039" width="6.7109375" style="396" customWidth="1"/>
    <col min="12040" max="12040" width="11.42578125" style="396" customWidth="1"/>
    <col min="12041" max="12041" width="0" style="396" hidden="1" customWidth="1"/>
    <col min="12042" max="12042" width="12.7109375" style="396" customWidth="1"/>
    <col min="12043" max="12043" width="12.42578125" style="396" customWidth="1"/>
    <col min="12044" max="12044" width="13.5703125" style="396" customWidth="1"/>
    <col min="12045" max="12045" width="12.5703125" style="396" customWidth="1"/>
    <col min="12046" max="12046" width="10.140625" style="396" customWidth="1"/>
    <col min="12047" max="12047" width="13.5703125" style="396" customWidth="1"/>
    <col min="12048" max="12048" width="9.28515625" style="396" bestFit="1" customWidth="1"/>
    <col min="12049" max="12288" width="9" style="396"/>
    <col min="12289" max="12289" width="5" style="396" customWidth="1"/>
    <col min="12290" max="12290" width="7" style="396" customWidth="1"/>
    <col min="12291" max="12291" width="16.140625" style="396" customWidth="1"/>
    <col min="12292" max="12292" width="11.42578125" style="396" customWidth="1"/>
    <col min="12293" max="12293" width="0" style="396" hidden="1" customWidth="1"/>
    <col min="12294" max="12294" width="13.5703125" style="396" customWidth="1"/>
    <col min="12295" max="12295" width="6.7109375" style="396" customWidth="1"/>
    <col min="12296" max="12296" width="11.42578125" style="396" customWidth="1"/>
    <col min="12297" max="12297" width="0" style="396" hidden="1" customWidth="1"/>
    <col min="12298" max="12298" width="12.7109375" style="396" customWidth="1"/>
    <col min="12299" max="12299" width="12.42578125" style="396" customWidth="1"/>
    <col min="12300" max="12300" width="13.5703125" style="396" customWidth="1"/>
    <col min="12301" max="12301" width="12.5703125" style="396" customWidth="1"/>
    <col min="12302" max="12302" width="10.140625" style="396" customWidth="1"/>
    <col min="12303" max="12303" width="13.5703125" style="396" customWidth="1"/>
    <col min="12304" max="12304" width="9.28515625" style="396" bestFit="1" customWidth="1"/>
    <col min="12305" max="12544" width="9" style="396"/>
    <col min="12545" max="12545" width="5" style="396" customWidth="1"/>
    <col min="12546" max="12546" width="7" style="396" customWidth="1"/>
    <col min="12547" max="12547" width="16.140625" style="396" customWidth="1"/>
    <col min="12548" max="12548" width="11.42578125" style="396" customWidth="1"/>
    <col min="12549" max="12549" width="0" style="396" hidden="1" customWidth="1"/>
    <col min="12550" max="12550" width="13.5703125" style="396" customWidth="1"/>
    <col min="12551" max="12551" width="6.7109375" style="396" customWidth="1"/>
    <col min="12552" max="12552" width="11.42578125" style="396" customWidth="1"/>
    <col min="12553" max="12553" width="0" style="396" hidden="1" customWidth="1"/>
    <col min="12554" max="12554" width="12.7109375" style="396" customWidth="1"/>
    <col min="12555" max="12555" width="12.42578125" style="396" customWidth="1"/>
    <col min="12556" max="12556" width="13.5703125" style="396" customWidth="1"/>
    <col min="12557" max="12557" width="12.5703125" style="396" customWidth="1"/>
    <col min="12558" max="12558" width="10.140625" style="396" customWidth="1"/>
    <col min="12559" max="12559" width="13.5703125" style="396" customWidth="1"/>
    <col min="12560" max="12560" width="9.28515625" style="396" bestFit="1" customWidth="1"/>
    <col min="12561" max="12800" width="9" style="396"/>
    <col min="12801" max="12801" width="5" style="396" customWidth="1"/>
    <col min="12802" max="12802" width="7" style="396" customWidth="1"/>
    <col min="12803" max="12803" width="16.140625" style="396" customWidth="1"/>
    <col min="12804" max="12804" width="11.42578125" style="396" customWidth="1"/>
    <col min="12805" max="12805" width="0" style="396" hidden="1" customWidth="1"/>
    <col min="12806" max="12806" width="13.5703125" style="396" customWidth="1"/>
    <col min="12807" max="12807" width="6.7109375" style="396" customWidth="1"/>
    <col min="12808" max="12808" width="11.42578125" style="396" customWidth="1"/>
    <col min="12809" max="12809" width="0" style="396" hidden="1" customWidth="1"/>
    <col min="12810" max="12810" width="12.7109375" style="396" customWidth="1"/>
    <col min="12811" max="12811" width="12.42578125" style="396" customWidth="1"/>
    <col min="12812" max="12812" width="13.5703125" style="396" customWidth="1"/>
    <col min="12813" max="12813" width="12.5703125" style="396" customWidth="1"/>
    <col min="12814" max="12814" width="10.140625" style="396" customWidth="1"/>
    <col min="12815" max="12815" width="13.5703125" style="396" customWidth="1"/>
    <col min="12816" max="12816" width="9.28515625" style="396" bestFit="1" customWidth="1"/>
    <col min="12817" max="13056" width="9" style="396"/>
    <col min="13057" max="13057" width="5" style="396" customWidth="1"/>
    <col min="13058" max="13058" width="7" style="396" customWidth="1"/>
    <col min="13059" max="13059" width="16.140625" style="396" customWidth="1"/>
    <col min="13060" max="13060" width="11.42578125" style="396" customWidth="1"/>
    <col min="13061" max="13061" width="0" style="396" hidden="1" customWidth="1"/>
    <col min="13062" max="13062" width="13.5703125" style="396" customWidth="1"/>
    <col min="13063" max="13063" width="6.7109375" style="396" customWidth="1"/>
    <col min="13064" max="13064" width="11.42578125" style="396" customWidth="1"/>
    <col min="13065" max="13065" width="0" style="396" hidden="1" customWidth="1"/>
    <col min="13066" max="13066" width="12.7109375" style="396" customWidth="1"/>
    <col min="13067" max="13067" width="12.42578125" style="396" customWidth="1"/>
    <col min="13068" max="13068" width="13.5703125" style="396" customWidth="1"/>
    <col min="13069" max="13069" width="12.5703125" style="396" customWidth="1"/>
    <col min="13070" max="13070" width="10.140625" style="396" customWidth="1"/>
    <col min="13071" max="13071" width="13.5703125" style="396" customWidth="1"/>
    <col min="13072" max="13072" width="9.28515625" style="396" bestFit="1" customWidth="1"/>
    <col min="13073" max="13312" width="9" style="396"/>
    <col min="13313" max="13313" width="5" style="396" customWidth="1"/>
    <col min="13314" max="13314" width="7" style="396" customWidth="1"/>
    <col min="13315" max="13315" width="16.140625" style="396" customWidth="1"/>
    <col min="13316" max="13316" width="11.42578125" style="396" customWidth="1"/>
    <col min="13317" max="13317" width="0" style="396" hidden="1" customWidth="1"/>
    <col min="13318" max="13318" width="13.5703125" style="396" customWidth="1"/>
    <col min="13319" max="13319" width="6.7109375" style="396" customWidth="1"/>
    <col min="13320" max="13320" width="11.42578125" style="396" customWidth="1"/>
    <col min="13321" max="13321" width="0" style="396" hidden="1" customWidth="1"/>
    <col min="13322" max="13322" width="12.7109375" style="396" customWidth="1"/>
    <col min="13323" max="13323" width="12.42578125" style="396" customWidth="1"/>
    <col min="13324" max="13324" width="13.5703125" style="396" customWidth="1"/>
    <col min="13325" max="13325" width="12.5703125" style="396" customWidth="1"/>
    <col min="13326" max="13326" width="10.140625" style="396" customWidth="1"/>
    <col min="13327" max="13327" width="13.5703125" style="396" customWidth="1"/>
    <col min="13328" max="13328" width="9.28515625" style="396" bestFit="1" customWidth="1"/>
    <col min="13329" max="13568" width="9" style="396"/>
    <col min="13569" max="13569" width="5" style="396" customWidth="1"/>
    <col min="13570" max="13570" width="7" style="396" customWidth="1"/>
    <col min="13571" max="13571" width="16.140625" style="396" customWidth="1"/>
    <col min="13572" max="13572" width="11.42578125" style="396" customWidth="1"/>
    <col min="13573" max="13573" width="0" style="396" hidden="1" customWidth="1"/>
    <col min="13574" max="13574" width="13.5703125" style="396" customWidth="1"/>
    <col min="13575" max="13575" width="6.7109375" style="396" customWidth="1"/>
    <col min="13576" max="13576" width="11.42578125" style="396" customWidth="1"/>
    <col min="13577" max="13577" width="0" style="396" hidden="1" customWidth="1"/>
    <col min="13578" max="13578" width="12.7109375" style="396" customWidth="1"/>
    <col min="13579" max="13579" width="12.42578125" style="396" customWidth="1"/>
    <col min="13580" max="13580" width="13.5703125" style="396" customWidth="1"/>
    <col min="13581" max="13581" width="12.5703125" style="396" customWidth="1"/>
    <col min="13582" max="13582" width="10.140625" style="396" customWidth="1"/>
    <col min="13583" max="13583" width="13.5703125" style="396" customWidth="1"/>
    <col min="13584" max="13584" width="9.28515625" style="396" bestFit="1" customWidth="1"/>
    <col min="13585" max="13824" width="9" style="396"/>
    <col min="13825" max="13825" width="5" style="396" customWidth="1"/>
    <col min="13826" max="13826" width="7" style="396" customWidth="1"/>
    <col min="13827" max="13827" width="16.140625" style="396" customWidth="1"/>
    <col min="13828" max="13828" width="11.42578125" style="396" customWidth="1"/>
    <col min="13829" max="13829" width="0" style="396" hidden="1" customWidth="1"/>
    <col min="13830" max="13830" width="13.5703125" style="396" customWidth="1"/>
    <col min="13831" max="13831" width="6.7109375" style="396" customWidth="1"/>
    <col min="13832" max="13832" width="11.42578125" style="396" customWidth="1"/>
    <col min="13833" max="13833" width="0" style="396" hidden="1" customWidth="1"/>
    <col min="13834" max="13834" width="12.7109375" style="396" customWidth="1"/>
    <col min="13835" max="13835" width="12.42578125" style="396" customWidth="1"/>
    <col min="13836" max="13836" width="13.5703125" style="396" customWidth="1"/>
    <col min="13837" max="13837" width="12.5703125" style="396" customWidth="1"/>
    <col min="13838" max="13838" width="10.140625" style="396" customWidth="1"/>
    <col min="13839" max="13839" width="13.5703125" style="396" customWidth="1"/>
    <col min="13840" max="13840" width="9.28515625" style="396" bestFit="1" customWidth="1"/>
    <col min="13841" max="14080" width="9" style="396"/>
    <col min="14081" max="14081" width="5" style="396" customWidth="1"/>
    <col min="14082" max="14082" width="7" style="396" customWidth="1"/>
    <col min="14083" max="14083" width="16.140625" style="396" customWidth="1"/>
    <col min="14084" max="14084" width="11.42578125" style="396" customWidth="1"/>
    <col min="14085" max="14085" width="0" style="396" hidden="1" customWidth="1"/>
    <col min="14086" max="14086" width="13.5703125" style="396" customWidth="1"/>
    <col min="14087" max="14087" width="6.7109375" style="396" customWidth="1"/>
    <col min="14088" max="14088" width="11.42578125" style="396" customWidth="1"/>
    <col min="14089" max="14089" width="0" style="396" hidden="1" customWidth="1"/>
    <col min="14090" max="14090" width="12.7109375" style="396" customWidth="1"/>
    <col min="14091" max="14091" width="12.42578125" style="396" customWidth="1"/>
    <col min="14092" max="14092" width="13.5703125" style="396" customWidth="1"/>
    <col min="14093" max="14093" width="12.5703125" style="396" customWidth="1"/>
    <col min="14094" max="14094" width="10.140625" style="396" customWidth="1"/>
    <col min="14095" max="14095" width="13.5703125" style="396" customWidth="1"/>
    <col min="14096" max="14096" width="9.28515625" style="396" bestFit="1" customWidth="1"/>
    <col min="14097" max="14336" width="9" style="396"/>
    <col min="14337" max="14337" width="5" style="396" customWidth="1"/>
    <col min="14338" max="14338" width="7" style="396" customWidth="1"/>
    <col min="14339" max="14339" width="16.140625" style="396" customWidth="1"/>
    <col min="14340" max="14340" width="11.42578125" style="396" customWidth="1"/>
    <col min="14341" max="14341" width="0" style="396" hidden="1" customWidth="1"/>
    <col min="14342" max="14342" width="13.5703125" style="396" customWidth="1"/>
    <col min="14343" max="14343" width="6.7109375" style="396" customWidth="1"/>
    <col min="14344" max="14344" width="11.42578125" style="396" customWidth="1"/>
    <col min="14345" max="14345" width="0" style="396" hidden="1" customWidth="1"/>
    <col min="14346" max="14346" width="12.7109375" style="396" customWidth="1"/>
    <col min="14347" max="14347" width="12.42578125" style="396" customWidth="1"/>
    <col min="14348" max="14348" width="13.5703125" style="396" customWidth="1"/>
    <col min="14349" max="14349" width="12.5703125" style="396" customWidth="1"/>
    <col min="14350" max="14350" width="10.140625" style="396" customWidth="1"/>
    <col min="14351" max="14351" width="13.5703125" style="396" customWidth="1"/>
    <col min="14352" max="14352" width="9.28515625" style="396" bestFit="1" customWidth="1"/>
    <col min="14353" max="14592" width="9" style="396"/>
    <col min="14593" max="14593" width="5" style="396" customWidth="1"/>
    <col min="14594" max="14594" width="7" style="396" customWidth="1"/>
    <col min="14595" max="14595" width="16.140625" style="396" customWidth="1"/>
    <col min="14596" max="14596" width="11.42578125" style="396" customWidth="1"/>
    <col min="14597" max="14597" width="0" style="396" hidden="1" customWidth="1"/>
    <col min="14598" max="14598" width="13.5703125" style="396" customWidth="1"/>
    <col min="14599" max="14599" width="6.7109375" style="396" customWidth="1"/>
    <col min="14600" max="14600" width="11.42578125" style="396" customWidth="1"/>
    <col min="14601" max="14601" width="0" style="396" hidden="1" customWidth="1"/>
    <col min="14602" max="14602" width="12.7109375" style="396" customWidth="1"/>
    <col min="14603" max="14603" width="12.42578125" style="396" customWidth="1"/>
    <col min="14604" max="14604" width="13.5703125" style="396" customWidth="1"/>
    <col min="14605" max="14605" width="12.5703125" style="396" customWidth="1"/>
    <col min="14606" max="14606" width="10.140625" style="396" customWidth="1"/>
    <col min="14607" max="14607" width="13.5703125" style="396" customWidth="1"/>
    <col min="14608" max="14608" width="9.28515625" style="396" bestFit="1" customWidth="1"/>
    <col min="14609" max="14848" width="9" style="396"/>
    <col min="14849" max="14849" width="5" style="396" customWidth="1"/>
    <col min="14850" max="14850" width="7" style="396" customWidth="1"/>
    <col min="14851" max="14851" width="16.140625" style="396" customWidth="1"/>
    <col min="14852" max="14852" width="11.42578125" style="396" customWidth="1"/>
    <col min="14853" max="14853" width="0" style="396" hidden="1" customWidth="1"/>
    <col min="14854" max="14854" width="13.5703125" style="396" customWidth="1"/>
    <col min="14855" max="14855" width="6.7109375" style="396" customWidth="1"/>
    <col min="14856" max="14856" width="11.42578125" style="396" customWidth="1"/>
    <col min="14857" max="14857" width="0" style="396" hidden="1" customWidth="1"/>
    <col min="14858" max="14858" width="12.7109375" style="396" customWidth="1"/>
    <col min="14859" max="14859" width="12.42578125" style="396" customWidth="1"/>
    <col min="14860" max="14860" width="13.5703125" style="396" customWidth="1"/>
    <col min="14861" max="14861" width="12.5703125" style="396" customWidth="1"/>
    <col min="14862" max="14862" width="10.140625" style="396" customWidth="1"/>
    <col min="14863" max="14863" width="13.5703125" style="396" customWidth="1"/>
    <col min="14864" max="14864" width="9.28515625" style="396" bestFit="1" customWidth="1"/>
    <col min="14865" max="15104" width="9" style="396"/>
    <col min="15105" max="15105" width="5" style="396" customWidth="1"/>
    <col min="15106" max="15106" width="7" style="396" customWidth="1"/>
    <col min="15107" max="15107" width="16.140625" style="396" customWidth="1"/>
    <col min="15108" max="15108" width="11.42578125" style="396" customWidth="1"/>
    <col min="15109" max="15109" width="0" style="396" hidden="1" customWidth="1"/>
    <col min="15110" max="15110" width="13.5703125" style="396" customWidth="1"/>
    <col min="15111" max="15111" width="6.7109375" style="396" customWidth="1"/>
    <col min="15112" max="15112" width="11.42578125" style="396" customWidth="1"/>
    <col min="15113" max="15113" width="0" style="396" hidden="1" customWidth="1"/>
    <col min="15114" max="15114" width="12.7109375" style="396" customWidth="1"/>
    <col min="15115" max="15115" width="12.42578125" style="396" customWidth="1"/>
    <col min="15116" max="15116" width="13.5703125" style="396" customWidth="1"/>
    <col min="15117" max="15117" width="12.5703125" style="396" customWidth="1"/>
    <col min="15118" max="15118" width="10.140625" style="396" customWidth="1"/>
    <col min="15119" max="15119" width="13.5703125" style="396" customWidth="1"/>
    <col min="15120" max="15120" width="9.28515625" style="396" bestFit="1" customWidth="1"/>
    <col min="15121" max="15360" width="9" style="396"/>
    <col min="15361" max="15361" width="5" style="396" customWidth="1"/>
    <col min="15362" max="15362" width="7" style="396" customWidth="1"/>
    <col min="15363" max="15363" width="16.140625" style="396" customWidth="1"/>
    <col min="15364" max="15364" width="11.42578125" style="396" customWidth="1"/>
    <col min="15365" max="15365" width="0" style="396" hidden="1" customWidth="1"/>
    <col min="15366" max="15366" width="13.5703125" style="396" customWidth="1"/>
    <col min="15367" max="15367" width="6.7109375" style="396" customWidth="1"/>
    <col min="15368" max="15368" width="11.42578125" style="396" customWidth="1"/>
    <col min="15369" max="15369" width="0" style="396" hidden="1" customWidth="1"/>
    <col min="15370" max="15370" width="12.7109375" style="396" customWidth="1"/>
    <col min="15371" max="15371" width="12.42578125" style="396" customWidth="1"/>
    <col min="15372" max="15372" width="13.5703125" style="396" customWidth="1"/>
    <col min="15373" max="15373" width="12.5703125" style="396" customWidth="1"/>
    <col min="15374" max="15374" width="10.140625" style="396" customWidth="1"/>
    <col min="15375" max="15375" width="13.5703125" style="396" customWidth="1"/>
    <col min="15376" max="15376" width="9.28515625" style="396" bestFit="1" customWidth="1"/>
    <col min="15377" max="15616" width="9" style="396"/>
    <col min="15617" max="15617" width="5" style="396" customWidth="1"/>
    <col min="15618" max="15618" width="7" style="396" customWidth="1"/>
    <col min="15619" max="15619" width="16.140625" style="396" customWidth="1"/>
    <col min="15620" max="15620" width="11.42578125" style="396" customWidth="1"/>
    <col min="15621" max="15621" width="0" style="396" hidden="1" customWidth="1"/>
    <col min="15622" max="15622" width="13.5703125" style="396" customWidth="1"/>
    <col min="15623" max="15623" width="6.7109375" style="396" customWidth="1"/>
    <col min="15624" max="15624" width="11.42578125" style="396" customWidth="1"/>
    <col min="15625" max="15625" width="0" style="396" hidden="1" customWidth="1"/>
    <col min="15626" max="15626" width="12.7109375" style="396" customWidth="1"/>
    <col min="15627" max="15627" width="12.42578125" style="396" customWidth="1"/>
    <col min="15628" max="15628" width="13.5703125" style="396" customWidth="1"/>
    <col min="15629" max="15629" width="12.5703125" style="396" customWidth="1"/>
    <col min="15630" max="15630" width="10.140625" style="396" customWidth="1"/>
    <col min="15631" max="15631" width="13.5703125" style="396" customWidth="1"/>
    <col min="15632" max="15632" width="9.28515625" style="396" bestFit="1" customWidth="1"/>
    <col min="15633" max="15872" width="9" style="396"/>
    <col min="15873" max="15873" width="5" style="396" customWidth="1"/>
    <col min="15874" max="15874" width="7" style="396" customWidth="1"/>
    <col min="15875" max="15875" width="16.140625" style="396" customWidth="1"/>
    <col min="15876" max="15876" width="11.42578125" style="396" customWidth="1"/>
    <col min="15877" max="15877" width="0" style="396" hidden="1" customWidth="1"/>
    <col min="15878" max="15878" width="13.5703125" style="396" customWidth="1"/>
    <col min="15879" max="15879" width="6.7109375" style="396" customWidth="1"/>
    <col min="15880" max="15880" width="11.42578125" style="396" customWidth="1"/>
    <col min="15881" max="15881" width="0" style="396" hidden="1" customWidth="1"/>
    <col min="15882" max="15882" width="12.7109375" style="396" customWidth="1"/>
    <col min="15883" max="15883" width="12.42578125" style="396" customWidth="1"/>
    <col min="15884" max="15884" width="13.5703125" style="396" customWidth="1"/>
    <col min="15885" max="15885" width="12.5703125" style="396" customWidth="1"/>
    <col min="15886" max="15886" width="10.140625" style="396" customWidth="1"/>
    <col min="15887" max="15887" width="13.5703125" style="396" customWidth="1"/>
    <col min="15888" max="15888" width="9.28515625" style="396" bestFit="1" customWidth="1"/>
    <col min="15889" max="16128" width="9" style="396"/>
    <col min="16129" max="16129" width="5" style="396" customWidth="1"/>
    <col min="16130" max="16130" width="7" style="396" customWidth="1"/>
    <col min="16131" max="16131" width="16.140625" style="396" customWidth="1"/>
    <col min="16132" max="16132" width="11.42578125" style="396" customWidth="1"/>
    <col min="16133" max="16133" width="0" style="396" hidden="1" customWidth="1"/>
    <col min="16134" max="16134" width="13.5703125" style="396" customWidth="1"/>
    <col min="16135" max="16135" width="6.7109375" style="396" customWidth="1"/>
    <col min="16136" max="16136" width="11.42578125" style="396" customWidth="1"/>
    <col min="16137" max="16137" width="0" style="396" hidden="1" customWidth="1"/>
    <col min="16138" max="16138" width="12.7109375" style="396" customWidth="1"/>
    <col min="16139" max="16139" width="12.42578125" style="396" customWidth="1"/>
    <col min="16140" max="16140" width="13.5703125" style="396" customWidth="1"/>
    <col min="16141" max="16141" width="12.5703125" style="396" customWidth="1"/>
    <col min="16142" max="16142" width="10.140625" style="396" customWidth="1"/>
    <col min="16143" max="16143" width="13.5703125" style="396" customWidth="1"/>
    <col min="16144" max="16144" width="9.28515625" style="396" bestFit="1" customWidth="1"/>
    <col min="16145" max="16384" width="9" style="396"/>
  </cols>
  <sheetData>
    <row r="1" spans="1:15">
      <c r="A1" s="391" t="str">
        <f>'[1]Bang DMTK'!A1</f>
        <v>Đơn vị: Công ty TNHH Thanh Minh</v>
      </c>
      <c r="B1" s="391"/>
      <c r="C1" s="391"/>
      <c r="D1" s="391"/>
      <c r="E1" s="391"/>
      <c r="F1" s="391"/>
      <c r="G1" s="392"/>
      <c r="H1" s="393"/>
      <c r="I1" s="393"/>
      <c r="J1" s="393"/>
      <c r="K1" s="393"/>
      <c r="L1" s="393"/>
      <c r="M1" s="393"/>
      <c r="N1" s="394"/>
    </row>
    <row r="2" spans="1:15">
      <c r="A2" s="391" t="str">
        <f>'[1]Bang DMTK'!A2</f>
        <v>Địa chỉ: 45/9- Phạm Văn Chiêu- F14- Gò Vấp- TP.HCM</v>
      </c>
      <c r="B2" s="397"/>
      <c r="C2" s="397"/>
      <c r="D2" s="397"/>
      <c r="E2" s="397"/>
      <c r="F2" s="397"/>
      <c r="G2" s="392"/>
      <c r="H2" s="393"/>
      <c r="I2" s="393"/>
      <c r="J2" s="393"/>
      <c r="K2" s="393"/>
      <c r="L2" s="398" t="s">
        <v>525</v>
      </c>
      <c r="M2" s="393"/>
      <c r="N2" s="394"/>
    </row>
    <row r="3" spans="1:15" hidden="1">
      <c r="A3" s="391" t="str">
        <f>'[1]Bang DMTK'!A3</f>
        <v>MST: 0305225720</v>
      </c>
      <c r="B3" s="399"/>
      <c r="C3" s="399"/>
      <c r="D3" s="399"/>
      <c r="E3" s="399"/>
      <c r="F3" s="399"/>
      <c r="G3" s="392"/>
      <c r="H3" s="393"/>
      <c r="I3" s="393"/>
      <c r="J3" s="393"/>
      <c r="K3" s="393"/>
      <c r="L3" s="398"/>
      <c r="M3" s="393"/>
      <c r="N3" s="394"/>
    </row>
    <row r="4" spans="1:15" ht="27">
      <c r="A4" s="400" t="s">
        <v>285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</row>
    <row r="5" spans="1:15" ht="20.25">
      <c r="A5" s="379" t="s">
        <v>526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79"/>
      <c r="M5" s="379"/>
      <c r="N5" s="379"/>
    </row>
    <row r="6" spans="1:15">
      <c r="A6" s="401"/>
      <c r="B6" s="401"/>
      <c r="C6" s="401"/>
      <c r="D6" s="401"/>
      <c r="E6" s="393"/>
      <c r="F6" s="393"/>
      <c r="G6" s="392"/>
      <c r="H6" s="393"/>
      <c r="I6" s="393"/>
      <c r="J6" s="393"/>
      <c r="K6" s="393"/>
      <c r="L6" s="393"/>
      <c r="M6" s="398" t="s">
        <v>2</v>
      </c>
      <c r="N6" s="402"/>
    </row>
    <row r="7" spans="1:15" s="410" customFormat="1" ht="51">
      <c r="A7" s="403" t="s">
        <v>0</v>
      </c>
      <c r="B7" s="404" t="s">
        <v>286</v>
      </c>
      <c r="C7" s="403" t="s">
        <v>287</v>
      </c>
      <c r="D7" s="404" t="s">
        <v>288</v>
      </c>
      <c r="E7" s="405" t="s">
        <v>4</v>
      </c>
      <c r="F7" s="406" t="s">
        <v>289</v>
      </c>
      <c r="G7" s="407" t="s">
        <v>290</v>
      </c>
      <c r="H7" s="405" t="s">
        <v>291</v>
      </c>
      <c r="I7" s="405" t="s">
        <v>292</v>
      </c>
      <c r="J7" s="405" t="s">
        <v>293</v>
      </c>
      <c r="K7" s="405" t="s">
        <v>294</v>
      </c>
      <c r="L7" s="405" t="s">
        <v>295</v>
      </c>
      <c r="M7" s="405" t="s">
        <v>296</v>
      </c>
      <c r="N7" s="408" t="s">
        <v>527</v>
      </c>
      <c r="O7" s="409"/>
    </row>
    <row r="8" spans="1:15" s="410" customFormat="1" ht="12.75">
      <c r="A8" s="411" t="s">
        <v>5</v>
      </c>
      <c r="B8" s="411" t="s">
        <v>6</v>
      </c>
      <c r="C8" s="411" t="s">
        <v>7</v>
      </c>
      <c r="D8" s="411" t="s">
        <v>8</v>
      </c>
      <c r="E8" s="412">
        <v>2</v>
      </c>
      <c r="F8" s="413" t="s">
        <v>528</v>
      </c>
      <c r="G8" s="413" t="s">
        <v>529</v>
      </c>
      <c r="H8" s="414" t="s">
        <v>530</v>
      </c>
      <c r="I8" s="414">
        <v>6</v>
      </c>
      <c r="J8" s="414" t="s">
        <v>531</v>
      </c>
      <c r="K8" s="414" t="s">
        <v>532</v>
      </c>
      <c r="L8" s="414" t="s">
        <v>533</v>
      </c>
      <c r="M8" s="414" t="s">
        <v>534</v>
      </c>
      <c r="N8" s="415">
        <v>11</v>
      </c>
      <c r="O8" s="409"/>
    </row>
    <row r="9" spans="1:15" s="423" customFormat="1" ht="12.75">
      <c r="A9" s="416" t="s">
        <v>13</v>
      </c>
      <c r="B9" s="417" t="s">
        <v>535</v>
      </c>
      <c r="C9" s="418"/>
      <c r="D9" s="419"/>
      <c r="E9" s="420">
        <f t="shared" ref="E9:N9" si="0">SUBTOTAL(9,E10:E15)</f>
        <v>50800000</v>
      </c>
      <c r="F9" s="420">
        <f t="shared" si="0"/>
        <v>210000000</v>
      </c>
      <c r="G9" s="421">
        <f t="shared" si="0"/>
        <v>140</v>
      </c>
      <c r="H9" s="420">
        <f t="shared" si="0"/>
        <v>9083333.3333333321</v>
      </c>
      <c r="I9" s="420">
        <f t="shared" si="0"/>
        <v>65</v>
      </c>
      <c r="J9" s="420">
        <f t="shared" si="0"/>
        <v>94500000</v>
      </c>
      <c r="K9" s="420">
        <f t="shared" si="0"/>
        <v>9083333.3333333321</v>
      </c>
      <c r="L9" s="420">
        <f t="shared" si="0"/>
        <v>103583333.33333333</v>
      </c>
      <c r="M9" s="420">
        <f t="shared" si="0"/>
        <v>106416666.66666667</v>
      </c>
      <c r="N9" s="421">
        <f t="shared" si="0"/>
        <v>43</v>
      </c>
      <c r="O9" s="422"/>
    </row>
    <row r="10" spans="1:15" s="410" customFormat="1" ht="12.75">
      <c r="A10" s="424" t="s">
        <v>298</v>
      </c>
      <c r="B10" s="425" t="s">
        <v>299</v>
      </c>
      <c r="C10" s="426" t="s">
        <v>536</v>
      </c>
      <c r="D10" s="427" t="s">
        <v>537</v>
      </c>
      <c r="E10" s="428">
        <f>48000000/4</f>
        <v>12000000</v>
      </c>
      <c r="F10" s="429">
        <f>E10*N10</f>
        <v>36000000</v>
      </c>
      <c r="G10" s="430">
        <v>24</v>
      </c>
      <c r="H10" s="429">
        <f t="shared" ref="H10:H15" si="1">F10/G10</f>
        <v>1500000</v>
      </c>
      <c r="I10" s="429">
        <v>11</v>
      </c>
      <c r="J10" s="429">
        <f t="shared" ref="J10:J15" si="2">H10*I10</f>
        <v>16500000</v>
      </c>
      <c r="K10" s="429">
        <f t="shared" ref="K10:K15" si="3">H10</f>
        <v>1500000</v>
      </c>
      <c r="L10" s="429">
        <f t="shared" ref="L10:L15" si="4">J10+K10</f>
        <v>18000000</v>
      </c>
      <c r="M10" s="429">
        <f t="shared" ref="M10:M15" si="5">F10-L10</f>
        <v>18000000</v>
      </c>
      <c r="N10" s="431">
        <v>3</v>
      </c>
      <c r="O10" s="409"/>
    </row>
    <row r="11" spans="1:15" s="410" customFormat="1" ht="12.75">
      <c r="A11" s="424" t="s">
        <v>300</v>
      </c>
      <c r="B11" s="425" t="s">
        <v>301</v>
      </c>
      <c r="C11" s="426" t="s">
        <v>538</v>
      </c>
      <c r="D11" s="427" t="s">
        <v>539</v>
      </c>
      <c r="E11" s="428">
        <f>6000000/12</f>
        <v>500000</v>
      </c>
      <c r="F11" s="429">
        <f t="shared" ref="F11:F29" si="6">E11*N11</f>
        <v>2000000</v>
      </c>
      <c r="G11" s="430">
        <v>24</v>
      </c>
      <c r="H11" s="429">
        <f t="shared" si="1"/>
        <v>83333.333333333328</v>
      </c>
      <c r="I11" s="429">
        <v>12</v>
      </c>
      <c r="J11" s="429">
        <f t="shared" si="2"/>
        <v>1000000</v>
      </c>
      <c r="K11" s="429">
        <f t="shared" si="3"/>
        <v>83333.333333333328</v>
      </c>
      <c r="L11" s="429">
        <f t="shared" si="4"/>
        <v>1083333.3333333333</v>
      </c>
      <c r="M11" s="429">
        <f t="shared" si="5"/>
        <v>916666.66666666674</v>
      </c>
      <c r="N11" s="431">
        <v>4</v>
      </c>
      <c r="O11" s="409"/>
    </row>
    <row r="12" spans="1:15" s="410" customFormat="1" ht="12.75">
      <c r="A12" s="424" t="s">
        <v>302</v>
      </c>
      <c r="B12" s="425" t="s">
        <v>308</v>
      </c>
      <c r="C12" s="426" t="s">
        <v>309</v>
      </c>
      <c r="D12" s="427" t="s">
        <v>540</v>
      </c>
      <c r="E12" s="428">
        <f>195000000/13</f>
        <v>15000000</v>
      </c>
      <c r="F12" s="429">
        <f t="shared" si="6"/>
        <v>105000000</v>
      </c>
      <c r="G12" s="430">
        <v>24</v>
      </c>
      <c r="H12" s="429">
        <f t="shared" si="1"/>
        <v>4375000</v>
      </c>
      <c r="I12" s="429">
        <v>14</v>
      </c>
      <c r="J12" s="429">
        <f t="shared" si="2"/>
        <v>61250000</v>
      </c>
      <c r="K12" s="429">
        <f t="shared" si="3"/>
        <v>4375000</v>
      </c>
      <c r="L12" s="429">
        <f t="shared" si="4"/>
        <v>65625000</v>
      </c>
      <c r="M12" s="429">
        <f t="shared" si="5"/>
        <v>39375000</v>
      </c>
      <c r="N12" s="431">
        <v>7</v>
      </c>
      <c r="O12" s="409"/>
    </row>
    <row r="13" spans="1:15" s="410" customFormat="1" ht="12.75">
      <c r="A13" s="424" t="s">
        <v>305</v>
      </c>
      <c r="B13" s="425" t="s">
        <v>303</v>
      </c>
      <c r="C13" s="426" t="s">
        <v>304</v>
      </c>
      <c r="D13" s="427" t="s">
        <v>540</v>
      </c>
      <c r="E13" s="428">
        <f>51000000/17</f>
        <v>3000000</v>
      </c>
      <c r="F13" s="429">
        <f t="shared" si="6"/>
        <v>21000000</v>
      </c>
      <c r="G13" s="430">
        <v>24</v>
      </c>
      <c r="H13" s="429">
        <f t="shared" si="1"/>
        <v>875000</v>
      </c>
      <c r="I13" s="429">
        <v>14</v>
      </c>
      <c r="J13" s="429">
        <f t="shared" si="2"/>
        <v>12250000</v>
      </c>
      <c r="K13" s="429">
        <f t="shared" si="3"/>
        <v>875000</v>
      </c>
      <c r="L13" s="429">
        <f t="shared" si="4"/>
        <v>13125000</v>
      </c>
      <c r="M13" s="429">
        <f t="shared" si="5"/>
        <v>7875000</v>
      </c>
      <c r="N13" s="431">
        <v>7</v>
      </c>
      <c r="O13" s="409"/>
    </row>
    <row r="14" spans="1:15" s="410" customFormat="1" ht="12.75">
      <c r="A14" s="424" t="s">
        <v>307</v>
      </c>
      <c r="B14" s="425" t="s">
        <v>306</v>
      </c>
      <c r="C14" s="426" t="s">
        <v>541</v>
      </c>
      <c r="D14" s="427" t="s">
        <v>540</v>
      </c>
      <c r="E14" s="428">
        <f>18000000/60</f>
        <v>300000</v>
      </c>
      <c r="F14" s="429">
        <f t="shared" si="6"/>
        <v>6000000</v>
      </c>
      <c r="G14" s="430">
        <v>24</v>
      </c>
      <c r="H14" s="429">
        <f t="shared" si="1"/>
        <v>250000</v>
      </c>
      <c r="I14" s="429">
        <v>14</v>
      </c>
      <c r="J14" s="429">
        <f t="shared" si="2"/>
        <v>3500000</v>
      </c>
      <c r="K14" s="429">
        <f t="shared" si="3"/>
        <v>250000</v>
      </c>
      <c r="L14" s="429">
        <f t="shared" si="4"/>
        <v>3750000</v>
      </c>
      <c r="M14" s="429">
        <f t="shared" si="5"/>
        <v>2250000</v>
      </c>
      <c r="N14" s="431">
        <v>20</v>
      </c>
      <c r="O14" s="409"/>
    </row>
    <row r="15" spans="1:15" s="423" customFormat="1" ht="12.75">
      <c r="A15" s="432" t="s">
        <v>310</v>
      </c>
      <c r="B15" s="433" t="s">
        <v>311</v>
      </c>
      <c r="C15" s="434" t="s">
        <v>312</v>
      </c>
      <c r="D15" s="435" t="s">
        <v>542</v>
      </c>
      <c r="E15" s="436">
        <v>20000000</v>
      </c>
      <c r="F15" s="437">
        <f t="shared" si="6"/>
        <v>40000000</v>
      </c>
      <c r="G15" s="438">
        <v>20</v>
      </c>
      <c r="H15" s="437">
        <f t="shared" si="1"/>
        <v>2000000</v>
      </c>
      <c r="I15" s="437">
        <v>0</v>
      </c>
      <c r="J15" s="437">
        <f t="shared" si="2"/>
        <v>0</v>
      </c>
      <c r="K15" s="437">
        <f t="shared" si="3"/>
        <v>2000000</v>
      </c>
      <c r="L15" s="437">
        <f t="shared" si="4"/>
        <v>2000000</v>
      </c>
      <c r="M15" s="437">
        <f t="shared" si="5"/>
        <v>38000000</v>
      </c>
      <c r="N15" s="439">
        <v>2</v>
      </c>
      <c r="O15" s="422"/>
    </row>
    <row r="16" spans="1:15" s="423" customFormat="1" ht="12.75">
      <c r="A16" s="440" t="s">
        <v>177</v>
      </c>
      <c r="B16" s="417" t="s">
        <v>543</v>
      </c>
      <c r="C16" s="418"/>
      <c r="D16" s="419"/>
      <c r="E16" s="420">
        <f t="shared" ref="E16:N16" si="7">SUBTOTAL(9,E17:E21)</f>
        <v>30800000</v>
      </c>
      <c r="F16" s="420">
        <f>SUBTOTAL(9,F17:F21)</f>
        <v>109600000</v>
      </c>
      <c r="G16" s="421">
        <f t="shared" si="7"/>
        <v>120</v>
      </c>
      <c r="H16" s="420">
        <f t="shared" si="7"/>
        <v>4566666.666666666</v>
      </c>
      <c r="I16" s="420">
        <f t="shared" si="7"/>
        <v>65</v>
      </c>
      <c r="J16" s="420">
        <f t="shared" si="7"/>
        <v>62350000</v>
      </c>
      <c r="K16" s="420">
        <f t="shared" si="7"/>
        <v>4566666.666666666</v>
      </c>
      <c r="L16" s="420">
        <f t="shared" si="7"/>
        <v>66916666.666666664</v>
      </c>
      <c r="M16" s="420">
        <f t="shared" si="7"/>
        <v>42683333.333333336</v>
      </c>
      <c r="N16" s="421">
        <f t="shared" si="7"/>
        <v>26</v>
      </c>
      <c r="O16" s="422"/>
    </row>
    <row r="17" spans="1:15" s="423" customFormat="1" ht="12.75">
      <c r="A17" s="432" t="s">
        <v>298</v>
      </c>
      <c r="B17" s="441" t="s">
        <v>299</v>
      </c>
      <c r="C17" s="434" t="s">
        <v>536</v>
      </c>
      <c r="D17" s="435" t="s">
        <v>537</v>
      </c>
      <c r="E17" s="436">
        <f>48000000/4</f>
        <v>12000000</v>
      </c>
      <c r="F17" s="437">
        <f t="shared" si="6"/>
        <v>12000000</v>
      </c>
      <c r="G17" s="438">
        <v>24</v>
      </c>
      <c r="H17" s="437">
        <f>F17/G17</f>
        <v>500000</v>
      </c>
      <c r="I17" s="437">
        <v>11</v>
      </c>
      <c r="J17" s="437">
        <f>H17*I17</f>
        <v>5500000</v>
      </c>
      <c r="K17" s="437">
        <f>H17</f>
        <v>500000</v>
      </c>
      <c r="L17" s="437">
        <f>J17+K17</f>
        <v>6000000</v>
      </c>
      <c r="M17" s="437">
        <f>F17-L17</f>
        <v>6000000</v>
      </c>
      <c r="N17" s="439">
        <v>1</v>
      </c>
      <c r="O17" s="422"/>
    </row>
    <row r="18" spans="1:15" s="423" customFormat="1" ht="12.75">
      <c r="A18" s="432" t="s">
        <v>300</v>
      </c>
      <c r="B18" s="441" t="s">
        <v>301</v>
      </c>
      <c r="C18" s="434" t="s">
        <v>538</v>
      </c>
      <c r="D18" s="435" t="s">
        <v>539</v>
      </c>
      <c r="E18" s="436">
        <f>6000000/12</f>
        <v>500000</v>
      </c>
      <c r="F18" s="437">
        <f t="shared" si="6"/>
        <v>1000000</v>
      </c>
      <c r="G18" s="438">
        <v>24</v>
      </c>
      <c r="H18" s="437">
        <f>F18/G18</f>
        <v>41666.666666666664</v>
      </c>
      <c r="I18" s="437">
        <v>12</v>
      </c>
      <c r="J18" s="437">
        <f>H18*I18</f>
        <v>500000</v>
      </c>
      <c r="K18" s="437">
        <f>H18</f>
        <v>41666.666666666664</v>
      </c>
      <c r="L18" s="437">
        <f>J18+K18</f>
        <v>541666.66666666663</v>
      </c>
      <c r="M18" s="437">
        <f>F18-L18</f>
        <v>458333.33333333337</v>
      </c>
      <c r="N18" s="439">
        <v>2</v>
      </c>
      <c r="O18" s="422"/>
    </row>
    <row r="19" spans="1:15" s="423" customFormat="1" ht="12.75">
      <c r="A19" s="432" t="s">
        <v>302</v>
      </c>
      <c r="B19" s="441" t="s">
        <v>308</v>
      </c>
      <c r="C19" s="434" t="s">
        <v>309</v>
      </c>
      <c r="D19" s="435" t="s">
        <v>540</v>
      </c>
      <c r="E19" s="436">
        <f>195000000/13</f>
        <v>15000000</v>
      </c>
      <c r="F19" s="437">
        <f t="shared" si="6"/>
        <v>75000000</v>
      </c>
      <c r="G19" s="438">
        <v>24</v>
      </c>
      <c r="H19" s="437">
        <f>F19/G19</f>
        <v>3125000</v>
      </c>
      <c r="I19" s="437">
        <v>14</v>
      </c>
      <c r="J19" s="437">
        <f>H19*I19</f>
        <v>43750000</v>
      </c>
      <c r="K19" s="437">
        <f>H19</f>
        <v>3125000</v>
      </c>
      <c r="L19" s="437">
        <f>J19+K19</f>
        <v>46875000</v>
      </c>
      <c r="M19" s="437">
        <f>F19-L19</f>
        <v>28125000</v>
      </c>
      <c r="N19" s="439">
        <v>5</v>
      </c>
      <c r="O19" s="422"/>
    </row>
    <row r="20" spans="1:15" s="423" customFormat="1" ht="12.75">
      <c r="A20" s="432" t="s">
        <v>305</v>
      </c>
      <c r="B20" s="441" t="s">
        <v>303</v>
      </c>
      <c r="C20" s="434" t="s">
        <v>304</v>
      </c>
      <c r="D20" s="435" t="s">
        <v>540</v>
      </c>
      <c r="E20" s="436">
        <f>51000000/17</f>
        <v>3000000</v>
      </c>
      <c r="F20" s="437">
        <f t="shared" si="6"/>
        <v>18000000</v>
      </c>
      <c r="G20" s="438">
        <v>24</v>
      </c>
      <c r="H20" s="437">
        <f>F20/G20</f>
        <v>750000</v>
      </c>
      <c r="I20" s="437">
        <v>14</v>
      </c>
      <c r="J20" s="437">
        <f>H20*I20</f>
        <v>10500000</v>
      </c>
      <c r="K20" s="437">
        <f>H20</f>
        <v>750000</v>
      </c>
      <c r="L20" s="437">
        <f>J20+K20</f>
        <v>11250000</v>
      </c>
      <c r="M20" s="437">
        <f>F20-L20</f>
        <v>6750000</v>
      </c>
      <c r="N20" s="439">
        <v>6</v>
      </c>
      <c r="O20" s="422"/>
    </row>
    <row r="21" spans="1:15" s="410" customFormat="1" ht="12.75">
      <c r="A21" s="424" t="s">
        <v>307</v>
      </c>
      <c r="B21" s="425" t="s">
        <v>306</v>
      </c>
      <c r="C21" s="426" t="s">
        <v>541</v>
      </c>
      <c r="D21" s="427" t="s">
        <v>540</v>
      </c>
      <c r="E21" s="428">
        <f>18000000/60</f>
        <v>300000</v>
      </c>
      <c r="F21" s="429">
        <f t="shared" si="6"/>
        <v>3600000</v>
      </c>
      <c r="G21" s="430">
        <v>24</v>
      </c>
      <c r="H21" s="429">
        <f>F21/G21</f>
        <v>150000</v>
      </c>
      <c r="I21" s="429">
        <v>14</v>
      </c>
      <c r="J21" s="429">
        <f>H21*I21</f>
        <v>2100000</v>
      </c>
      <c r="K21" s="429">
        <f>H21</f>
        <v>150000</v>
      </c>
      <c r="L21" s="429">
        <f>J21+K21</f>
        <v>2250000</v>
      </c>
      <c r="M21" s="429">
        <f>F21-L21</f>
        <v>1350000</v>
      </c>
      <c r="N21" s="431">
        <v>12</v>
      </c>
      <c r="O21" s="409"/>
    </row>
    <row r="22" spans="1:15" s="443" customFormat="1" ht="12.75">
      <c r="A22" s="440" t="s">
        <v>187</v>
      </c>
      <c r="B22" s="417" t="s">
        <v>544</v>
      </c>
      <c r="C22" s="418"/>
      <c r="D22" s="419"/>
      <c r="E22" s="420">
        <f t="shared" ref="E22:N22" si="8">SUBTOTAL(9,E23:E29)</f>
        <v>54800000</v>
      </c>
      <c r="F22" s="420">
        <f t="shared" si="8"/>
        <v>192400000</v>
      </c>
      <c r="G22" s="421">
        <f t="shared" si="8"/>
        <v>168</v>
      </c>
      <c r="H22" s="420">
        <f t="shared" si="8"/>
        <v>8016666.666666667</v>
      </c>
      <c r="I22" s="420">
        <f t="shared" si="8"/>
        <v>84</v>
      </c>
      <c r="J22" s="420">
        <f t="shared" si="8"/>
        <v>86316666.666666672</v>
      </c>
      <c r="K22" s="420">
        <f t="shared" si="8"/>
        <v>8016666.666666667</v>
      </c>
      <c r="L22" s="420">
        <f t="shared" si="8"/>
        <v>94333333.333333343</v>
      </c>
      <c r="M22" s="420">
        <f t="shared" si="8"/>
        <v>98066666.666666657</v>
      </c>
      <c r="N22" s="421">
        <f t="shared" si="8"/>
        <v>52</v>
      </c>
      <c r="O22" s="442"/>
    </row>
    <row r="23" spans="1:15" s="410" customFormat="1" ht="12.75">
      <c r="A23" s="424" t="s">
        <v>298</v>
      </c>
      <c r="B23" s="444" t="s">
        <v>313</v>
      </c>
      <c r="C23" s="426" t="s">
        <v>314</v>
      </c>
      <c r="D23" s="427" t="s">
        <v>545</v>
      </c>
      <c r="E23" s="428">
        <f>40000000/N23</f>
        <v>8000000</v>
      </c>
      <c r="F23" s="429">
        <f t="shared" si="6"/>
        <v>40000000</v>
      </c>
      <c r="G23" s="430">
        <v>24</v>
      </c>
      <c r="H23" s="429">
        <f>F23/G23</f>
        <v>1666666.6666666667</v>
      </c>
      <c r="I23" s="429">
        <v>10</v>
      </c>
      <c r="J23" s="429">
        <f>H23*I23</f>
        <v>16666666.666666668</v>
      </c>
      <c r="K23" s="429">
        <f>H23</f>
        <v>1666666.6666666667</v>
      </c>
      <c r="L23" s="429">
        <f>J23+K23</f>
        <v>18333333.333333336</v>
      </c>
      <c r="M23" s="429">
        <f>F23-L23</f>
        <v>21666666.666666664</v>
      </c>
      <c r="N23" s="431">
        <v>5</v>
      </c>
      <c r="O23" s="409"/>
    </row>
    <row r="24" spans="1:15" s="410" customFormat="1" ht="12.75">
      <c r="A24" s="424" t="s">
        <v>300</v>
      </c>
      <c r="B24" s="445" t="s">
        <v>315</v>
      </c>
      <c r="C24" s="426" t="s">
        <v>316</v>
      </c>
      <c r="D24" s="427" t="s">
        <v>545</v>
      </c>
      <c r="E24" s="428">
        <f>75000000/N24</f>
        <v>15000000</v>
      </c>
      <c r="F24" s="429">
        <f t="shared" si="6"/>
        <v>75000000</v>
      </c>
      <c r="G24" s="430">
        <v>24</v>
      </c>
      <c r="H24" s="429">
        <f t="shared" ref="H24:H29" si="9">F24/G24</f>
        <v>3125000</v>
      </c>
      <c r="I24" s="429">
        <v>10</v>
      </c>
      <c r="J24" s="429">
        <f t="shared" ref="J24:J29" si="10">H24*I24</f>
        <v>31250000</v>
      </c>
      <c r="K24" s="429">
        <f t="shared" ref="K24:K29" si="11">H24</f>
        <v>3125000</v>
      </c>
      <c r="L24" s="429">
        <f t="shared" ref="L24:L29" si="12">J24+K24</f>
        <v>34375000</v>
      </c>
      <c r="M24" s="429">
        <f t="shared" ref="M24:M29" si="13">F24-L24</f>
        <v>40625000</v>
      </c>
      <c r="N24" s="431">
        <v>5</v>
      </c>
      <c r="O24" s="409"/>
    </row>
    <row r="25" spans="1:15" s="410" customFormat="1" ht="12.75">
      <c r="A25" s="446" t="s">
        <v>302</v>
      </c>
      <c r="B25" s="447" t="s">
        <v>317</v>
      </c>
      <c r="C25" s="448" t="s">
        <v>318</v>
      </c>
      <c r="D25" s="449" t="s">
        <v>545</v>
      </c>
      <c r="E25" s="428">
        <f>39000000/N25</f>
        <v>13000000</v>
      </c>
      <c r="F25" s="429">
        <f t="shared" si="6"/>
        <v>39000000</v>
      </c>
      <c r="G25" s="430">
        <v>24</v>
      </c>
      <c r="H25" s="450">
        <f t="shared" si="9"/>
        <v>1625000</v>
      </c>
      <c r="I25" s="450">
        <v>10</v>
      </c>
      <c r="J25" s="450">
        <f t="shared" si="10"/>
        <v>16250000</v>
      </c>
      <c r="K25" s="450">
        <f t="shared" si="11"/>
        <v>1625000</v>
      </c>
      <c r="L25" s="450">
        <f t="shared" si="12"/>
        <v>17875000</v>
      </c>
      <c r="M25" s="450">
        <f t="shared" si="13"/>
        <v>21125000</v>
      </c>
      <c r="N25" s="431">
        <v>3</v>
      </c>
      <c r="O25" s="409"/>
    </row>
    <row r="26" spans="1:15" s="410" customFormat="1" ht="12.75">
      <c r="A26" s="424" t="s">
        <v>305</v>
      </c>
      <c r="B26" s="451" t="s">
        <v>301</v>
      </c>
      <c r="C26" s="426" t="s">
        <v>538</v>
      </c>
      <c r="D26" s="427" t="s">
        <v>539</v>
      </c>
      <c r="E26" s="428">
        <f>6000000/12</f>
        <v>500000</v>
      </c>
      <c r="F26" s="429">
        <f t="shared" si="6"/>
        <v>3000000</v>
      </c>
      <c r="G26" s="430">
        <v>24</v>
      </c>
      <c r="H26" s="429">
        <f t="shared" si="9"/>
        <v>125000</v>
      </c>
      <c r="I26" s="429">
        <v>12</v>
      </c>
      <c r="J26" s="429">
        <f t="shared" si="10"/>
        <v>1500000</v>
      </c>
      <c r="K26" s="429">
        <f t="shared" si="11"/>
        <v>125000</v>
      </c>
      <c r="L26" s="429">
        <f t="shared" si="12"/>
        <v>1625000</v>
      </c>
      <c r="M26" s="429">
        <f t="shared" si="13"/>
        <v>1375000</v>
      </c>
      <c r="N26" s="431">
        <v>6</v>
      </c>
      <c r="O26" s="409"/>
    </row>
    <row r="27" spans="1:15" s="410" customFormat="1" ht="12.75">
      <c r="A27" s="424" t="s">
        <v>307</v>
      </c>
      <c r="B27" s="451" t="s">
        <v>308</v>
      </c>
      <c r="C27" s="426" t="s">
        <v>309</v>
      </c>
      <c r="D27" s="427" t="s">
        <v>540</v>
      </c>
      <c r="E27" s="428">
        <f>195000000/13</f>
        <v>15000000</v>
      </c>
      <c r="F27" s="429">
        <f t="shared" si="6"/>
        <v>15000000</v>
      </c>
      <c r="G27" s="430">
        <v>24</v>
      </c>
      <c r="H27" s="429">
        <f t="shared" si="9"/>
        <v>625000</v>
      </c>
      <c r="I27" s="429">
        <v>14</v>
      </c>
      <c r="J27" s="429">
        <f t="shared" si="10"/>
        <v>8750000</v>
      </c>
      <c r="K27" s="429">
        <f t="shared" si="11"/>
        <v>625000</v>
      </c>
      <c r="L27" s="429">
        <f t="shared" si="12"/>
        <v>9375000</v>
      </c>
      <c r="M27" s="429">
        <f t="shared" si="13"/>
        <v>5625000</v>
      </c>
      <c r="N27" s="431">
        <v>1</v>
      </c>
      <c r="O27" s="409"/>
    </row>
    <row r="28" spans="1:15" s="410" customFormat="1" ht="12.75">
      <c r="A28" s="424" t="s">
        <v>310</v>
      </c>
      <c r="B28" s="451" t="s">
        <v>303</v>
      </c>
      <c r="C28" s="426" t="s">
        <v>304</v>
      </c>
      <c r="D28" s="427" t="s">
        <v>540</v>
      </c>
      <c r="E28" s="428">
        <f>51000000/17</f>
        <v>3000000</v>
      </c>
      <c r="F28" s="429">
        <f t="shared" si="6"/>
        <v>12000000</v>
      </c>
      <c r="G28" s="430">
        <v>24</v>
      </c>
      <c r="H28" s="429">
        <f t="shared" si="9"/>
        <v>500000</v>
      </c>
      <c r="I28" s="429">
        <v>14</v>
      </c>
      <c r="J28" s="429">
        <f t="shared" si="10"/>
        <v>7000000</v>
      </c>
      <c r="K28" s="429">
        <f t="shared" si="11"/>
        <v>500000</v>
      </c>
      <c r="L28" s="429">
        <f t="shared" si="12"/>
        <v>7500000</v>
      </c>
      <c r="M28" s="429">
        <f t="shared" si="13"/>
        <v>4500000</v>
      </c>
      <c r="N28" s="431">
        <v>4</v>
      </c>
      <c r="O28" s="409"/>
    </row>
    <row r="29" spans="1:15" s="410" customFormat="1" ht="12.75">
      <c r="A29" s="424" t="s">
        <v>319</v>
      </c>
      <c r="B29" s="451" t="s">
        <v>306</v>
      </c>
      <c r="C29" s="426" t="s">
        <v>541</v>
      </c>
      <c r="D29" s="427" t="s">
        <v>540</v>
      </c>
      <c r="E29" s="428">
        <f>18000000/60</f>
        <v>300000</v>
      </c>
      <c r="F29" s="429">
        <f t="shared" si="6"/>
        <v>8400000</v>
      </c>
      <c r="G29" s="430">
        <v>24</v>
      </c>
      <c r="H29" s="429">
        <f t="shared" si="9"/>
        <v>350000</v>
      </c>
      <c r="I29" s="429">
        <v>14</v>
      </c>
      <c r="J29" s="429">
        <f t="shared" si="10"/>
        <v>4900000</v>
      </c>
      <c r="K29" s="429">
        <f t="shared" si="11"/>
        <v>350000</v>
      </c>
      <c r="L29" s="429">
        <f t="shared" si="12"/>
        <v>5250000</v>
      </c>
      <c r="M29" s="429">
        <f t="shared" si="13"/>
        <v>3150000</v>
      </c>
      <c r="N29" s="431">
        <v>28</v>
      </c>
      <c r="O29" s="409"/>
    </row>
    <row r="30" spans="1:15" s="456" customFormat="1" ht="12.75">
      <c r="A30" s="452" t="s">
        <v>320</v>
      </c>
      <c r="B30" s="452"/>
      <c r="C30" s="452"/>
      <c r="D30" s="452"/>
      <c r="E30" s="453">
        <f t="shared" ref="E30:N30" si="14">SUBTOTAL(9,E9:E29)</f>
        <v>136400000</v>
      </c>
      <c r="F30" s="453">
        <f t="shared" si="14"/>
        <v>512000000</v>
      </c>
      <c r="G30" s="454">
        <f t="shared" si="14"/>
        <v>428</v>
      </c>
      <c r="H30" s="453">
        <f t="shared" si="14"/>
        <v>21666666.666666664</v>
      </c>
      <c r="I30" s="453">
        <f t="shared" si="14"/>
        <v>214</v>
      </c>
      <c r="J30" s="453">
        <f t="shared" si="14"/>
        <v>243166666.66666666</v>
      </c>
      <c r="K30" s="453">
        <f t="shared" si="14"/>
        <v>21666666.666666664</v>
      </c>
      <c r="L30" s="453">
        <f t="shared" si="14"/>
        <v>264833333.33333334</v>
      </c>
      <c r="M30" s="453">
        <f t="shared" si="14"/>
        <v>247166666.66666666</v>
      </c>
      <c r="N30" s="454">
        <f t="shared" si="14"/>
        <v>121</v>
      </c>
      <c r="O30" s="455"/>
    </row>
    <row r="31" spans="1:15" ht="15.75">
      <c r="A31" s="457"/>
      <c r="B31" s="458"/>
      <c r="C31" s="459"/>
      <c r="D31" s="459"/>
      <c r="E31" s="460"/>
      <c r="F31" s="461"/>
      <c r="G31" s="462"/>
      <c r="H31" s="463"/>
      <c r="I31" s="463"/>
      <c r="J31" s="461"/>
      <c r="K31" s="464"/>
      <c r="L31" s="306" t="s">
        <v>546</v>
      </c>
      <c r="M31" s="306"/>
      <c r="N31" s="465"/>
    </row>
    <row r="32" spans="1:15" ht="15.75">
      <c r="A32" s="466" t="s">
        <v>16</v>
      </c>
      <c r="B32" s="466"/>
      <c r="C32" s="466"/>
      <c r="D32" s="467"/>
      <c r="E32" s="468"/>
      <c r="F32" s="469"/>
      <c r="G32" s="392"/>
      <c r="H32" s="393"/>
      <c r="I32" s="393"/>
      <c r="J32" s="469"/>
      <c r="K32" s="393"/>
      <c r="L32" s="469" t="s">
        <v>17</v>
      </c>
      <c r="M32" s="469"/>
      <c r="N32" s="470"/>
    </row>
    <row r="33" spans="1:14" ht="15.75">
      <c r="A33" s="471" t="s">
        <v>19</v>
      </c>
      <c r="B33" s="471"/>
      <c r="C33" s="471"/>
      <c r="D33" s="459"/>
      <c r="E33" s="460"/>
      <c r="F33" s="472"/>
      <c r="G33" s="392"/>
      <c r="H33" s="393"/>
      <c r="I33" s="393"/>
      <c r="J33" s="306"/>
      <c r="K33" s="393"/>
      <c r="L33" s="461" t="s">
        <v>19</v>
      </c>
      <c r="M33" s="306"/>
      <c r="N33" s="465"/>
    </row>
    <row r="34" spans="1:14" ht="15.75">
      <c r="A34" s="473"/>
      <c r="B34" s="473"/>
      <c r="C34" s="473"/>
      <c r="D34" s="473"/>
      <c r="E34" s="474"/>
      <c r="F34" s="475"/>
      <c r="G34" s="476"/>
      <c r="H34" s="475"/>
      <c r="I34" s="475"/>
      <c r="J34" s="475"/>
      <c r="K34" s="475"/>
      <c r="L34" s="475"/>
      <c r="M34" s="475"/>
      <c r="N34" s="477"/>
    </row>
    <row r="35" spans="1:14" ht="15.75">
      <c r="A35" s="473"/>
      <c r="B35" s="473"/>
      <c r="C35" s="473"/>
      <c r="D35" s="473"/>
      <c r="E35" s="474"/>
      <c r="F35" s="475"/>
      <c r="G35" s="476"/>
      <c r="H35" s="475"/>
      <c r="I35" s="475"/>
      <c r="J35" s="475"/>
      <c r="K35" s="475"/>
      <c r="L35" s="475"/>
      <c r="M35" s="475"/>
      <c r="N35" s="477"/>
    </row>
    <row r="37" spans="1:14" ht="15.75">
      <c r="A37" s="480" t="s">
        <v>547</v>
      </c>
      <c r="B37" s="480"/>
      <c r="C37" s="480"/>
      <c r="K37" s="480" t="s">
        <v>548</v>
      </c>
      <c r="L37" s="480"/>
      <c r="M37" s="480"/>
    </row>
  </sheetData>
  <mergeCells count="10">
    <mergeCell ref="A32:C32"/>
    <mergeCell ref="A33:C33"/>
    <mergeCell ref="A37:C37"/>
    <mergeCell ref="K37:M37"/>
    <mergeCell ref="A4:N4"/>
    <mergeCell ref="A5:N5"/>
    <mergeCell ref="B9:D9"/>
    <mergeCell ref="B16:D16"/>
    <mergeCell ref="B22:D22"/>
    <mergeCell ref="A30:D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6"/>
  <sheetViews>
    <sheetView topLeftCell="A7" workbookViewId="0">
      <selection activeCell="E22" sqref="E22"/>
    </sheetView>
  </sheetViews>
  <sheetFormatPr defaultRowHeight="12.75"/>
  <cols>
    <col min="1" max="1" width="4.7109375" style="401" customWidth="1"/>
    <col min="2" max="2" width="10.140625" style="543" customWidth="1"/>
    <col min="3" max="3" width="20" style="401" customWidth="1"/>
    <col min="4" max="4" width="10.7109375" style="543" customWidth="1"/>
    <col min="5" max="5" width="17.5703125" style="544" customWidth="1"/>
    <col min="6" max="6" width="8.42578125" style="393" customWidth="1"/>
    <col min="7" max="7" width="12.42578125" style="393" customWidth="1"/>
    <col min="8" max="8" width="6.140625" style="393" customWidth="1"/>
    <col min="9" max="9" width="17" style="393" customWidth="1"/>
    <col min="10" max="10" width="13.28515625" style="393" customWidth="1"/>
    <col min="11" max="11" width="15.28515625" style="393" customWidth="1"/>
    <col min="12" max="12" width="17" style="401" customWidth="1"/>
    <col min="13" max="13" width="8.140625" style="401" hidden="1" customWidth="1"/>
    <col min="14" max="14" width="7.42578125" style="401" customWidth="1"/>
    <col min="15" max="15" width="9.140625" style="401"/>
    <col min="16" max="16" width="9.140625" style="401" hidden="1" customWidth="1"/>
    <col min="17" max="22" width="9.140625" style="401" customWidth="1"/>
    <col min="23" max="256" width="9.140625" style="401"/>
    <col min="257" max="257" width="4.7109375" style="401" customWidth="1"/>
    <col min="258" max="258" width="10.140625" style="401" customWidth="1"/>
    <col min="259" max="259" width="20" style="401" customWidth="1"/>
    <col min="260" max="260" width="10.7109375" style="401" customWidth="1"/>
    <col min="261" max="261" width="17.5703125" style="401" customWidth="1"/>
    <col min="262" max="262" width="5.28515625" style="401" customWidth="1"/>
    <col min="263" max="263" width="12.42578125" style="401" customWidth="1"/>
    <col min="264" max="264" width="6.140625" style="401" customWidth="1"/>
    <col min="265" max="265" width="15" style="401" customWidth="1"/>
    <col min="266" max="266" width="13.28515625" style="401" customWidth="1"/>
    <col min="267" max="267" width="15.28515625" style="401" customWidth="1"/>
    <col min="268" max="268" width="17" style="401" customWidth="1"/>
    <col min="269" max="269" width="0" style="401" hidden="1" customWidth="1"/>
    <col min="270" max="270" width="7.42578125" style="401" customWidth="1"/>
    <col min="271" max="271" width="9.140625" style="401"/>
    <col min="272" max="272" width="0" style="401" hidden="1" customWidth="1"/>
    <col min="273" max="278" width="9.140625" style="401" customWidth="1"/>
    <col min="279" max="512" width="9.140625" style="401"/>
    <col min="513" max="513" width="4.7109375" style="401" customWidth="1"/>
    <col min="514" max="514" width="10.140625" style="401" customWidth="1"/>
    <col min="515" max="515" width="20" style="401" customWidth="1"/>
    <col min="516" max="516" width="10.7109375" style="401" customWidth="1"/>
    <col min="517" max="517" width="17.5703125" style="401" customWidth="1"/>
    <col min="518" max="518" width="5.28515625" style="401" customWidth="1"/>
    <col min="519" max="519" width="12.42578125" style="401" customWidth="1"/>
    <col min="520" max="520" width="6.140625" style="401" customWidth="1"/>
    <col min="521" max="521" width="15" style="401" customWidth="1"/>
    <col min="522" max="522" width="13.28515625" style="401" customWidth="1"/>
    <col min="523" max="523" width="15.28515625" style="401" customWidth="1"/>
    <col min="524" max="524" width="17" style="401" customWidth="1"/>
    <col min="525" max="525" width="0" style="401" hidden="1" customWidth="1"/>
    <col min="526" max="526" width="7.42578125" style="401" customWidth="1"/>
    <col min="527" max="527" width="9.140625" style="401"/>
    <col min="528" max="528" width="0" style="401" hidden="1" customWidth="1"/>
    <col min="529" max="534" width="9.140625" style="401" customWidth="1"/>
    <col min="535" max="768" width="9.140625" style="401"/>
    <col min="769" max="769" width="4.7109375" style="401" customWidth="1"/>
    <col min="770" max="770" width="10.140625" style="401" customWidth="1"/>
    <col min="771" max="771" width="20" style="401" customWidth="1"/>
    <col min="772" max="772" width="10.7109375" style="401" customWidth="1"/>
    <col min="773" max="773" width="17.5703125" style="401" customWidth="1"/>
    <col min="774" max="774" width="5.28515625" style="401" customWidth="1"/>
    <col min="775" max="775" width="12.42578125" style="401" customWidth="1"/>
    <col min="776" max="776" width="6.140625" style="401" customWidth="1"/>
    <col min="777" max="777" width="15" style="401" customWidth="1"/>
    <col min="778" max="778" width="13.28515625" style="401" customWidth="1"/>
    <col min="779" max="779" width="15.28515625" style="401" customWidth="1"/>
    <col min="780" max="780" width="17" style="401" customWidth="1"/>
    <col min="781" max="781" width="0" style="401" hidden="1" customWidth="1"/>
    <col min="782" max="782" width="7.42578125" style="401" customWidth="1"/>
    <col min="783" max="783" width="9.140625" style="401"/>
    <col min="784" max="784" width="0" style="401" hidden="1" customWidth="1"/>
    <col min="785" max="790" width="9.140625" style="401" customWidth="1"/>
    <col min="791" max="1024" width="9.140625" style="401"/>
    <col min="1025" max="1025" width="4.7109375" style="401" customWidth="1"/>
    <col min="1026" max="1026" width="10.140625" style="401" customWidth="1"/>
    <col min="1027" max="1027" width="20" style="401" customWidth="1"/>
    <col min="1028" max="1028" width="10.7109375" style="401" customWidth="1"/>
    <col min="1029" max="1029" width="17.5703125" style="401" customWidth="1"/>
    <col min="1030" max="1030" width="5.28515625" style="401" customWidth="1"/>
    <col min="1031" max="1031" width="12.42578125" style="401" customWidth="1"/>
    <col min="1032" max="1032" width="6.140625" style="401" customWidth="1"/>
    <col min="1033" max="1033" width="15" style="401" customWidth="1"/>
    <col min="1034" max="1034" width="13.28515625" style="401" customWidth="1"/>
    <col min="1035" max="1035" width="15.28515625" style="401" customWidth="1"/>
    <col min="1036" max="1036" width="17" style="401" customWidth="1"/>
    <col min="1037" max="1037" width="0" style="401" hidden="1" customWidth="1"/>
    <col min="1038" max="1038" width="7.42578125" style="401" customWidth="1"/>
    <col min="1039" max="1039" width="9.140625" style="401"/>
    <col min="1040" max="1040" width="0" style="401" hidden="1" customWidth="1"/>
    <col min="1041" max="1046" width="9.140625" style="401" customWidth="1"/>
    <col min="1047" max="1280" width="9.140625" style="401"/>
    <col min="1281" max="1281" width="4.7109375" style="401" customWidth="1"/>
    <col min="1282" max="1282" width="10.140625" style="401" customWidth="1"/>
    <col min="1283" max="1283" width="20" style="401" customWidth="1"/>
    <col min="1284" max="1284" width="10.7109375" style="401" customWidth="1"/>
    <col min="1285" max="1285" width="17.5703125" style="401" customWidth="1"/>
    <col min="1286" max="1286" width="5.28515625" style="401" customWidth="1"/>
    <col min="1287" max="1287" width="12.42578125" style="401" customWidth="1"/>
    <col min="1288" max="1288" width="6.140625" style="401" customWidth="1"/>
    <col min="1289" max="1289" width="15" style="401" customWidth="1"/>
    <col min="1290" max="1290" width="13.28515625" style="401" customWidth="1"/>
    <col min="1291" max="1291" width="15.28515625" style="401" customWidth="1"/>
    <col min="1292" max="1292" width="17" style="401" customWidth="1"/>
    <col min="1293" max="1293" width="0" style="401" hidden="1" customWidth="1"/>
    <col min="1294" max="1294" width="7.42578125" style="401" customWidth="1"/>
    <col min="1295" max="1295" width="9.140625" style="401"/>
    <col min="1296" max="1296" width="0" style="401" hidden="1" customWidth="1"/>
    <col min="1297" max="1302" width="9.140625" style="401" customWidth="1"/>
    <col min="1303" max="1536" width="9.140625" style="401"/>
    <col min="1537" max="1537" width="4.7109375" style="401" customWidth="1"/>
    <col min="1538" max="1538" width="10.140625" style="401" customWidth="1"/>
    <col min="1539" max="1539" width="20" style="401" customWidth="1"/>
    <col min="1540" max="1540" width="10.7109375" style="401" customWidth="1"/>
    <col min="1541" max="1541" width="17.5703125" style="401" customWidth="1"/>
    <col min="1542" max="1542" width="5.28515625" style="401" customWidth="1"/>
    <col min="1543" max="1543" width="12.42578125" style="401" customWidth="1"/>
    <col min="1544" max="1544" width="6.140625" style="401" customWidth="1"/>
    <col min="1545" max="1545" width="15" style="401" customWidth="1"/>
    <col min="1546" max="1546" width="13.28515625" style="401" customWidth="1"/>
    <col min="1547" max="1547" width="15.28515625" style="401" customWidth="1"/>
    <col min="1548" max="1548" width="17" style="401" customWidth="1"/>
    <col min="1549" max="1549" width="0" style="401" hidden="1" customWidth="1"/>
    <col min="1550" max="1550" width="7.42578125" style="401" customWidth="1"/>
    <col min="1551" max="1551" width="9.140625" style="401"/>
    <col min="1552" max="1552" width="0" style="401" hidden="1" customWidth="1"/>
    <col min="1553" max="1558" width="9.140625" style="401" customWidth="1"/>
    <col min="1559" max="1792" width="9.140625" style="401"/>
    <col min="1793" max="1793" width="4.7109375" style="401" customWidth="1"/>
    <col min="1794" max="1794" width="10.140625" style="401" customWidth="1"/>
    <col min="1795" max="1795" width="20" style="401" customWidth="1"/>
    <col min="1796" max="1796" width="10.7109375" style="401" customWidth="1"/>
    <col min="1797" max="1797" width="17.5703125" style="401" customWidth="1"/>
    <col min="1798" max="1798" width="5.28515625" style="401" customWidth="1"/>
    <col min="1799" max="1799" width="12.42578125" style="401" customWidth="1"/>
    <col min="1800" max="1800" width="6.140625" style="401" customWidth="1"/>
    <col min="1801" max="1801" width="15" style="401" customWidth="1"/>
    <col min="1802" max="1802" width="13.28515625" style="401" customWidth="1"/>
    <col min="1803" max="1803" width="15.28515625" style="401" customWidth="1"/>
    <col min="1804" max="1804" width="17" style="401" customWidth="1"/>
    <col min="1805" max="1805" width="0" style="401" hidden="1" customWidth="1"/>
    <col min="1806" max="1806" width="7.42578125" style="401" customWidth="1"/>
    <col min="1807" max="1807" width="9.140625" style="401"/>
    <col min="1808" max="1808" width="0" style="401" hidden="1" customWidth="1"/>
    <col min="1809" max="1814" width="9.140625" style="401" customWidth="1"/>
    <col min="1815" max="2048" width="9.140625" style="401"/>
    <col min="2049" max="2049" width="4.7109375" style="401" customWidth="1"/>
    <col min="2050" max="2050" width="10.140625" style="401" customWidth="1"/>
    <col min="2051" max="2051" width="20" style="401" customWidth="1"/>
    <col min="2052" max="2052" width="10.7109375" style="401" customWidth="1"/>
    <col min="2053" max="2053" width="17.5703125" style="401" customWidth="1"/>
    <col min="2054" max="2054" width="5.28515625" style="401" customWidth="1"/>
    <col min="2055" max="2055" width="12.42578125" style="401" customWidth="1"/>
    <col min="2056" max="2056" width="6.140625" style="401" customWidth="1"/>
    <col min="2057" max="2057" width="15" style="401" customWidth="1"/>
    <col min="2058" max="2058" width="13.28515625" style="401" customWidth="1"/>
    <col min="2059" max="2059" width="15.28515625" style="401" customWidth="1"/>
    <col min="2060" max="2060" width="17" style="401" customWidth="1"/>
    <col min="2061" max="2061" width="0" style="401" hidden="1" customWidth="1"/>
    <col min="2062" max="2062" width="7.42578125" style="401" customWidth="1"/>
    <col min="2063" max="2063" width="9.140625" style="401"/>
    <col min="2064" max="2064" width="0" style="401" hidden="1" customWidth="1"/>
    <col min="2065" max="2070" width="9.140625" style="401" customWidth="1"/>
    <col min="2071" max="2304" width="9.140625" style="401"/>
    <col min="2305" max="2305" width="4.7109375" style="401" customWidth="1"/>
    <col min="2306" max="2306" width="10.140625" style="401" customWidth="1"/>
    <col min="2307" max="2307" width="20" style="401" customWidth="1"/>
    <col min="2308" max="2308" width="10.7109375" style="401" customWidth="1"/>
    <col min="2309" max="2309" width="17.5703125" style="401" customWidth="1"/>
    <col min="2310" max="2310" width="5.28515625" style="401" customWidth="1"/>
    <col min="2311" max="2311" width="12.42578125" style="401" customWidth="1"/>
    <col min="2312" max="2312" width="6.140625" style="401" customWidth="1"/>
    <col min="2313" max="2313" width="15" style="401" customWidth="1"/>
    <col min="2314" max="2314" width="13.28515625" style="401" customWidth="1"/>
    <col min="2315" max="2315" width="15.28515625" style="401" customWidth="1"/>
    <col min="2316" max="2316" width="17" style="401" customWidth="1"/>
    <col min="2317" max="2317" width="0" style="401" hidden="1" customWidth="1"/>
    <col min="2318" max="2318" width="7.42578125" style="401" customWidth="1"/>
    <col min="2319" max="2319" width="9.140625" style="401"/>
    <col min="2320" max="2320" width="0" style="401" hidden="1" customWidth="1"/>
    <col min="2321" max="2326" width="9.140625" style="401" customWidth="1"/>
    <col min="2327" max="2560" width="9.140625" style="401"/>
    <col min="2561" max="2561" width="4.7109375" style="401" customWidth="1"/>
    <col min="2562" max="2562" width="10.140625" style="401" customWidth="1"/>
    <col min="2563" max="2563" width="20" style="401" customWidth="1"/>
    <col min="2564" max="2564" width="10.7109375" style="401" customWidth="1"/>
    <col min="2565" max="2565" width="17.5703125" style="401" customWidth="1"/>
    <col min="2566" max="2566" width="5.28515625" style="401" customWidth="1"/>
    <col min="2567" max="2567" width="12.42578125" style="401" customWidth="1"/>
    <col min="2568" max="2568" width="6.140625" style="401" customWidth="1"/>
    <col min="2569" max="2569" width="15" style="401" customWidth="1"/>
    <col min="2570" max="2570" width="13.28515625" style="401" customWidth="1"/>
    <col min="2571" max="2571" width="15.28515625" style="401" customWidth="1"/>
    <col min="2572" max="2572" width="17" style="401" customWidth="1"/>
    <col min="2573" max="2573" width="0" style="401" hidden="1" customWidth="1"/>
    <col min="2574" max="2574" width="7.42578125" style="401" customWidth="1"/>
    <col min="2575" max="2575" width="9.140625" style="401"/>
    <col min="2576" max="2576" width="0" style="401" hidden="1" customWidth="1"/>
    <col min="2577" max="2582" width="9.140625" style="401" customWidth="1"/>
    <col min="2583" max="2816" width="9.140625" style="401"/>
    <col min="2817" max="2817" width="4.7109375" style="401" customWidth="1"/>
    <col min="2818" max="2818" width="10.140625" style="401" customWidth="1"/>
    <col min="2819" max="2819" width="20" style="401" customWidth="1"/>
    <col min="2820" max="2820" width="10.7109375" style="401" customWidth="1"/>
    <col min="2821" max="2821" width="17.5703125" style="401" customWidth="1"/>
    <col min="2822" max="2822" width="5.28515625" style="401" customWidth="1"/>
    <col min="2823" max="2823" width="12.42578125" style="401" customWidth="1"/>
    <col min="2824" max="2824" width="6.140625" style="401" customWidth="1"/>
    <col min="2825" max="2825" width="15" style="401" customWidth="1"/>
    <col min="2826" max="2826" width="13.28515625" style="401" customWidth="1"/>
    <col min="2827" max="2827" width="15.28515625" style="401" customWidth="1"/>
    <col min="2828" max="2828" width="17" style="401" customWidth="1"/>
    <col min="2829" max="2829" width="0" style="401" hidden="1" customWidth="1"/>
    <col min="2830" max="2830" width="7.42578125" style="401" customWidth="1"/>
    <col min="2831" max="2831" width="9.140625" style="401"/>
    <col min="2832" max="2832" width="0" style="401" hidden="1" customWidth="1"/>
    <col min="2833" max="2838" width="9.140625" style="401" customWidth="1"/>
    <col min="2839" max="3072" width="9.140625" style="401"/>
    <col min="3073" max="3073" width="4.7109375" style="401" customWidth="1"/>
    <col min="3074" max="3074" width="10.140625" style="401" customWidth="1"/>
    <col min="3075" max="3075" width="20" style="401" customWidth="1"/>
    <col min="3076" max="3076" width="10.7109375" style="401" customWidth="1"/>
    <col min="3077" max="3077" width="17.5703125" style="401" customWidth="1"/>
    <col min="3078" max="3078" width="5.28515625" style="401" customWidth="1"/>
    <col min="3079" max="3079" width="12.42578125" style="401" customWidth="1"/>
    <col min="3080" max="3080" width="6.140625" style="401" customWidth="1"/>
    <col min="3081" max="3081" width="15" style="401" customWidth="1"/>
    <col min="3082" max="3082" width="13.28515625" style="401" customWidth="1"/>
    <col min="3083" max="3083" width="15.28515625" style="401" customWidth="1"/>
    <col min="3084" max="3084" width="17" style="401" customWidth="1"/>
    <col min="3085" max="3085" width="0" style="401" hidden="1" customWidth="1"/>
    <col min="3086" max="3086" width="7.42578125" style="401" customWidth="1"/>
    <col min="3087" max="3087" width="9.140625" style="401"/>
    <col min="3088" max="3088" width="0" style="401" hidden="1" customWidth="1"/>
    <col min="3089" max="3094" width="9.140625" style="401" customWidth="1"/>
    <col min="3095" max="3328" width="9.140625" style="401"/>
    <col min="3329" max="3329" width="4.7109375" style="401" customWidth="1"/>
    <col min="3330" max="3330" width="10.140625" style="401" customWidth="1"/>
    <col min="3331" max="3331" width="20" style="401" customWidth="1"/>
    <col min="3332" max="3332" width="10.7109375" style="401" customWidth="1"/>
    <col min="3333" max="3333" width="17.5703125" style="401" customWidth="1"/>
    <col min="3334" max="3334" width="5.28515625" style="401" customWidth="1"/>
    <col min="3335" max="3335" width="12.42578125" style="401" customWidth="1"/>
    <col min="3336" max="3336" width="6.140625" style="401" customWidth="1"/>
    <col min="3337" max="3337" width="15" style="401" customWidth="1"/>
    <col min="3338" max="3338" width="13.28515625" style="401" customWidth="1"/>
    <col min="3339" max="3339" width="15.28515625" style="401" customWidth="1"/>
    <col min="3340" max="3340" width="17" style="401" customWidth="1"/>
    <col min="3341" max="3341" width="0" style="401" hidden="1" customWidth="1"/>
    <col min="3342" max="3342" width="7.42578125" style="401" customWidth="1"/>
    <col min="3343" max="3343" width="9.140625" style="401"/>
    <col min="3344" max="3344" width="0" style="401" hidden="1" customWidth="1"/>
    <col min="3345" max="3350" width="9.140625" style="401" customWidth="1"/>
    <col min="3351" max="3584" width="9.140625" style="401"/>
    <col min="3585" max="3585" width="4.7109375" style="401" customWidth="1"/>
    <col min="3586" max="3586" width="10.140625" style="401" customWidth="1"/>
    <col min="3587" max="3587" width="20" style="401" customWidth="1"/>
    <col min="3588" max="3588" width="10.7109375" style="401" customWidth="1"/>
    <col min="3589" max="3589" width="17.5703125" style="401" customWidth="1"/>
    <col min="3590" max="3590" width="5.28515625" style="401" customWidth="1"/>
    <col min="3591" max="3591" width="12.42578125" style="401" customWidth="1"/>
    <col min="3592" max="3592" width="6.140625" style="401" customWidth="1"/>
    <col min="3593" max="3593" width="15" style="401" customWidth="1"/>
    <col min="3594" max="3594" width="13.28515625" style="401" customWidth="1"/>
    <col min="3595" max="3595" width="15.28515625" style="401" customWidth="1"/>
    <col min="3596" max="3596" width="17" style="401" customWidth="1"/>
    <col min="3597" max="3597" width="0" style="401" hidden="1" customWidth="1"/>
    <col min="3598" max="3598" width="7.42578125" style="401" customWidth="1"/>
    <col min="3599" max="3599" width="9.140625" style="401"/>
    <col min="3600" max="3600" width="0" style="401" hidden="1" customWidth="1"/>
    <col min="3601" max="3606" width="9.140625" style="401" customWidth="1"/>
    <col min="3607" max="3840" width="9.140625" style="401"/>
    <col min="3841" max="3841" width="4.7109375" style="401" customWidth="1"/>
    <col min="3842" max="3842" width="10.140625" style="401" customWidth="1"/>
    <col min="3843" max="3843" width="20" style="401" customWidth="1"/>
    <col min="3844" max="3844" width="10.7109375" style="401" customWidth="1"/>
    <col min="3845" max="3845" width="17.5703125" style="401" customWidth="1"/>
    <col min="3846" max="3846" width="5.28515625" style="401" customWidth="1"/>
    <col min="3847" max="3847" width="12.42578125" style="401" customWidth="1"/>
    <col min="3848" max="3848" width="6.140625" style="401" customWidth="1"/>
    <col min="3849" max="3849" width="15" style="401" customWidth="1"/>
    <col min="3850" max="3850" width="13.28515625" style="401" customWidth="1"/>
    <col min="3851" max="3851" width="15.28515625" style="401" customWidth="1"/>
    <col min="3852" max="3852" width="17" style="401" customWidth="1"/>
    <col min="3853" max="3853" width="0" style="401" hidden="1" customWidth="1"/>
    <col min="3854" max="3854" width="7.42578125" style="401" customWidth="1"/>
    <col min="3855" max="3855" width="9.140625" style="401"/>
    <col min="3856" max="3856" width="0" style="401" hidden="1" customWidth="1"/>
    <col min="3857" max="3862" width="9.140625" style="401" customWidth="1"/>
    <col min="3863" max="4096" width="9.140625" style="401"/>
    <col min="4097" max="4097" width="4.7109375" style="401" customWidth="1"/>
    <col min="4098" max="4098" width="10.140625" style="401" customWidth="1"/>
    <col min="4099" max="4099" width="20" style="401" customWidth="1"/>
    <col min="4100" max="4100" width="10.7109375" style="401" customWidth="1"/>
    <col min="4101" max="4101" width="17.5703125" style="401" customWidth="1"/>
    <col min="4102" max="4102" width="5.28515625" style="401" customWidth="1"/>
    <col min="4103" max="4103" width="12.42578125" style="401" customWidth="1"/>
    <col min="4104" max="4104" width="6.140625" style="401" customWidth="1"/>
    <col min="4105" max="4105" width="15" style="401" customWidth="1"/>
    <col min="4106" max="4106" width="13.28515625" style="401" customWidth="1"/>
    <col min="4107" max="4107" width="15.28515625" style="401" customWidth="1"/>
    <col min="4108" max="4108" width="17" style="401" customWidth="1"/>
    <col min="4109" max="4109" width="0" style="401" hidden="1" customWidth="1"/>
    <col min="4110" max="4110" width="7.42578125" style="401" customWidth="1"/>
    <col min="4111" max="4111" width="9.140625" style="401"/>
    <col min="4112" max="4112" width="0" style="401" hidden="1" customWidth="1"/>
    <col min="4113" max="4118" width="9.140625" style="401" customWidth="1"/>
    <col min="4119" max="4352" width="9.140625" style="401"/>
    <col min="4353" max="4353" width="4.7109375" style="401" customWidth="1"/>
    <col min="4354" max="4354" width="10.140625" style="401" customWidth="1"/>
    <col min="4355" max="4355" width="20" style="401" customWidth="1"/>
    <col min="4356" max="4356" width="10.7109375" style="401" customWidth="1"/>
    <col min="4357" max="4357" width="17.5703125" style="401" customWidth="1"/>
    <col min="4358" max="4358" width="5.28515625" style="401" customWidth="1"/>
    <col min="4359" max="4359" width="12.42578125" style="401" customWidth="1"/>
    <col min="4360" max="4360" width="6.140625" style="401" customWidth="1"/>
    <col min="4361" max="4361" width="15" style="401" customWidth="1"/>
    <col min="4362" max="4362" width="13.28515625" style="401" customWidth="1"/>
    <col min="4363" max="4363" width="15.28515625" style="401" customWidth="1"/>
    <col min="4364" max="4364" width="17" style="401" customWidth="1"/>
    <col min="4365" max="4365" width="0" style="401" hidden="1" customWidth="1"/>
    <col min="4366" max="4366" width="7.42578125" style="401" customWidth="1"/>
    <col min="4367" max="4367" width="9.140625" style="401"/>
    <col min="4368" max="4368" width="0" style="401" hidden="1" customWidth="1"/>
    <col min="4369" max="4374" width="9.140625" style="401" customWidth="1"/>
    <col min="4375" max="4608" width="9.140625" style="401"/>
    <col min="4609" max="4609" width="4.7109375" style="401" customWidth="1"/>
    <col min="4610" max="4610" width="10.140625" style="401" customWidth="1"/>
    <col min="4611" max="4611" width="20" style="401" customWidth="1"/>
    <col min="4612" max="4612" width="10.7109375" style="401" customWidth="1"/>
    <col min="4613" max="4613" width="17.5703125" style="401" customWidth="1"/>
    <col min="4614" max="4614" width="5.28515625" style="401" customWidth="1"/>
    <col min="4615" max="4615" width="12.42578125" style="401" customWidth="1"/>
    <col min="4616" max="4616" width="6.140625" style="401" customWidth="1"/>
    <col min="4617" max="4617" width="15" style="401" customWidth="1"/>
    <col min="4618" max="4618" width="13.28515625" style="401" customWidth="1"/>
    <col min="4619" max="4619" width="15.28515625" style="401" customWidth="1"/>
    <col min="4620" max="4620" width="17" style="401" customWidth="1"/>
    <col min="4621" max="4621" width="0" style="401" hidden="1" customWidth="1"/>
    <col min="4622" max="4622" width="7.42578125" style="401" customWidth="1"/>
    <col min="4623" max="4623" width="9.140625" style="401"/>
    <col min="4624" max="4624" width="0" style="401" hidden="1" customWidth="1"/>
    <col min="4625" max="4630" width="9.140625" style="401" customWidth="1"/>
    <col min="4631" max="4864" width="9.140625" style="401"/>
    <col min="4865" max="4865" width="4.7109375" style="401" customWidth="1"/>
    <col min="4866" max="4866" width="10.140625" style="401" customWidth="1"/>
    <col min="4867" max="4867" width="20" style="401" customWidth="1"/>
    <col min="4868" max="4868" width="10.7109375" style="401" customWidth="1"/>
    <col min="4869" max="4869" width="17.5703125" style="401" customWidth="1"/>
    <col min="4870" max="4870" width="5.28515625" style="401" customWidth="1"/>
    <col min="4871" max="4871" width="12.42578125" style="401" customWidth="1"/>
    <col min="4872" max="4872" width="6.140625" style="401" customWidth="1"/>
    <col min="4873" max="4873" width="15" style="401" customWidth="1"/>
    <col min="4874" max="4874" width="13.28515625" style="401" customWidth="1"/>
    <col min="4875" max="4875" width="15.28515625" style="401" customWidth="1"/>
    <col min="4876" max="4876" width="17" style="401" customWidth="1"/>
    <col min="4877" max="4877" width="0" style="401" hidden="1" customWidth="1"/>
    <col min="4878" max="4878" width="7.42578125" style="401" customWidth="1"/>
    <col min="4879" max="4879" width="9.140625" style="401"/>
    <col min="4880" max="4880" width="0" style="401" hidden="1" customWidth="1"/>
    <col min="4881" max="4886" width="9.140625" style="401" customWidth="1"/>
    <col min="4887" max="5120" width="9.140625" style="401"/>
    <col min="5121" max="5121" width="4.7109375" style="401" customWidth="1"/>
    <col min="5122" max="5122" width="10.140625" style="401" customWidth="1"/>
    <col min="5123" max="5123" width="20" style="401" customWidth="1"/>
    <col min="5124" max="5124" width="10.7109375" style="401" customWidth="1"/>
    <col min="5125" max="5125" width="17.5703125" style="401" customWidth="1"/>
    <col min="5126" max="5126" width="5.28515625" style="401" customWidth="1"/>
    <col min="5127" max="5127" width="12.42578125" style="401" customWidth="1"/>
    <col min="5128" max="5128" width="6.140625" style="401" customWidth="1"/>
    <col min="5129" max="5129" width="15" style="401" customWidth="1"/>
    <col min="5130" max="5130" width="13.28515625" style="401" customWidth="1"/>
    <col min="5131" max="5131" width="15.28515625" style="401" customWidth="1"/>
    <col min="5132" max="5132" width="17" style="401" customWidth="1"/>
    <col min="5133" max="5133" width="0" style="401" hidden="1" customWidth="1"/>
    <col min="5134" max="5134" width="7.42578125" style="401" customWidth="1"/>
    <col min="5135" max="5135" width="9.140625" style="401"/>
    <col min="5136" max="5136" width="0" style="401" hidden="1" customWidth="1"/>
    <col min="5137" max="5142" width="9.140625" style="401" customWidth="1"/>
    <col min="5143" max="5376" width="9.140625" style="401"/>
    <col min="5377" max="5377" width="4.7109375" style="401" customWidth="1"/>
    <col min="5378" max="5378" width="10.140625" style="401" customWidth="1"/>
    <col min="5379" max="5379" width="20" style="401" customWidth="1"/>
    <col min="5380" max="5380" width="10.7109375" style="401" customWidth="1"/>
    <col min="5381" max="5381" width="17.5703125" style="401" customWidth="1"/>
    <col min="5382" max="5382" width="5.28515625" style="401" customWidth="1"/>
    <col min="5383" max="5383" width="12.42578125" style="401" customWidth="1"/>
    <col min="5384" max="5384" width="6.140625" style="401" customWidth="1"/>
    <col min="5385" max="5385" width="15" style="401" customWidth="1"/>
    <col min="5386" max="5386" width="13.28515625" style="401" customWidth="1"/>
    <col min="5387" max="5387" width="15.28515625" style="401" customWidth="1"/>
    <col min="5388" max="5388" width="17" style="401" customWidth="1"/>
    <col min="5389" max="5389" width="0" style="401" hidden="1" customWidth="1"/>
    <col min="5390" max="5390" width="7.42578125" style="401" customWidth="1"/>
    <col min="5391" max="5391" width="9.140625" style="401"/>
    <col min="5392" max="5392" width="0" style="401" hidden="1" customWidth="1"/>
    <col min="5393" max="5398" width="9.140625" style="401" customWidth="1"/>
    <col min="5399" max="5632" width="9.140625" style="401"/>
    <col min="5633" max="5633" width="4.7109375" style="401" customWidth="1"/>
    <col min="5634" max="5634" width="10.140625" style="401" customWidth="1"/>
    <col min="5635" max="5635" width="20" style="401" customWidth="1"/>
    <col min="5636" max="5636" width="10.7109375" style="401" customWidth="1"/>
    <col min="5637" max="5637" width="17.5703125" style="401" customWidth="1"/>
    <col min="5638" max="5638" width="5.28515625" style="401" customWidth="1"/>
    <col min="5639" max="5639" width="12.42578125" style="401" customWidth="1"/>
    <col min="5640" max="5640" width="6.140625" style="401" customWidth="1"/>
    <col min="5641" max="5641" width="15" style="401" customWidth="1"/>
    <col min="5642" max="5642" width="13.28515625" style="401" customWidth="1"/>
    <col min="5643" max="5643" width="15.28515625" style="401" customWidth="1"/>
    <col min="5644" max="5644" width="17" style="401" customWidth="1"/>
    <col min="5645" max="5645" width="0" style="401" hidden="1" customWidth="1"/>
    <col min="5646" max="5646" width="7.42578125" style="401" customWidth="1"/>
    <col min="5647" max="5647" width="9.140625" style="401"/>
    <col min="5648" max="5648" width="0" style="401" hidden="1" customWidth="1"/>
    <col min="5649" max="5654" width="9.140625" style="401" customWidth="1"/>
    <col min="5655" max="5888" width="9.140625" style="401"/>
    <col min="5889" max="5889" width="4.7109375" style="401" customWidth="1"/>
    <col min="5890" max="5890" width="10.140625" style="401" customWidth="1"/>
    <col min="5891" max="5891" width="20" style="401" customWidth="1"/>
    <col min="5892" max="5892" width="10.7109375" style="401" customWidth="1"/>
    <col min="5893" max="5893" width="17.5703125" style="401" customWidth="1"/>
    <col min="5894" max="5894" width="5.28515625" style="401" customWidth="1"/>
    <col min="5895" max="5895" width="12.42578125" style="401" customWidth="1"/>
    <col min="5896" max="5896" width="6.140625" style="401" customWidth="1"/>
    <col min="5897" max="5897" width="15" style="401" customWidth="1"/>
    <col min="5898" max="5898" width="13.28515625" style="401" customWidth="1"/>
    <col min="5899" max="5899" width="15.28515625" style="401" customWidth="1"/>
    <col min="5900" max="5900" width="17" style="401" customWidth="1"/>
    <col min="5901" max="5901" width="0" style="401" hidden="1" customWidth="1"/>
    <col min="5902" max="5902" width="7.42578125" style="401" customWidth="1"/>
    <col min="5903" max="5903" width="9.140625" style="401"/>
    <col min="5904" max="5904" width="0" style="401" hidden="1" customWidth="1"/>
    <col min="5905" max="5910" width="9.140625" style="401" customWidth="1"/>
    <col min="5911" max="6144" width="9.140625" style="401"/>
    <col min="6145" max="6145" width="4.7109375" style="401" customWidth="1"/>
    <col min="6146" max="6146" width="10.140625" style="401" customWidth="1"/>
    <col min="6147" max="6147" width="20" style="401" customWidth="1"/>
    <col min="6148" max="6148" width="10.7109375" style="401" customWidth="1"/>
    <col min="6149" max="6149" width="17.5703125" style="401" customWidth="1"/>
    <col min="6150" max="6150" width="5.28515625" style="401" customWidth="1"/>
    <col min="6151" max="6151" width="12.42578125" style="401" customWidth="1"/>
    <col min="6152" max="6152" width="6.140625" style="401" customWidth="1"/>
    <col min="6153" max="6153" width="15" style="401" customWidth="1"/>
    <col min="6154" max="6154" width="13.28515625" style="401" customWidth="1"/>
    <col min="6155" max="6155" width="15.28515625" style="401" customWidth="1"/>
    <col min="6156" max="6156" width="17" style="401" customWidth="1"/>
    <col min="6157" max="6157" width="0" style="401" hidden="1" customWidth="1"/>
    <col min="6158" max="6158" width="7.42578125" style="401" customWidth="1"/>
    <col min="6159" max="6159" width="9.140625" style="401"/>
    <col min="6160" max="6160" width="0" style="401" hidden="1" customWidth="1"/>
    <col min="6161" max="6166" width="9.140625" style="401" customWidth="1"/>
    <col min="6167" max="6400" width="9.140625" style="401"/>
    <col min="6401" max="6401" width="4.7109375" style="401" customWidth="1"/>
    <col min="6402" max="6402" width="10.140625" style="401" customWidth="1"/>
    <col min="6403" max="6403" width="20" style="401" customWidth="1"/>
    <col min="6404" max="6404" width="10.7109375" style="401" customWidth="1"/>
    <col min="6405" max="6405" width="17.5703125" style="401" customWidth="1"/>
    <col min="6406" max="6406" width="5.28515625" style="401" customWidth="1"/>
    <col min="6407" max="6407" width="12.42578125" style="401" customWidth="1"/>
    <col min="6408" max="6408" width="6.140625" style="401" customWidth="1"/>
    <col min="6409" max="6409" width="15" style="401" customWidth="1"/>
    <col min="6410" max="6410" width="13.28515625" style="401" customWidth="1"/>
    <col min="6411" max="6411" width="15.28515625" style="401" customWidth="1"/>
    <col min="6412" max="6412" width="17" style="401" customWidth="1"/>
    <col min="6413" max="6413" width="0" style="401" hidden="1" customWidth="1"/>
    <col min="6414" max="6414" width="7.42578125" style="401" customWidth="1"/>
    <col min="6415" max="6415" width="9.140625" style="401"/>
    <col min="6416" max="6416" width="0" style="401" hidden="1" customWidth="1"/>
    <col min="6417" max="6422" width="9.140625" style="401" customWidth="1"/>
    <col min="6423" max="6656" width="9.140625" style="401"/>
    <col min="6657" max="6657" width="4.7109375" style="401" customWidth="1"/>
    <col min="6658" max="6658" width="10.140625" style="401" customWidth="1"/>
    <col min="6659" max="6659" width="20" style="401" customWidth="1"/>
    <col min="6660" max="6660" width="10.7109375" style="401" customWidth="1"/>
    <col min="6661" max="6661" width="17.5703125" style="401" customWidth="1"/>
    <col min="6662" max="6662" width="5.28515625" style="401" customWidth="1"/>
    <col min="6663" max="6663" width="12.42578125" style="401" customWidth="1"/>
    <col min="6664" max="6664" width="6.140625" style="401" customWidth="1"/>
    <col min="6665" max="6665" width="15" style="401" customWidth="1"/>
    <col min="6666" max="6666" width="13.28515625" style="401" customWidth="1"/>
    <col min="6667" max="6667" width="15.28515625" style="401" customWidth="1"/>
    <col min="6668" max="6668" width="17" style="401" customWidth="1"/>
    <col min="6669" max="6669" width="0" style="401" hidden="1" customWidth="1"/>
    <col min="6670" max="6670" width="7.42578125" style="401" customWidth="1"/>
    <col min="6671" max="6671" width="9.140625" style="401"/>
    <col min="6672" max="6672" width="0" style="401" hidden="1" customWidth="1"/>
    <col min="6673" max="6678" width="9.140625" style="401" customWidth="1"/>
    <col min="6679" max="6912" width="9.140625" style="401"/>
    <col min="6913" max="6913" width="4.7109375" style="401" customWidth="1"/>
    <col min="6914" max="6914" width="10.140625" style="401" customWidth="1"/>
    <col min="6915" max="6915" width="20" style="401" customWidth="1"/>
    <col min="6916" max="6916" width="10.7109375" style="401" customWidth="1"/>
    <col min="6917" max="6917" width="17.5703125" style="401" customWidth="1"/>
    <col min="6918" max="6918" width="5.28515625" style="401" customWidth="1"/>
    <col min="6919" max="6919" width="12.42578125" style="401" customWidth="1"/>
    <col min="6920" max="6920" width="6.140625" style="401" customWidth="1"/>
    <col min="6921" max="6921" width="15" style="401" customWidth="1"/>
    <col min="6922" max="6922" width="13.28515625" style="401" customWidth="1"/>
    <col min="6923" max="6923" width="15.28515625" style="401" customWidth="1"/>
    <col min="6924" max="6924" width="17" style="401" customWidth="1"/>
    <col min="6925" max="6925" width="0" style="401" hidden="1" customWidth="1"/>
    <col min="6926" max="6926" width="7.42578125" style="401" customWidth="1"/>
    <col min="6927" max="6927" width="9.140625" style="401"/>
    <col min="6928" max="6928" width="0" style="401" hidden="1" customWidth="1"/>
    <col min="6929" max="6934" width="9.140625" style="401" customWidth="1"/>
    <col min="6935" max="7168" width="9.140625" style="401"/>
    <col min="7169" max="7169" width="4.7109375" style="401" customWidth="1"/>
    <col min="7170" max="7170" width="10.140625" style="401" customWidth="1"/>
    <col min="7171" max="7171" width="20" style="401" customWidth="1"/>
    <col min="7172" max="7172" width="10.7109375" style="401" customWidth="1"/>
    <col min="7173" max="7173" width="17.5703125" style="401" customWidth="1"/>
    <col min="7174" max="7174" width="5.28515625" style="401" customWidth="1"/>
    <col min="7175" max="7175" width="12.42578125" style="401" customWidth="1"/>
    <col min="7176" max="7176" width="6.140625" style="401" customWidth="1"/>
    <col min="7177" max="7177" width="15" style="401" customWidth="1"/>
    <col min="7178" max="7178" width="13.28515625" style="401" customWidth="1"/>
    <col min="7179" max="7179" width="15.28515625" style="401" customWidth="1"/>
    <col min="7180" max="7180" width="17" style="401" customWidth="1"/>
    <col min="7181" max="7181" width="0" style="401" hidden="1" customWidth="1"/>
    <col min="7182" max="7182" width="7.42578125" style="401" customWidth="1"/>
    <col min="7183" max="7183" width="9.140625" style="401"/>
    <col min="7184" max="7184" width="0" style="401" hidden="1" customWidth="1"/>
    <col min="7185" max="7190" width="9.140625" style="401" customWidth="1"/>
    <col min="7191" max="7424" width="9.140625" style="401"/>
    <col min="7425" max="7425" width="4.7109375" style="401" customWidth="1"/>
    <col min="7426" max="7426" width="10.140625" style="401" customWidth="1"/>
    <col min="7427" max="7427" width="20" style="401" customWidth="1"/>
    <col min="7428" max="7428" width="10.7109375" style="401" customWidth="1"/>
    <col min="7429" max="7429" width="17.5703125" style="401" customWidth="1"/>
    <col min="7430" max="7430" width="5.28515625" style="401" customWidth="1"/>
    <col min="7431" max="7431" width="12.42578125" style="401" customWidth="1"/>
    <col min="7432" max="7432" width="6.140625" style="401" customWidth="1"/>
    <col min="7433" max="7433" width="15" style="401" customWidth="1"/>
    <col min="7434" max="7434" width="13.28515625" style="401" customWidth="1"/>
    <col min="7435" max="7435" width="15.28515625" style="401" customWidth="1"/>
    <col min="7436" max="7436" width="17" style="401" customWidth="1"/>
    <col min="7437" max="7437" width="0" style="401" hidden="1" customWidth="1"/>
    <col min="7438" max="7438" width="7.42578125" style="401" customWidth="1"/>
    <col min="7439" max="7439" width="9.140625" style="401"/>
    <col min="7440" max="7440" width="0" style="401" hidden="1" customWidth="1"/>
    <col min="7441" max="7446" width="9.140625" style="401" customWidth="1"/>
    <col min="7447" max="7680" width="9.140625" style="401"/>
    <col min="7681" max="7681" width="4.7109375" style="401" customWidth="1"/>
    <col min="7682" max="7682" width="10.140625" style="401" customWidth="1"/>
    <col min="7683" max="7683" width="20" style="401" customWidth="1"/>
    <col min="7684" max="7684" width="10.7109375" style="401" customWidth="1"/>
    <col min="7685" max="7685" width="17.5703125" style="401" customWidth="1"/>
    <col min="7686" max="7686" width="5.28515625" style="401" customWidth="1"/>
    <col min="7687" max="7687" width="12.42578125" style="401" customWidth="1"/>
    <col min="7688" max="7688" width="6.140625" style="401" customWidth="1"/>
    <col min="7689" max="7689" width="15" style="401" customWidth="1"/>
    <col min="7690" max="7690" width="13.28515625" style="401" customWidth="1"/>
    <col min="7691" max="7691" width="15.28515625" style="401" customWidth="1"/>
    <col min="7692" max="7692" width="17" style="401" customWidth="1"/>
    <col min="7693" max="7693" width="0" style="401" hidden="1" customWidth="1"/>
    <col min="7694" max="7694" width="7.42578125" style="401" customWidth="1"/>
    <col min="7695" max="7695" width="9.140625" style="401"/>
    <col min="7696" max="7696" width="0" style="401" hidden="1" customWidth="1"/>
    <col min="7697" max="7702" width="9.140625" style="401" customWidth="1"/>
    <col min="7703" max="7936" width="9.140625" style="401"/>
    <col min="7937" max="7937" width="4.7109375" style="401" customWidth="1"/>
    <col min="7938" max="7938" width="10.140625" style="401" customWidth="1"/>
    <col min="7939" max="7939" width="20" style="401" customWidth="1"/>
    <col min="7940" max="7940" width="10.7109375" style="401" customWidth="1"/>
    <col min="7941" max="7941" width="17.5703125" style="401" customWidth="1"/>
    <col min="7942" max="7942" width="5.28515625" style="401" customWidth="1"/>
    <col min="7943" max="7943" width="12.42578125" style="401" customWidth="1"/>
    <col min="7944" max="7944" width="6.140625" style="401" customWidth="1"/>
    <col min="7945" max="7945" width="15" style="401" customWidth="1"/>
    <col min="7946" max="7946" width="13.28515625" style="401" customWidth="1"/>
    <col min="7947" max="7947" width="15.28515625" style="401" customWidth="1"/>
    <col min="7948" max="7948" width="17" style="401" customWidth="1"/>
    <col min="7949" max="7949" width="0" style="401" hidden="1" customWidth="1"/>
    <col min="7950" max="7950" width="7.42578125" style="401" customWidth="1"/>
    <col min="7951" max="7951" width="9.140625" style="401"/>
    <col min="7952" max="7952" width="0" style="401" hidden="1" customWidth="1"/>
    <col min="7953" max="7958" width="9.140625" style="401" customWidth="1"/>
    <col min="7959" max="8192" width="9.140625" style="401"/>
    <col min="8193" max="8193" width="4.7109375" style="401" customWidth="1"/>
    <col min="8194" max="8194" width="10.140625" style="401" customWidth="1"/>
    <col min="8195" max="8195" width="20" style="401" customWidth="1"/>
    <col min="8196" max="8196" width="10.7109375" style="401" customWidth="1"/>
    <col min="8197" max="8197" width="17.5703125" style="401" customWidth="1"/>
    <col min="8198" max="8198" width="5.28515625" style="401" customWidth="1"/>
    <col min="8199" max="8199" width="12.42578125" style="401" customWidth="1"/>
    <col min="8200" max="8200" width="6.140625" style="401" customWidth="1"/>
    <col min="8201" max="8201" width="15" style="401" customWidth="1"/>
    <col min="8202" max="8202" width="13.28515625" style="401" customWidth="1"/>
    <col min="8203" max="8203" width="15.28515625" style="401" customWidth="1"/>
    <col min="8204" max="8204" width="17" style="401" customWidth="1"/>
    <col min="8205" max="8205" width="0" style="401" hidden="1" customWidth="1"/>
    <col min="8206" max="8206" width="7.42578125" style="401" customWidth="1"/>
    <col min="8207" max="8207" width="9.140625" style="401"/>
    <col min="8208" max="8208" width="0" style="401" hidden="1" customWidth="1"/>
    <col min="8209" max="8214" width="9.140625" style="401" customWidth="1"/>
    <col min="8215" max="8448" width="9.140625" style="401"/>
    <col min="8449" max="8449" width="4.7109375" style="401" customWidth="1"/>
    <col min="8450" max="8450" width="10.140625" style="401" customWidth="1"/>
    <col min="8451" max="8451" width="20" style="401" customWidth="1"/>
    <col min="8452" max="8452" width="10.7109375" style="401" customWidth="1"/>
    <col min="8453" max="8453" width="17.5703125" style="401" customWidth="1"/>
    <col min="8454" max="8454" width="5.28515625" style="401" customWidth="1"/>
    <col min="8455" max="8455" width="12.42578125" style="401" customWidth="1"/>
    <col min="8456" max="8456" width="6.140625" style="401" customWidth="1"/>
    <col min="8457" max="8457" width="15" style="401" customWidth="1"/>
    <col min="8458" max="8458" width="13.28515625" style="401" customWidth="1"/>
    <col min="8459" max="8459" width="15.28515625" style="401" customWidth="1"/>
    <col min="8460" max="8460" width="17" style="401" customWidth="1"/>
    <col min="8461" max="8461" width="0" style="401" hidden="1" customWidth="1"/>
    <col min="8462" max="8462" width="7.42578125" style="401" customWidth="1"/>
    <col min="8463" max="8463" width="9.140625" style="401"/>
    <col min="8464" max="8464" width="0" style="401" hidden="1" customWidth="1"/>
    <col min="8465" max="8470" width="9.140625" style="401" customWidth="1"/>
    <col min="8471" max="8704" width="9.140625" style="401"/>
    <col min="8705" max="8705" width="4.7109375" style="401" customWidth="1"/>
    <col min="8706" max="8706" width="10.140625" style="401" customWidth="1"/>
    <col min="8707" max="8707" width="20" style="401" customWidth="1"/>
    <col min="8708" max="8708" width="10.7109375" style="401" customWidth="1"/>
    <col min="8709" max="8709" width="17.5703125" style="401" customWidth="1"/>
    <col min="8710" max="8710" width="5.28515625" style="401" customWidth="1"/>
    <col min="8711" max="8711" width="12.42578125" style="401" customWidth="1"/>
    <col min="8712" max="8712" width="6.140625" style="401" customWidth="1"/>
    <col min="8713" max="8713" width="15" style="401" customWidth="1"/>
    <col min="8714" max="8714" width="13.28515625" style="401" customWidth="1"/>
    <col min="8715" max="8715" width="15.28515625" style="401" customWidth="1"/>
    <col min="8716" max="8716" width="17" style="401" customWidth="1"/>
    <col min="8717" max="8717" width="0" style="401" hidden="1" customWidth="1"/>
    <col min="8718" max="8718" width="7.42578125" style="401" customWidth="1"/>
    <col min="8719" max="8719" width="9.140625" style="401"/>
    <col min="8720" max="8720" width="0" style="401" hidden="1" customWidth="1"/>
    <col min="8721" max="8726" width="9.140625" style="401" customWidth="1"/>
    <col min="8727" max="8960" width="9.140625" style="401"/>
    <col min="8961" max="8961" width="4.7109375" style="401" customWidth="1"/>
    <col min="8962" max="8962" width="10.140625" style="401" customWidth="1"/>
    <col min="8963" max="8963" width="20" style="401" customWidth="1"/>
    <col min="8964" max="8964" width="10.7109375" style="401" customWidth="1"/>
    <col min="8965" max="8965" width="17.5703125" style="401" customWidth="1"/>
    <col min="8966" max="8966" width="5.28515625" style="401" customWidth="1"/>
    <col min="8967" max="8967" width="12.42578125" style="401" customWidth="1"/>
    <col min="8968" max="8968" width="6.140625" style="401" customWidth="1"/>
    <col min="8969" max="8969" width="15" style="401" customWidth="1"/>
    <col min="8970" max="8970" width="13.28515625" style="401" customWidth="1"/>
    <col min="8971" max="8971" width="15.28515625" style="401" customWidth="1"/>
    <col min="8972" max="8972" width="17" style="401" customWidth="1"/>
    <col min="8973" max="8973" width="0" style="401" hidden="1" customWidth="1"/>
    <col min="8974" max="8974" width="7.42578125" style="401" customWidth="1"/>
    <col min="8975" max="8975" width="9.140625" style="401"/>
    <col min="8976" max="8976" width="0" style="401" hidden="1" customWidth="1"/>
    <col min="8977" max="8982" width="9.140625" style="401" customWidth="1"/>
    <col min="8983" max="9216" width="9.140625" style="401"/>
    <col min="9217" max="9217" width="4.7109375" style="401" customWidth="1"/>
    <col min="9218" max="9218" width="10.140625" style="401" customWidth="1"/>
    <col min="9219" max="9219" width="20" style="401" customWidth="1"/>
    <col min="9220" max="9220" width="10.7109375" style="401" customWidth="1"/>
    <col min="9221" max="9221" width="17.5703125" style="401" customWidth="1"/>
    <col min="9222" max="9222" width="5.28515625" style="401" customWidth="1"/>
    <col min="9223" max="9223" width="12.42578125" style="401" customWidth="1"/>
    <col min="9224" max="9224" width="6.140625" style="401" customWidth="1"/>
    <col min="9225" max="9225" width="15" style="401" customWidth="1"/>
    <col min="9226" max="9226" width="13.28515625" style="401" customWidth="1"/>
    <col min="9227" max="9227" width="15.28515625" style="401" customWidth="1"/>
    <col min="9228" max="9228" width="17" style="401" customWidth="1"/>
    <col min="9229" max="9229" width="0" style="401" hidden="1" customWidth="1"/>
    <col min="9230" max="9230" width="7.42578125" style="401" customWidth="1"/>
    <col min="9231" max="9231" width="9.140625" style="401"/>
    <col min="9232" max="9232" width="0" style="401" hidden="1" customWidth="1"/>
    <col min="9233" max="9238" width="9.140625" style="401" customWidth="1"/>
    <col min="9239" max="9472" width="9.140625" style="401"/>
    <col min="9473" max="9473" width="4.7109375" style="401" customWidth="1"/>
    <col min="9474" max="9474" width="10.140625" style="401" customWidth="1"/>
    <col min="9475" max="9475" width="20" style="401" customWidth="1"/>
    <col min="9476" max="9476" width="10.7109375" style="401" customWidth="1"/>
    <col min="9477" max="9477" width="17.5703125" style="401" customWidth="1"/>
    <col min="9478" max="9478" width="5.28515625" style="401" customWidth="1"/>
    <col min="9479" max="9479" width="12.42578125" style="401" customWidth="1"/>
    <col min="9480" max="9480" width="6.140625" style="401" customWidth="1"/>
    <col min="9481" max="9481" width="15" style="401" customWidth="1"/>
    <col min="9482" max="9482" width="13.28515625" style="401" customWidth="1"/>
    <col min="9483" max="9483" width="15.28515625" style="401" customWidth="1"/>
    <col min="9484" max="9484" width="17" style="401" customWidth="1"/>
    <col min="9485" max="9485" width="0" style="401" hidden="1" customWidth="1"/>
    <col min="9486" max="9486" width="7.42578125" style="401" customWidth="1"/>
    <col min="9487" max="9487" width="9.140625" style="401"/>
    <col min="9488" max="9488" width="0" style="401" hidden="1" customWidth="1"/>
    <col min="9489" max="9494" width="9.140625" style="401" customWidth="1"/>
    <col min="9495" max="9728" width="9.140625" style="401"/>
    <col min="9729" max="9729" width="4.7109375" style="401" customWidth="1"/>
    <col min="9730" max="9730" width="10.140625" style="401" customWidth="1"/>
    <col min="9731" max="9731" width="20" style="401" customWidth="1"/>
    <col min="9732" max="9732" width="10.7109375" style="401" customWidth="1"/>
    <col min="9733" max="9733" width="17.5703125" style="401" customWidth="1"/>
    <col min="9734" max="9734" width="5.28515625" style="401" customWidth="1"/>
    <col min="9735" max="9735" width="12.42578125" style="401" customWidth="1"/>
    <col min="9736" max="9736" width="6.140625" style="401" customWidth="1"/>
    <col min="9737" max="9737" width="15" style="401" customWidth="1"/>
    <col min="9738" max="9738" width="13.28515625" style="401" customWidth="1"/>
    <col min="9739" max="9739" width="15.28515625" style="401" customWidth="1"/>
    <col min="9740" max="9740" width="17" style="401" customWidth="1"/>
    <col min="9741" max="9741" width="0" style="401" hidden="1" customWidth="1"/>
    <col min="9742" max="9742" width="7.42578125" style="401" customWidth="1"/>
    <col min="9743" max="9743" width="9.140625" style="401"/>
    <col min="9744" max="9744" width="0" style="401" hidden="1" customWidth="1"/>
    <col min="9745" max="9750" width="9.140625" style="401" customWidth="1"/>
    <col min="9751" max="9984" width="9.140625" style="401"/>
    <col min="9985" max="9985" width="4.7109375" style="401" customWidth="1"/>
    <col min="9986" max="9986" width="10.140625" style="401" customWidth="1"/>
    <col min="9987" max="9987" width="20" style="401" customWidth="1"/>
    <col min="9988" max="9988" width="10.7109375" style="401" customWidth="1"/>
    <col min="9989" max="9989" width="17.5703125" style="401" customWidth="1"/>
    <col min="9990" max="9990" width="5.28515625" style="401" customWidth="1"/>
    <col min="9991" max="9991" width="12.42578125" style="401" customWidth="1"/>
    <col min="9992" max="9992" width="6.140625" style="401" customWidth="1"/>
    <col min="9993" max="9993" width="15" style="401" customWidth="1"/>
    <col min="9994" max="9994" width="13.28515625" style="401" customWidth="1"/>
    <col min="9995" max="9995" width="15.28515625" style="401" customWidth="1"/>
    <col min="9996" max="9996" width="17" style="401" customWidth="1"/>
    <col min="9997" max="9997" width="0" style="401" hidden="1" customWidth="1"/>
    <col min="9998" max="9998" width="7.42578125" style="401" customWidth="1"/>
    <col min="9999" max="9999" width="9.140625" style="401"/>
    <col min="10000" max="10000" width="0" style="401" hidden="1" customWidth="1"/>
    <col min="10001" max="10006" width="9.140625" style="401" customWidth="1"/>
    <col min="10007" max="10240" width="9.140625" style="401"/>
    <col min="10241" max="10241" width="4.7109375" style="401" customWidth="1"/>
    <col min="10242" max="10242" width="10.140625" style="401" customWidth="1"/>
    <col min="10243" max="10243" width="20" style="401" customWidth="1"/>
    <col min="10244" max="10244" width="10.7109375" style="401" customWidth="1"/>
    <col min="10245" max="10245" width="17.5703125" style="401" customWidth="1"/>
    <col min="10246" max="10246" width="5.28515625" style="401" customWidth="1"/>
    <col min="10247" max="10247" width="12.42578125" style="401" customWidth="1"/>
    <col min="10248" max="10248" width="6.140625" style="401" customWidth="1"/>
    <col min="10249" max="10249" width="15" style="401" customWidth="1"/>
    <col min="10250" max="10250" width="13.28515625" style="401" customWidth="1"/>
    <col min="10251" max="10251" width="15.28515625" style="401" customWidth="1"/>
    <col min="10252" max="10252" width="17" style="401" customWidth="1"/>
    <col min="10253" max="10253" width="0" style="401" hidden="1" customWidth="1"/>
    <col min="10254" max="10254" width="7.42578125" style="401" customWidth="1"/>
    <col min="10255" max="10255" width="9.140625" style="401"/>
    <col min="10256" max="10256" width="0" style="401" hidden="1" customWidth="1"/>
    <col min="10257" max="10262" width="9.140625" style="401" customWidth="1"/>
    <col min="10263" max="10496" width="9.140625" style="401"/>
    <col min="10497" max="10497" width="4.7109375" style="401" customWidth="1"/>
    <col min="10498" max="10498" width="10.140625" style="401" customWidth="1"/>
    <col min="10499" max="10499" width="20" style="401" customWidth="1"/>
    <col min="10500" max="10500" width="10.7109375" style="401" customWidth="1"/>
    <col min="10501" max="10501" width="17.5703125" style="401" customWidth="1"/>
    <col min="10502" max="10502" width="5.28515625" style="401" customWidth="1"/>
    <col min="10503" max="10503" width="12.42578125" style="401" customWidth="1"/>
    <col min="10504" max="10504" width="6.140625" style="401" customWidth="1"/>
    <col min="10505" max="10505" width="15" style="401" customWidth="1"/>
    <col min="10506" max="10506" width="13.28515625" style="401" customWidth="1"/>
    <col min="10507" max="10507" width="15.28515625" style="401" customWidth="1"/>
    <col min="10508" max="10508" width="17" style="401" customWidth="1"/>
    <col min="10509" max="10509" width="0" style="401" hidden="1" customWidth="1"/>
    <col min="10510" max="10510" width="7.42578125" style="401" customWidth="1"/>
    <col min="10511" max="10511" width="9.140625" style="401"/>
    <col min="10512" max="10512" width="0" style="401" hidden="1" customWidth="1"/>
    <col min="10513" max="10518" width="9.140625" style="401" customWidth="1"/>
    <col min="10519" max="10752" width="9.140625" style="401"/>
    <col min="10753" max="10753" width="4.7109375" style="401" customWidth="1"/>
    <col min="10754" max="10754" width="10.140625" style="401" customWidth="1"/>
    <col min="10755" max="10755" width="20" style="401" customWidth="1"/>
    <col min="10756" max="10756" width="10.7109375" style="401" customWidth="1"/>
    <col min="10757" max="10757" width="17.5703125" style="401" customWidth="1"/>
    <col min="10758" max="10758" width="5.28515625" style="401" customWidth="1"/>
    <col min="10759" max="10759" width="12.42578125" style="401" customWidth="1"/>
    <col min="10760" max="10760" width="6.140625" style="401" customWidth="1"/>
    <col min="10761" max="10761" width="15" style="401" customWidth="1"/>
    <col min="10762" max="10762" width="13.28515625" style="401" customWidth="1"/>
    <col min="10763" max="10763" width="15.28515625" style="401" customWidth="1"/>
    <col min="10764" max="10764" width="17" style="401" customWidth="1"/>
    <col min="10765" max="10765" width="0" style="401" hidden="1" customWidth="1"/>
    <col min="10766" max="10766" width="7.42578125" style="401" customWidth="1"/>
    <col min="10767" max="10767" width="9.140625" style="401"/>
    <col min="10768" max="10768" width="0" style="401" hidden="1" customWidth="1"/>
    <col min="10769" max="10774" width="9.140625" style="401" customWidth="1"/>
    <col min="10775" max="11008" width="9.140625" style="401"/>
    <col min="11009" max="11009" width="4.7109375" style="401" customWidth="1"/>
    <col min="11010" max="11010" width="10.140625" style="401" customWidth="1"/>
    <col min="11011" max="11011" width="20" style="401" customWidth="1"/>
    <col min="11012" max="11012" width="10.7109375" style="401" customWidth="1"/>
    <col min="11013" max="11013" width="17.5703125" style="401" customWidth="1"/>
    <col min="11014" max="11014" width="5.28515625" style="401" customWidth="1"/>
    <col min="11015" max="11015" width="12.42578125" style="401" customWidth="1"/>
    <col min="11016" max="11016" width="6.140625" style="401" customWidth="1"/>
    <col min="11017" max="11017" width="15" style="401" customWidth="1"/>
    <col min="11018" max="11018" width="13.28515625" style="401" customWidth="1"/>
    <col min="11019" max="11019" width="15.28515625" style="401" customWidth="1"/>
    <col min="11020" max="11020" width="17" style="401" customWidth="1"/>
    <col min="11021" max="11021" width="0" style="401" hidden="1" customWidth="1"/>
    <col min="11022" max="11022" width="7.42578125" style="401" customWidth="1"/>
    <col min="11023" max="11023" width="9.140625" style="401"/>
    <col min="11024" max="11024" width="0" style="401" hidden="1" customWidth="1"/>
    <col min="11025" max="11030" width="9.140625" style="401" customWidth="1"/>
    <col min="11031" max="11264" width="9.140625" style="401"/>
    <col min="11265" max="11265" width="4.7109375" style="401" customWidth="1"/>
    <col min="11266" max="11266" width="10.140625" style="401" customWidth="1"/>
    <col min="11267" max="11267" width="20" style="401" customWidth="1"/>
    <col min="11268" max="11268" width="10.7109375" style="401" customWidth="1"/>
    <col min="11269" max="11269" width="17.5703125" style="401" customWidth="1"/>
    <col min="11270" max="11270" width="5.28515625" style="401" customWidth="1"/>
    <col min="11271" max="11271" width="12.42578125" style="401" customWidth="1"/>
    <col min="11272" max="11272" width="6.140625" style="401" customWidth="1"/>
    <col min="11273" max="11273" width="15" style="401" customWidth="1"/>
    <col min="11274" max="11274" width="13.28515625" style="401" customWidth="1"/>
    <col min="11275" max="11275" width="15.28515625" style="401" customWidth="1"/>
    <col min="11276" max="11276" width="17" style="401" customWidth="1"/>
    <col min="11277" max="11277" width="0" style="401" hidden="1" customWidth="1"/>
    <col min="11278" max="11278" width="7.42578125" style="401" customWidth="1"/>
    <col min="11279" max="11279" width="9.140625" style="401"/>
    <col min="11280" max="11280" width="0" style="401" hidden="1" customWidth="1"/>
    <col min="11281" max="11286" width="9.140625" style="401" customWidth="1"/>
    <col min="11287" max="11520" width="9.140625" style="401"/>
    <col min="11521" max="11521" width="4.7109375" style="401" customWidth="1"/>
    <col min="11522" max="11522" width="10.140625" style="401" customWidth="1"/>
    <col min="11523" max="11523" width="20" style="401" customWidth="1"/>
    <col min="11524" max="11524" width="10.7109375" style="401" customWidth="1"/>
    <col min="11525" max="11525" width="17.5703125" style="401" customWidth="1"/>
    <col min="11526" max="11526" width="5.28515625" style="401" customWidth="1"/>
    <col min="11527" max="11527" width="12.42578125" style="401" customWidth="1"/>
    <col min="11528" max="11528" width="6.140625" style="401" customWidth="1"/>
    <col min="11529" max="11529" width="15" style="401" customWidth="1"/>
    <col min="11530" max="11530" width="13.28515625" style="401" customWidth="1"/>
    <col min="11531" max="11531" width="15.28515625" style="401" customWidth="1"/>
    <col min="11532" max="11532" width="17" style="401" customWidth="1"/>
    <col min="11533" max="11533" width="0" style="401" hidden="1" customWidth="1"/>
    <col min="11534" max="11534" width="7.42578125" style="401" customWidth="1"/>
    <col min="11535" max="11535" width="9.140625" style="401"/>
    <col min="11536" max="11536" width="0" style="401" hidden="1" customWidth="1"/>
    <col min="11537" max="11542" width="9.140625" style="401" customWidth="1"/>
    <col min="11543" max="11776" width="9.140625" style="401"/>
    <col min="11777" max="11777" width="4.7109375" style="401" customWidth="1"/>
    <col min="11778" max="11778" width="10.140625" style="401" customWidth="1"/>
    <col min="11779" max="11779" width="20" style="401" customWidth="1"/>
    <col min="11780" max="11780" width="10.7109375" style="401" customWidth="1"/>
    <col min="11781" max="11781" width="17.5703125" style="401" customWidth="1"/>
    <col min="11782" max="11782" width="5.28515625" style="401" customWidth="1"/>
    <col min="11783" max="11783" width="12.42578125" style="401" customWidth="1"/>
    <col min="11784" max="11784" width="6.140625" style="401" customWidth="1"/>
    <col min="11785" max="11785" width="15" style="401" customWidth="1"/>
    <col min="11786" max="11786" width="13.28515625" style="401" customWidth="1"/>
    <col min="11787" max="11787" width="15.28515625" style="401" customWidth="1"/>
    <col min="11788" max="11788" width="17" style="401" customWidth="1"/>
    <col min="11789" max="11789" width="0" style="401" hidden="1" customWidth="1"/>
    <col min="11790" max="11790" width="7.42578125" style="401" customWidth="1"/>
    <col min="11791" max="11791" width="9.140625" style="401"/>
    <col min="11792" max="11792" width="0" style="401" hidden="1" customWidth="1"/>
    <col min="11793" max="11798" width="9.140625" style="401" customWidth="1"/>
    <col min="11799" max="12032" width="9.140625" style="401"/>
    <col min="12033" max="12033" width="4.7109375" style="401" customWidth="1"/>
    <col min="12034" max="12034" width="10.140625" style="401" customWidth="1"/>
    <col min="12035" max="12035" width="20" style="401" customWidth="1"/>
    <col min="12036" max="12036" width="10.7109375" style="401" customWidth="1"/>
    <col min="12037" max="12037" width="17.5703125" style="401" customWidth="1"/>
    <col min="12038" max="12038" width="5.28515625" style="401" customWidth="1"/>
    <col min="12039" max="12039" width="12.42578125" style="401" customWidth="1"/>
    <col min="12040" max="12040" width="6.140625" style="401" customWidth="1"/>
    <col min="12041" max="12041" width="15" style="401" customWidth="1"/>
    <col min="12042" max="12042" width="13.28515625" style="401" customWidth="1"/>
    <col min="12043" max="12043" width="15.28515625" style="401" customWidth="1"/>
    <col min="12044" max="12044" width="17" style="401" customWidth="1"/>
    <col min="12045" max="12045" width="0" style="401" hidden="1" customWidth="1"/>
    <col min="12046" max="12046" width="7.42578125" style="401" customWidth="1"/>
    <col min="12047" max="12047" width="9.140625" style="401"/>
    <col min="12048" max="12048" width="0" style="401" hidden="1" customWidth="1"/>
    <col min="12049" max="12054" width="9.140625" style="401" customWidth="1"/>
    <col min="12055" max="12288" width="9.140625" style="401"/>
    <col min="12289" max="12289" width="4.7109375" style="401" customWidth="1"/>
    <col min="12290" max="12290" width="10.140625" style="401" customWidth="1"/>
    <col min="12291" max="12291" width="20" style="401" customWidth="1"/>
    <col min="12292" max="12292" width="10.7109375" style="401" customWidth="1"/>
    <col min="12293" max="12293" width="17.5703125" style="401" customWidth="1"/>
    <col min="12294" max="12294" width="5.28515625" style="401" customWidth="1"/>
    <col min="12295" max="12295" width="12.42578125" style="401" customWidth="1"/>
    <col min="12296" max="12296" width="6.140625" style="401" customWidth="1"/>
    <col min="12297" max="12297" width="15" style="401" customWidth="1"/>
    <col min="12298" max="12298" width="13.28515625" style="401" customWidth="1"/>
    <col min="12299" max="12299" width="15.28515625" style="401" customWidth="1"/>
    <col min="12300" max="12300" width="17" style="401" customWidth="1"/>
    <col min="12301" max="12301" width="0" style="401" hidden="1" customWidth="1"/>
    <col min="12302" max="12302" width="7.42578125" style="401" customWidth="1"/>
    <col min="12303" max="12303" width="9.140625" style="401"/>
    <col min="12304" max="12304" width="0" style="401" hidden="1" customWidth="1"/>
    <col min="12305" max="12310" width="9.140625" style="401" customWidth="1"/>
    <col min="12311" max="12544" width="9.140625" style="401"/>
    <col min="12545" max="12545" width="4.7109375" style="401" customWidth="1"/>
    <col min="12546" max="12546" width="10.140625" style="401" customWidth="1"/>
    <col min="12547" max="12547" width="20" style="401" customWidth="1"/>
    <col min="12548" max="12548" width="10.7109375" style="401" customWidth="1"/>
    <col min="12549" max="12549" width="17.5703125" style="401" customWidth="1"/>
    <col min="12550" max="12550" width="5.28515625" style="401" customWidth="1"/>
    <col min="12551" max="12551" width="12.42578125" style="401" customWidth="1"/>
    <col min="12552" max="12552" width="6.140625" style="401" customWidth="1"/>
    <col min="12553" max="12553" width="15" style="401" customWidth="1"/>
    <col min="12554" max="12554" width="13.28515625" style="401" customWidth="1"/>
    <col min="12555" max="12555" width="15.28515625" style="401" customWidth="1"/>
    <col min="12556" max="12556" width="17" style="401" customWidth="1"/>
    <col min="12557" max="12557" width="0" style="401" hidden="1" customWidth="1"/>
    <col min="12558" max="12558" width="7.42578125" style="401" customWidth="1"/>
    <col min="12559" max="12559" width="9.140625" style="401"/>
    <col min="12560" max="12560" width="0" style="401" hidden="1" customWidth="1"/>
    <col min="12561" max="12566" width="9.140625" style="401" customWidth="1"/>
    <col min="12567" max="12800" width="9.140625" style="401"/>
    <col min="12801" max="12801" width="4.7109375" style="401" customWidth="1"/>
    <col min="12802" max="12802" width="10.140625" style="401" customWidth="1"/>
    <col min="12803" max="12803" width="20" style="401" customWidth="1"/>
    <col min="12804" max="12804" width="10.7109375" style="401" customWidth="1"/>
    <col min="12805" max="12805" width="17.5703125" style="401" customWidth="1"/>
    <col min="12806" max="12806" width="5.28515625" style="401" customWidth="1"/>
    <col min="12807" max="12807" width="12.42578125" style="401" customWidth="1"/>
    <col min="12808" max="12808" width="6.140625" style="401" customWidth="1"/>
    <col min="12809" max="12809" width="15" style="401" customWidth="1"/>
    <col min="12810" max="12810" width="13.28515625" style="401" customWidth="1"/>
    <col min="12811" max="12811" width="15.28515625" style="401" customWidth="1"/>
    <col min="12812" max="12812" width="17" style="401" customWidth="1"/>
    <col min="12813" max="12813" width="0" style="401" hidden="1" customWidth="1"/>
    <col min="12814" max="12814" width="7.42578125" style="401" customWidth="1"/>
    <col min="12815" max="12815" width="9.140625" style="401"/>
    <col min="12816" max="12816" width="0" style="401" hidden="1" customWidth="1"/>
    <col min="12817" max="12822" width="9.140625" style="401" customWidth="1"/>
    <col min="12823" max="13056" width="9.140625" style="401"/>
    <col min="13057" max="13057" width="4.7109375" style="401" customWidth="1"/>
    <col min="13058" max="13058" width="10.140625" style="401" customWidth="1"/>
    <col min="13059" max="13059" width="20" style="401" customWidth="1"/>
    <col min="13060" max="13060" width="10.7109375" style="401" customWidth="1"/>
    <col min="13061" max="13061" width="17.5703125" style="401" customWidth="1"/>
    <col min="13062" max="13062" width="5.28515625" style="401" customWidth="1"/>
    <col min="13063" max="13063" width="12.42578125" style="401" customWidth="1"/>
    <col min="13064" max="13064" width="6.140625" style="401" customWidth="1"/>
    <col min="13065" max="13065" width="15" style="401" customWidth="1"/>
    <col min="13066" max="13066" width="13.28515625" style="401" customWidth="1"/>
    <col min="13067" max="13067" width="15.28515625" style="401" customWidth="1"/>
    <col min="13068" max="13068" width="17" style="401" customWidth="1"/>
    <col min="13069" max="13069" width="0" style="401" hidden="1" customWidth="1"/>
    <col min="13070" max="13070" width="7.42578125" style="401" customWidth="1"/>
    <col min="13071" max="13071" width="9.140625" style="401"/>
    <col min="13072" max="13072" width="0" style="401" hidden="1" customWidth="1"/>
    <col min="13073" max="13078" width="9.140625" style="401" customWidth="1"/>
    <col min="13079" max="13312" width="9.140625" style="401"/>
    <col min="13313" max="13313" width="4.7109375" style="401" customWidth="1"/>
    <col min="13314" max="13314" width="10.140625" style="401" customWidth="1"/>
    <col min="13315" max="13315" width="20" style="401" customWidth="1"/>
    <col min="13316" max="13316" width="10.7109375" style="401" customWidth="1"/>
    <col min="13317" max="13317" width="17.5703125" style="401" customWidth="1"/>
    <col min="13318" max="13318" width="5.28515625" style="401" customWidth="1"/>
    <col min="13319" max="13319" width="12.42578125" style="401" customWidth="1"/>
    <col min="13320" max="13320" width="6.140625" style="401" customWidth="1"/>
    <col min="13321" max="13321" width="15" style="401" customWidth="1"/>
    <col min="13322" max="13322" width="13.28515625" style="401" customWidth="1"/>
    <col min="13323" max="13323" width="15.28515625" style="401" customWidth="1"/>
    <col min="13324" max="13324" width="17" style="401" customWidth="1"/>
    <col min="13325" max="13325" width="0" style="401" hidden="1" customWidth="1"/>
    <col min="13326" max="13326" width="7.42578125" style="401" customWidth="1"/>
    <col min="13327" max="13327" width="9.140625" style="401"/>
    <col min="13328" max="13328" width="0" style="401" hidden="1" customWidth="1"/>
    <col min="13329" max="13334" width="9.140625" style="401" customWidth="1"/>
    <col min="13335" max="13568" width="9.140625" style="401"/>
    <col min="13569" max="13569" width="4.7109375" style="401" customWidth="1"/>
    <col min="13570" max="13570" width="10.140625" style="401" customWidth="1"/>
    <col min="13571" max="13571" width="20" style="401" customWidth="1"/>
    <col min="13572" max="13572" width="10.7109375" style="401" customWidth="1"/>
    <col min="13573" max="13573" width="17.5703125" style="401" customWidth="1"/>
    <col min="13574" max="13574" width="5.28515625" style="401" customWidth="1"/>
    <col min="13575" max="13575" width="12.42578125" style="401" customWidth="1"/>
    <col min="13576" max="13576" width="6.140625" style="401" customWidth="1"/>
    <col min="13577" max="13577" width="15" style="401" customWidth="1"/>
    <col min="13578" max="13578" width="13.28515625" style="401" customWidth="1"/>
    <col min="13579" max="13579" width="15.28515625" style="401" customWidth="1"/>
    <col min="13580" max="13580" width="17" style="401" customWidth="1"/>
    <col min="13581" max="13581" width="0" style="401" hidden="1" customWidth="1"/>
    <col min="13582" max="13582" width="7.42578125" style="401" customWidth="1"/>
    <col min="13583" max="13583" width="9.140625" style="401"/>
    <col min="13584" max="13584" width="0" style="401" hidden="1" customWidth="1"/>
    <col min="13585" max="13590" width="9.140625" style="401" customWidth="1"/>
    <col min="13591" max="13824" width="9.140625" style="401"/>
    <col min="13825" max="13825" width="4.7109375" style="401" customWidth="1"/>
    <col min="13826" max="13826" width="10.140625" style="401" customWidth="1"/>
    <col min="13827" max="13827" width="20" style="401" customWidth="1"/>
    <col min="13828" max="13828" width="10.7109375" style="401" customWidth="1"/>
    <col min="13829" max="13829" width="17.5703125" style="401" customWidth="1"/>
    <col min="13830" max="13830" width="5.28515625" style="401" customWidth="1"/>
    <col min="13831" max="13831" width="12.42578125" style="401" customWidth="1"/>
    <col min="13832" max="13832" width="6.140625" style="401" customWidth="1"/>
    <col min="13833" max="13833" width="15" style="401" customWidth="1"/>
    <col min="13834" max="13834" width="13.28515625" style="401" customWidth="1"/>
    <col min="13835" max="13835" width="15.28515625" style="401" customWidth="1"/>
    <col min="13836" max="13836" width="17" style="401" customWidth="1"/>
    <col min="13837" max="13837" width="0" style="401" hidden="1" customWidth="1"/>
    <col min="13838" max="13838" width="7.42578125" style="401" customWidth="1"/>
    <col min="13839" max="13839" width="9.140625" style="401"/>
    <col min="13840" max="13840" width="0" style="401" hidden="1" customWidth="1"/>
    <col min="13841" max="13846" width="9.140625" style="401" customWidth="1"/>
    <col min="13847" max="14080" width="9.140625" style="401"/>
    <col min="14081" max="14081" width="4.7109375" style="401" customWidth="1"/>
    <col min="14082" max="14082" width="10.140625" style="401" customWidth="1"/>
    <col min="14083" max="14083" width="20" style="401" customWidth="1"/>
    <col min="14084" max="14084" width="10.7109375" style="401" customWidth="1"/>
    <col min="14085" max="14085" width="17.5703125" style="401" customWidth="1"/>
    <col min="14086" max="14086" width="5.28515625" style="401" customWidth="1"/>
    <col min="14087" max="14087" width="12.42578125" style="401" customWidth="1"/>
    <col min="14088" max="14088" width="6.140625" style="401" customWidth="1"/>
    <col min="14089" max="14089" width="15" style="401" customWidth="1"/>
    <col min="14090" max="14090" width="13.28515625" style="401" customWidth="1"/>
    <col min="14091" max="14091" width="15.28515625" style="401" customWidth="1"/>
    <col min="14092" max="14092" width="17" style="401" customWidth="1"/>
    <col min="14093" max="14093" width="0" style="401" hidden="1" customWidth="1"/>
    <col min="14094" max="14094" width="7.42578125" style="401" customWidth="1"/>
    <col min="14095" max="14095" width="9.140625" style="401"/>
    <col min="14096" max="14096" width="0" style="401" hidden="1" customWidth="1"/>
    <col min="14097" max="14102" width="9.140625" style="401" customWidth="1"/>
    <col min="14103" max="14336" width="9.140625" style="401"/>
    <col min="14337" max="14337" width="4.7109375" style="401" customWidth="1"/>
    <col min="14338" max="14338" width="10.140625" style="401" customWidth="1"/>
    <col min="14339" max="14339" width="20" style="401" customWidth="1"/>
    <col min="14340" max="14340" width="10.7109375" style="401" customWidth="1"/>
    <col min="14341" max="14341" width="17.5703125" style="401" customWidth="1"/>
    <col min="14342" max="14342" width="5.28515625" style="401" customWidth="1"/>
    <col min="14343" max="14343" width="12.42578125" style="401" customWidth="1"/>
    <col min="14344" max="14344" width="6.140625" style="401" customWidth="1"/>
    <col min="14345" max="14345" width="15" style="401" customWidth="1"/>
    <col min="14346" max="14346" width="13.28515625" style="401" customWidth="1"/>
    <col min="14347" max="14347" width="15.28515625" style="401" customWidth="1"/>
    <col min="14348" max="14348" width="17" style="401" customWidth="1"/>
    <col min="14349" max="14349" width="0" style="401" hidden="1" customWidth="1"/>
    <col min="14350" max="14350" width="7.42578125" style="401" customWidth="1"/>
    <col min="14351" max="14351" width="9.140625" style="401"/>
    <col min="14352" max="14352" width="0" style="401" hidden="1" customWidth="1"/>
    <col min="14353" max="14358" width="9.140625" style="401" customWidth="1"/>
    <col min="14359" max="14592" width="9.140625" style="401"/>
    <col min="14593" max="14593" width="4.7109375" style="401" customWidth="1"/>
    <col min="14594" max="14594" width="10.140625" style="401" customWidth="1"/>
    <col min="14595" max="14595" width="20" style="401" customWidth="1"/>
    <col min="14596" max="14596" width="10.7109375" style="401" customWidth="1"/>
    <col min="14597" max="14597" width="17.5703125" style="401" customWidth="1"/>
    <col min="14598" max="14598" width="5.28515625" style="401" customWidth="1"/>
    <col min="14599" max="14599" width="12.42578125" style="401" customWidth="1"/>
    <col min="14600" max="14600" width="6.140625" style="401" customWidth="1"/>
    <col min="14601" max="14601" width="15" style="401" customWidth="1"/>
    <col min="14602" max="14602" width="13.28515625" style="401" customWidth="1"/>
    <col min="14603" max="14603" width="15.28515625" style="401" customWidth="1"/>
    <col min="14604" max="14604" width="17" style="401" customWidth="1"/>
    <col min="14605" max="14605" width="0" style="401" hidden="1" customWidth="1"/>
    <col min="14606" max="14606" width="7.42578125" style="401" customWidth="1"/>
    <col min="14607" max="14607" width="9.140625" style="401"/>
    <col min="14608" max="14608" width="0" style="401" hidden="1" customWidth="1"/>
    <col min="14609" max="14614" width="9.140625" style="401" customWidth="1"/>
    <col min="14615" max="14848" width="9.140625" style="401"/>
    <col min="14849" max="14849" width="4.7109375" style="401" customWidth="1"/>
    <col min="14850" max="14850" width="10.140625" style="401" customWidth="1"/>
    <col min="14851" max="14851" width="20" style="401" customWidth="1"/>
    <col min="14852" max="14852" width="10.7109375" style="401" customWidth="1"/>
    <col min="14853" max="14853" width="17.5703125" style="401" customWidth="1"/>
    <col min="14854" max="14854" width="5.28515625" style="401" customWidth="1"/>
    <col min="14855" max="14855" width="12.42578125" style="401" customWidth="1"/>
    <col min="14856" max="14856" width="6.140625" style="401" customWidth="1"/>
    <col min="14857" max="14857" width="15" style="401" customWidth="1"/>
    <col min="14858" max="14858" width="13.28515625" style="401" customWidth="1"/>
    <col min="14859" max="14859" width="15.28515625" style="401" customWidth="1"/>
    <col min="14860" max="14860" width="17" style="401" customWidth="1"/>
    <col min="14861" max="14861" width="0" style="401" hidden="1" customWidth="1"/>
    <col min="14862" max="14862" width="7.42578125" style="401" customWidth="1"/>
    <col min="14863" max="14863" width="9.140625" style="401"/>
    <col min="14864" max="14864" width="0" style="401" hidden="1" customWidth="1"/>
    <col min="14865" max="14870" width="9.140625" style="401" customWidth="1"/>
    <col min="14871" max="15104" width="9.140625" style="401"/>
    <col min="15105" max="15105" width="4.7109375" style="401" customWidth="1"/>
    <col min="15106" max="15106" width="10.140625" style="401" customWidth="1"/>
    <col min="15107" max="15107" width="20" style="401" customWidth="1"/>
    <col min="15108" max="15108" width="10.7109375" style="401" customWidth="1"/>
    <col min="15109" max="15109" width="17.5703125" style="401" customWidth="1"/>
    <col min="15110" max="15110" width="5.28515625" style="401" customWidth="1"/>
    <col min="15111" max="15111" width="12.42578125" style="401" customWidth="1"/>
    <col min="15112" max="15112" width="6.140625" style="401" customWidth="1"/>
    <col min="15113" max="15113" width="15" style="401" customWidth="1"/>
    <col min="15114" max="15114" width="13.28515625" style="401" customWidth="1"/>
    <col min="15115" max="15115" width="15.28515625" style="401" customWidth="1"/>
    <col min="15116" max="15116" width="17" style="401" customWidth="1"/>
    <col min="15117" max="15117" width="0" style="401" hidden="1" customWidth="1"/>
    <col min="15118" max="15118" width="7.42578125" style="401" customWidth="1"/>
    <col min="15119" max="15119" width="9.140625" style="401"/>
    <col min="15120" max="15120" width="0" style="401" hidden="1" customWidth="1"/>
    <col min="15121" max="15126" width="9.140625" style="401" customWidth="1"/>
    <col min="15127" max="15360" width="9.140625" style="401"/>
    <col min="15361" max="15361" width="4.7109375" style="401" customWidth="1"/>
    <col min="15362" max="15362" width="10.140625" style="401" customWidth="1"/>
    <col min="15363" max="15363" width="20" style="401" customWidth="1"/>
    <col min="15364" max="15364" width="10.7109375" style="401" customWidth="1"/>
    <col min="15365" max="15365" width="17.5703125" style="401" customWidth="1"/>
    <col min="15366" max="15366" width="5.28515625" style="401" customWidth="1"/>
    <col min="15367" max="15367" width="12.42578125" style="401" customWidth="1"/>
    <col min="15368" max="15368" width="6.140625" style="401" customWidth="1"/>
    <col min="15369" max="15369" width="15" style="401" customWidth="1"/>
    <col min="15370" max="15370" width="13.28515625" style="401" customWidth="1"/>
    <col min="15371" max="15371" width="15.28515625" style="401" customWidth="1"/>
    <col min="15372" max="15372" width="17" style="401" customWidth="1"/>
    <col min="15373" max="15373" width="0" style="401" hidden="1" customWidth="1"/>
    <col min="15374" max="15374" width="7.42578125" style="401" customWidth="1"/>
    <col min="15375" max="15375" width="9.140625" style="401"/>
    <col min="15376" max="15376" width="0" style="401" hidden="1" customWidth="1"/>
    <col min="15377" max="15382" width="9.140625" style="401" customWidth="1"/>
    <col min="15383" max="15616" width="9.140625" style="401"/>
    <col min="15617" max="15617" width="4.7109375" style="401" customWidth="1"/>
    <col min="15618" max="15618" width="10.140625" style="401" customWidth="1"/>
    <col min="15619" max="15619" width="20" style="401" customWidth="1"/>
    <col min="15620" max="15620" width="10.7109375" style="401" customWidth="1"/>
    <col min="15621" max="15621" width="17.5703125" style="401" customWidth="1"/>
    <col min="15622" max="15622" width="5.28515625" style="401" customWidth="1"/>
    <col min="15623" max="15623" width="12.42578125" style="401" customWidth="1"/>
    <col min="15624" max="15624" width="6.140625" style="401" customWidth="1"/>
    <col min="15625" max="15625" width="15" style="401" customWidth="1"/>
    <col min="15626" max="15626" width="13.28515625" style="401" customWidth="1"/>
    <col min="15627" max="15627" width="15.28515625" style="401" customWidth="1"/>
    <col min="15628" max="15628" width="17" style="401" customWidth="1"/>
    <col min="15629" max="15629" width="0" style="401" hidden="1" customWidth="1"/>
    <col min="15630" max="15630" width="7.42578125" style="401" customWidth="1"/>
    <col min="15631" max="15631" width="9.140625" style="401"/>
    <col min="15632" max="15632" width="0" style="401" hidden="1" customWidth="1"/>
    <col min="15633" max="15638" width="9.140625" style="401" customWidth="1"/>
    <col min="15639" max="15872" width="9.140625" style="401"/>
    <col min="15873" max="15873" width="4.7109375" style="401" customWidth="1"/>
    <col min="15874" max="15874" width="10.140625" style="401" customWidth="1"/>
    <col min="15875" max="15875" width="20" style="401" customWidth="1"/>
    <col min="15876" max="15876" width="10.7109375" style="401" customWidth="1"/>
    <col min="15877" max="15877" width="17.5703125" style="401" customWidth="1"/>
    <col min="15878" max="15878" width="5.28515625" style="401" customWidth="1"/>
    <col min="15879" max="15879" width="12.42578125" style="401" customWidth="1"/>
    <col min="15880" max="15880" width="6.140625" style="401" customWidth="1"/>
    <col min="15881" max="15881" width="15" style="401" customWidth="1"/>
    <col min="15882" max="15882" width="13.28515625" style="401" customWidth="1"/>
    <col min="15883" max="15883" width="15.28515625" style="401" customWidth="1"/>
    <col min="15884" max="15884" width="17" style="401" customWidth="1"/>
    <col min="15885" max="15885" width="0" style="401" hidden="1" customWidth="1"/>
    <col min="15886" max="15886" width="7.42578125" style="401" customWidth="1"/>
    <col min="15887" max="15887" width="9.140625" style="401"/>
    <col min="15888" max="15888" width="0" style="401" hidden="1" customWidth="1"/>
    <col min="15889" max="15894" width="9.140625" style="401" customWidth="1"/>
    <col min="15895" max="16128" width="9.140625" style="401"/>
    <col min="16129" max="16129" width="4.7109375" style="401" customWidth="1"/>
    <col min="16130" max="16130" width="10.140625" style="401" customWidth="1"/>
    <col min="16131" max="16131" width="20" style="401" customWidth="1"/>
    <col min="16132" max="16132" width="10.7109375" style="401" customWidth="1"/>
    <col min="16133" max="16133" width="17.5703125" style="401" customWidth="1"/>
    <col min="16134" max="16134" width="5.28515625" style="401" customWidth="1"/>
    <col min="16135" max="16135" width="12.42578125" style="401" customWidth="1"/>
    <col min="16136" max="16136" width="6.140625" style="401" customWidth="1"/>
    <col min="16137" max="16137" width="15" style="401" customWidth="1"/>
    <col min="16138" max="16138" width="13.28515625" style="401" customWidth="1"/>
    <col min="16139" max="16139" width="15.28515625" style="401" customWidth="1"/>
    <col min="16140" max="16140" width="17" style="401" customWidth="1"/>
    <col min="16141" max="16141" width="0" style="401" hidden="1" customWidth="1"/>
    <col min="16142" max="16142" width="7.42578125" style="401" customWidth="1"/>
    <col min="16143" max="16143" width="9.140625" style="401"/>
    <col min="16144" max="16144" width="0" style="401" hidden="1" customWidth="1"/>
    <col min="16145" max="16150" width="9.140625" style="401" customWidth="1"/>
    <col min="16151" max="16384" width="9.140625" style="401"/>
  </cols>
  <sheetData>
    <row r="1" spans="1:256">
      <c r="A1" s="12" t="str">
        <f>'[2]Bang DMTK'!A1</f>
        <v>Đơn vị: Công ty TNHH Thanh Minh</v>
      </c>
      <c r="B1" s="481"/>
      <c r="C1" s="12"/>
      <c r="D1" s="481"/>
      <c r="E1" s="482"/>
      <c r="F1" s="13"/>
      <c r="G1" s="13"/>
      <c r="H1" s="13"/>
      <c r="I1" s="13"/>
      <c r="J1" s="13"/>
      <c r="K1" s="13"/>
      <c r="L1" s="13"/>
      <c r="M1" s="16"/>
    </row>
    <row r="2" spans="1:256">
      <c r="A2" s="12" t="str">
        <f>'[2]Bang DMTK'!A2</f>
        <v>Địa chỉ: 45/9- Phạm Văn Chiêu- F14- Gò Vấp- TP.HCM</v>
      </c>
      <c r="B2" s="15"/>
      <c r="C2" s="14"/>
      <c r="D2" s="15"/>
      <c r="E2" s="483"/>
      <c r="F2" s="13"/>
      <c r="G2" s="13"/>
      <c r="H2" s="13"/>
      <c r="I2" s="13"/>
      <c r="J2" s="13"/>
      <c r="K2" s="21" t="s">
        <v>549</v>
      </c>
      <c r="L2" s="13"/>
      <c r="M2" s="16"/>
    </row>
    <row r="3" spans="1:256">
      <c r="A3" s="12" t="str">
        <f>'[2]Bang DMTK'!A3</f>
        <v>MST: 0305225720</v>
      </c>
      <c r="B3" s="15"/>
      <c r="C3" s="15"/>
      <c r="D3" s="15"/>
      <c r="E3" s="484"/>
      <c r="F3" s="13"/>
      <c r="G3" s="13"/>
      <c r="H3" s="13"/>
      <c r="I3" s="13"/>
      <c r="J3" s="13"/>
      <c r="K3" s="21"/>
      <c r="L3" s="13"/>
      <c r="M3" s="16"/>
    </row>
    <row r="4" spans="1:256" ht="27">
      <c r="A4" s="377" t="s">
        <v>342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</row>
    <row r="5" spans="1:256" ht="20.25">
      <c r="A5" s="378" t="s">
        <v>526</v>
      </c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</row>
    <row r="6" spans="1:256">
      <c r="A6" s="16"/>
      <c r="B6" s="485"/>
      <c r="C6" s="16"/>
      <c r="D6" s="485"/>
      <c r="E6" s="121"/>
      <c r="F6" s="13"/>
      <c r="G6" s="13"/>
      <c r="H6" s="13"/>
      <c r="I6" s="13"/>
      <c r="J6" s="13"/>
      <c r="K6" s="13"/>
      <c r="L6" s="21" t="s">
        <v>2</v>
      </c>
      <c r="M6" s="16"/>
    </row>
    <row r="7" spans="1:256" s="490" customFormat="1" ht="57">
      <c r="A7" s="486" t="s">
        <v>0</v>
      </c>
      <c r="B7" s="487" t="s">
        <v>343</v>
      </c>
      <c r="C7" s="486" t="s">
        <v>344</v>
      </c>
      <c r="D7" s="487" t="s">
        <v>345</v>
      </c>
      <c r="E7" s="488" t="s">
        <v>346</v>
      </c>
      <c r="F7" s="489" t="s">
        <v>347</v>
      </c>
      <c r="G7" s="489" t="s">
        <v>348</v>
      </c>
      <c r="H7" s="489" t="s">
        <v>349</v>
      </c>
      <c r="I7" s="489" t="s">
        <v>350</v>
      </c>
      <c r="J7" s="489" t="s">
        <v>351</v>
      </c>
      <c r="K7" s="489" t="s">
        <v>352</v>
      </c>
      <c r="L7" s="489" t="s">
        <v>296</v>
      </c>
      <c r="M7" s="487" t="s">
        <v>297</v>
      </c>
    </row>
    <row r="8" spans="1:256" s="496" customFormat="1" ht="15">
      <c r="A8" s="491" t="s">
        <v>5</v>
      </c>
      <c r="B8" s="491" t="s">
        <v>6</v>
      </c>
      <c r="C8" s="491" t="s">
        <v>7</v>
      </c>
      <c r="D8" s="491" t="s">
        <v>8</v>
      </c>
      <c r="E8" s="492">
        <v>1</v>
      </c>
      <c r="F8" s="493">
        <v>2</v>
      </c>
      <c r="G8" s="494" t="s">
        <v>353</v>
      </c>
      <c r="H8" s="493">
        <v>4</v>
      </c>
      <c r="I8" s="494" t="s">
        <v>354</v>
      </c>
      <c r="J8" s="494" t="s">
        <v>355</v>
      </c>
      <c r="K8" s="494" t="s">
        <v>356</v>
      </c>
      <c r="L8" s="494" t="s">
        <v>357</v>
      </c>
      <c r="M8" s="491" t="s">
        <v>9</v>
      </c>
      <c r="N8" s="495"/>
      <c r="O8" s="495"/>
      <c r="P8" s="495"/>
      <c r="Q8" s="495"/>
      <c r="R8" s="495"/>
      <c r="S8" s="495"/>
      <c r="T8" s="495"/>
      <c r="U8" s="495"/>
      <c r="V8" s="495"/>
      <c r="W8" s="495"/>
      <c r="X8" s="495"/>
      <c r="Y8" s="495"/>
      <c r="Z8" s="495"/>
      <c r="AA8" s="495"/>
      <c r="AB8" s="495"/>
      <c r="AC8" s="495"/>
      <c r="AD8" s="495"/>
      <c r="AE8" s="495"/>
      <c r="AF8" s="495"/>
      <c r="AG8" s="495"/>
      <c r="AH8" s="495"/>
      <c r="AI8" s="495"/>
      <c r="AJ8" s="495"/>
      <c r="AK8" s="495"/>
      <c r="AL8" s="495"/>
      <c r="AM8" s="495"/>
      <c r="AN8" s="495"/>
      <c r="AO8" s="495"/>
      <c r="AP8" s="495"/>
      <c r="AQ8" s="495"/>
      <c r="AR8" s="495"/>
      <c r="AS8" s="495"/>
      <c r="AT8" s="495"/>
      <c r="AU8" s="495"/>
      <c r="AV8" s="495"/>
      <c r="AW8" s="495"/>
      <c r="AX8" s="495"/>
      <c r="AY8" s="495"/>
      <c r="AZ8" s="495"/>
      <c r="BA8" s="495"/>
      <c r="BB8" s="495"/>
      <c r="BC8" s="495"/>
      <c r="BD8" s="495"/>
      <c r="BE8" s="495"/>
      <c r="BF8" s="495"/>
      <c r="BG8" s="495"/>
      <c r="BH8" s="495"/>
      <c r="BI8" s="495"/>
      <c r="BJ8" s="495"/>
      <c r="BK8" s="495"/>
      <c r="BL8" s="495"/>
      <c r="BM8" s="495"/>
      <c r="BN8" s="495"/>
      <c r="BO8" s="495"/>
      <c r="BP8" s="495"/>
      <c r="BQ8" s="495"/>
      <c r="BR8" s="495"/>
      <c r="BS8" s="495"/>
      <c r="BT8" s="495"/>
      <c r="BU8" s="495"/>
      <c r="BV8" s="495"/>
      <c r="BW8" s="495"/>
      <c r="BX8" s="495"/>
      <c r="BY8" s="495"/>
      <c r="BZ8" s="495"/>
      <c r="CA8" s="495"/>
      <c r="CB8" s="495"/>
      <c r="CC8" s="495"/>
      <c r="CD8" s="495"/>
      <c r="CE8" s="495"/>
      <c r="CF8" s="495"/>
      <c r="CG8" s="495"/>
      <c r="CH8" s="495"/>
      <c r="CI8" s="495"/>
      <c r="CJ8" s="495"/>
      <c r="CK8" s="495"/>
      <c r="CL8" s="495"/>
      <c r="CM8" s="495"/>
      <c r="CN8" s="495"/>
      <c r="CO8" s="495"/>
      <c r="CP8" s="495"/>
      <c r="CQ8" s="495"/>
      <c r="CR8" s="495"/>
      <c r="CS8" s="495"/>
      <c r="CT8" s="495"/>
      <c r="CU8" s="495"/>
      <c r="CV8" s="495"/>
      <c r="CW8" s="495"/>
      <c r="CX8" s="495"/>
      <c r="CY8" s="495"/>
      <c r="CZ8" s="495"/>
      <c r="DA8" s="495"/>
      <c r="DB8" s="495"/>
      <c r="DC8" s="495"/>
      <c r="DD8" s="495"/>
      <c r="DE8" s="495"/>
      <c r="DF8" s="495"/>
      <c r="DG8" s="495"/>
      <c r="DH8" s="495"/>
      <c r="DI8" s="495"/>
      <c r="DJ8" s="495"/>
      <c r="DK8" s="495"/>
      <c r="DL8" s="495"/>
      <c r="DM8" s="495"/>
      <c r="DN8" s="495"/>
      <c r="DO8" s="495"/>
      <c r="DP8" s="495"/>
      <c r="DQ8" s="495"/>
      <c r="DR8" s="495"/>
      <c r="DS8" s="495"/>
      <c r="DT8" s="495"/>
      <c r="DU8" s="495"/>
      <c r="DV8" s="495"/>
      <c r="DW8" s="495"/>
      <c r="DX8" s="495"/>
      <c r="DY8" s="495"/>
      <c r="DZ8" s="495"/>
      <c r="EA8" s="495"/>
      <c r="EB8" s="495"/>
      <c r="EC8" s="495"/>
      <c r="ED8" s="495"/>
      <c r="EE8" s="495"/>
      <c r="EF8" s="495"/>
      <c r="EG8" s="495"/>
      <c r="EH8" s="495"/>
      <c r="EI8" s="495"/>
      <c r="EJ8" s="495"/>
      <c r="EK8" s="495"/>
      <c r="EL8" s="495"/>
      <c r="EM8" s="495"/>
      <c r="EN8" s="495"/>
      <c r="EO8" s="495"/>
      <c r="EP8" s="495"/>
      <c r="EQ8" s="495"/>
      <c r="ER8" s="495"/>
      <c r="ES8" s="495"/>
      <c r="ET8" s="495"/>
      <c r="EU8" s="495"/>
      <c r="EV8" s="495"/>
      <c r="EW8" s="495"/>
      <c r="EX8" s="495"/>
      <c r="EY8" s="495"/>
      <c r="EZ8" s="495"/>
      <c r="FA8" s="495"/>
      <c r="FB8" s="495"/>
      <c r="FC8" s="495"/>
      <c r="FD8" s="495"/>
      <c r="FE8" s="495"/>
      <c r="FF8" s="495"/>
      <c r="FG8" s="495"/>
      <c r="FH8" s="495"/>
      <c r="FI8" s="495"/>
      <c r="FJ8" s="495"/>
      <c r="FK8" s="495"/>
      <c r="FL8" s="495"/>
      <c r="FM8" s="495"/>
      <c r="FN8" s="495"/>
      <c r="FO8" s="495"/>
      <c r="FP8" s="495"/>
      <c r="FQ8" s="495"/>
      <c r="FR8" s="495"/>
      <c r="FS8" s="495"/>
      <c r="FT8" s="495"/>
      <c r="FU8" s="495"/>
      <c r="FV8" s="495"/>
      <c r="FW8" s="495"/>
      <c r="FX8" s="495"/>
      <c r="FY8" s="495"/>
      <c r="FZ8" s="495"/>
      <c r="GA8" s="495"/>
      <c r="GB8" s="495"/>
      <c r="GC8" s="495"/>
      <c r="GD8" s="495"/>
      <c r="GE8" s="495"/>
      <c r="GF8" s="495"/>
      <c r="GG8" s="495"/>
      <c r="GH8" s="495"/>
      <c r="GI8" s="495"/>
      <c r="GJ8" s="495"/>
      <c r="GK8" s="495"/>
      <c r="GL8" s="495"/>
      <c r="GM8" s="495"/>
      <c r="GN8" s="495"/>
      <c r="GO8" s="495"/>
      <c r="GP8" s="495"/>
      <c r="GQ8" s="495"/>
      <c r="GR8" s="495"/>
      <c r="GS8" s="495"/>
      <c r="GT8" s="495"/>
      <c r="GU8" s="495"/>
      <c r="GV8" s="495"/>
      <c r="GW8" s="495"/>
      <c r="GX8" s="495"/>
      <c r="GY8" s="495"/>
      <c r="GZ8" s="495"/>
      <c r="HA8" s="495"/>
      <c r="HB8" s="495"/>
      <c r="HC8" s="495"/>
      <c r="HD8" s="495"/>
      <c r="HE8" s="495"/>
      <c r="HF8" s="495"/>
      <c r="HG8" s="495"/>
      <c r="HH8" s="495"/>
      <c r="HI8" s="495"/>
      <c r="HJ8" s="495"/>
      <c r="HK8" s="495"/>
      <c r="HL8" s="495"/>
      <c r="HM8" s="495"/>
      <c r="HN8" s="495"/>
      <c r="HO8" s="495"/>
      <c r="HP8" s="495"/>
      <c r="HQ8" s="495"/>
      <c r="HR8" s="495"/>
      <c r="HS8" s="495"/>
      <c r="HT8" s="495"/>
      <c r="HU8" s="495"/>
      <c r="HV8" s="495"/>
      <c r="HW8" s="495"/>
      <c r="HX8" s="495"/>
      <c r="HY8" s="495"/>
      <c r="HZ8" s="495"/>
      <c r="IA8" s="495"/>
      <c r="IB8" s="495"/>
      <c r="IC8" s="495"/>
      <c r="ID8" s="495"/>
      <c r="IE8" s="495"/>
      <c r="IF8" s="495"/>
      <c r="IG8" s="495"/>
      <c r="IH8" s="495"/>
      <c r="II8" s="495"/>
      <c r="IJ8" s="495"/>
      <c r="IK8" s="495"/>
      <c r="IL8" s="495"/>
      <c r="IM8" s="495"/>
      <c r="IN8" s="495"/>
      <c r="IO8" s="495"/>
      <c r="IP8" s="495"/>
      <c r="IQ8" s="495"/>
      <c r="IR8" s="495"/>
      <c r="IS8" s="495"/>
      <c r="IT8" s="495"/>
      <c r="IU8" s="495"/>
      <c r="IV8" s="495"/>
    </row>
    <row r="9" spans="1:256" s="496" customFormat="1" ht="17.100000000000001" customHeight="1">
      <c r="A9" s="497" t="s">
        <v>13</v>
      </c>
      <c r="B9" s="498" t="s">
        <v>535</v>
      </c>
      <c r="C9" s="499"/>
      <c r="D9" s="500"/>
      <c r="E9" s="501">
        <f>SUBTOTAL(9,E10:E11)</f>
        <v>3350000000</v>
      </c>
      <c r="F9" s="501">
        <f t="shared" ref="F9:L9" si="0">SUBTOTAL(9,F10:F11)</f>
        <v>30</v>
      </c>
      <c r="G9" s="501">
        <f t="shared" si="0"/>
        <v>17500000</v>
      </c>
      <c r="H9" s="501">
        <f t="shared" si="0"/>
        <v>96</v>
      </c>
      <c r="I9" s="501">
        <f t="shared" si="0"/>
        <v>840000000</v>
      </c>
      <c r="J9" s="501">
        <f t="shared" si="0"/>
        <v>12701613.129032258</v>
      </c>
      <c r="K9" s="501">
        <f t="shared" si="0"/>
        <v>852701613.12903225</v>
      </c>
      <c r="L9" s="501">
        <f t="shared" si="0"/>
        <v>2497298386.8709679</v>
      </c>
      <c r="M9" s="502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  <c r="AF9" s="495"/>
      <c r="AG9" s="495"/>
      <c r="AH9" s="495"/>
      <c r="AI9" s="495"/>
      <c r="AJ9" s="495"/>
      <c r="AK9" s="495"/>
      <c r="AL9" s="495"/>
      <c r="AM9" s="495"/>
      <c r="AN9" s="495"/>
      <c r="AO9" s="495"/>
      <c r="AP9" s="495"/>
      <c r="AQ9" s="495"/>
      <c r="AR9" s="495"/>
      <c r="AS9" s="495"/>
      <c r="AT9" s="495"/>
      <c r="AU9" s="495"/>
      <c r="AV9" s="495"/>
      <c r="AW9" s="495"/>
      <c r="AX9" s="495"/>
      <c r="AY9" s="495"/>
      <c r="AZ9" s="495"/>
      <c r="BA9" s="495"/>
      <c r="BB9" s="495"/>
      <c r="BC9" s="495"/>
      <c r="BD9" s="495"/>
      <c r="BE9" s="495"/>
      <c r="BF9" s="495"/>
      <c r="BG9" s="495"/>
      <c r="BH9" s="495"/>
      <c r="BI9" s="495"/>
      <c r="BJ9" s="495"/>
      <c r="BK9" s="495"/>
      <c r="BL9" s="495"/>
      <c r="BM9" s="495"/>
      <c r="BN9" s="495"/>
      <c r="BO9" s="495"/>
      <c r="BP9" s="495"/>
      <c r="BQ9" s="495"/>
      <c r="BR9" s="495"/>
      <c r="BS9" s="495"/>
      <c r="BT9" s="495"/>
      <c r="BU9" s="495"/>
      <c r="BV9" s="495"/>
      <c r="BW9" s="495"/>
      <c r="BX9" s="495"/>
      <c r="BY9" s="495"/>
      <c r="BZ9" s="495"/>
      <c r="CA9" s="495"/>
      <c r="CB9" s="495"/>
      <c r="CC9" s="495"/>
      <c r="CD9" s="495"/>
      <c r="CE9" s="495"/>
      <c r="CF9" s="495"/>
      <c r="CG9" s="495"/>
      <c r="CH9" s="495"/>
      <c r="CI9" s="495"/>
      <c r="CJ9" s="495"/>
      <c r="CK9" s="495"/>
      <c r="CL9" s="495"/>
      <c r="CM9" s="495"/>
      <c r="CN9" s="495"/>
      <c r="CO9" s="495"/>
      <c r="CP9" s="495"/>
      <c r="CQ9" s="495"/>
      <c r="CR9" s="495"/>
      <c r="CS9" s="495"/>
      <c r="CT9" s="495"/>
      <c r="CU9" s="495"/>
      <c r="CV9" s="495"/>
      <c r="CW9" s="495"/>
      <c r="CX9" s="495"/>
      <c r="CY9" s="495"/>
      <c r="CZ9" s="495"/>
      <c r="DA9" s="495"/>
      <c r="DB9" s="495"/>
      <c r="DC9" s="495"/>
      <c r="DD9" s="495"/>
      <c r="DE9" s="495"/>
      <c r="DF9" s="495"/>
      <c r="DG9" s="495"/>
      <c r="DH9" s="495"/>
      <c r="DI9" s="495"/>
      <c r="DJ9" s="495"/>
      <c r="DK9" s="495"/>
      <c r="DL9" s="495"/>
      <c r="DM9" s="495"/>
      <c r="DN9" s="495"/>
      <c r="DO9" s="495"/>
      <c r="DP9" s="495"/>
      <c r="DQ9" s="495"/>
      <c r="DR9" s="495"/>
      <c r="DS9" s="495"/>
      <c r="DT9" s="495"/>
      <c r="DU9" s="495"/>
      <c r="DV9" s="495"/>
      <c r="DW9" s="495"/>
      <c r="DX9" s="495"/>
      <c r="DY9" s="495"/>
      <c r="DZ9" s="495"/>
      <c r="EA9" s="495"/>
      <c r="EB9" s="495"/>
      <c r="EC9" s="495"/>
      <c r="ED9" s="495"/>
      <c r="EE9" s="495"/>
      <c r="EF9" s="495"/>
      <c r="EG9" s="495"/>
      <c r="EH9" s="495"/>
      <c r="EI9" s="495"/>
      <c r="EJ9" s="495"/>
      <c r="EK9" s="495"/>
      <c r="EL9" s="495"/>
      <c r="EM9" s="495"/>
      <c r="EN9" s="495"/>
      <c r="EO9" s="495"/>
      <c r="EP9" s="495"/>
      <c r="EQ9" s="495"/>
      <c r="ER9" s="495"/>
      <c r="ES9" s="495"/>
      <c r="ET9" s="495"/>
      <c r="EU9" s="495"/>
      <c r="EV9" s="495"/>
      <c r="EW9" s="495"/>
      <c r="EX9" s="495"/>
      <c r="EY9" s="495"/>
      <c r="EZ9" s="495"/>
      <c r="FA9" s="495"/>
      <c r="FB9" s="495"/>
      <c r="FC9" s="495"/>
      <c r="FD9" s="495"/>
      <c r="FE9" s="495"/>
      <c r="FF9" s="495"/>
      <c r="FG9" s="495"/>
      <c r="FH9" s="495"/>
      <c r="FI9" s="495"/>
      <c r="FJ9" s="495"/>
      <c r="FK9" s="495"/>
      <c r="FL9" s="495"/>
      <c r="FM9" s="495"/>
      <c r="FN9" s="495"/>
      <c r="FO9" s="495"/>
      <c r="FP9" s="495"/>
      <c r="FQ9" s="495"/>
      <c r="FR9" s="495"/>
      <c r="FS9" s="495"/>
      <c r="FT9" s="495"/>
      <c r="FU9" s="495"/>
      <c r="FV9" s="495"/>
      <c r="FW9" s="495"/>
      <c r="FX9" s="495"/>
      <c r="FY9" s="495"/>
      <c r="FZ9" s="495"/>
      <c r="GA9" s="495"/>
      <c r="GB9" s="495"/>
      <c r="GC9" s="495"/>
      <c r="GD9" s="495"/>
      <c r="GE9" s="495"/>
      <c r="GF9" s="495"/>
      <c r="GG9" s="495"/>
      <c r="GH9" s="495"/>
      <c r="GI9" s="495"/>
      <c r="GJ9" s="495"/>
      <c r="GK9" s="495"/>
      <c r="GL9" s="495"/>
      <c r="GM9" s="495"/>
      <c r="GN9" s="495"/>
      <c r="GO9" s="495"/>
      <c r="GP9" s="495"/>
      <c r="GQ9" s="495"/>
      <c r="GR9" s="495"/>
      <c r="GS9" s="495"/>
      <c r="GT9" s="495"/>
      <c r="GU9" s="495"/>
      <c r="GV9" s="495"/>
      <c r="GW9" s="495"/>
      <c r="GX9" s="495"/>
      <c r="GY9" s="495"/>
      <c r="GZ9" s="495"/>
      <c r="HA9" s="495"/>
      <c r="HB9" s="495"/>
      <c r="HC9" s="495"/>
      <c r="HD9" s="495"/>
      <c r="HE9" s="495"/>
      <c r="HF9" s="495"/>
      <c r="HG9" s="495"/>
      <c r="HH9" s="495"/>
      <c r="HI9" s="495"/>
      <c r="HJ9" s="495"/>
      <c r="HK9" s="495"/>
      <c r="HL9" s="495"/>
      <c r="HM9" s="495"/>
      <c r="HN9" s="495"/>
      <c r="HO9" s="495"/>
      <c r="HP9" s="495"/>
      <c r="HQ9" s="495"/>
      <c r="HR9" s="495"/>
      <c r="HS9" s="495"/>
      <c r="HT9" s="495"/>
      <c r="HU9" s="495"/>
      <c r="HV9" s="495"/>
      <c r="HW9" s="495"/>
      <c r="HX9" s="495"/>
      <c r="HY9" s="495"/>
      <c r="HZ9" s="495"/>
      <c r="IA9" s="495"/>
      <c r="IB9" s="495"/>
      <c r="IC9" s="495"/>
      <c r="ID9" s="495"/>
      <c r="IE9" s="495"/>
      <c r="IF9" s="495"/>
      <c r="IG9" s="495"/>
      <c r="IH9" s="495"/>
      <c r="II9" s="495"/>
      <c r="IJ9" s="495"/>
      <c r="IK9" s="495"/>
      <c r="IL9" s="495"/>
      <c r="IM9" s="495"/>
      <c r="IN9" s="495"/>
      <c r="IO9" s="495"/>
      <c r="IP9" s="495"/>
      <c r="IQ9" s="495"/>
      <c r="IR9" s="495"/>
      <c r="IS9" s="495"/>
      <c r="IT9" s="495"/>
      <c r="IU9" s="495"/>
      <c r="IV9" s="495"/>
    </row>
    <row r="10" spans="1:256" s="496" customFormat="1" ht="15">
      <c r="A10" s="503" t="s">
        <v>298</v>
      </c>
      <c r="B10" s="504" t="s">
        <v>550</v>
      </c>
      <c r="C10" s="504" t="s">
        <v>332</v>
      </c>
      <c r="D10" s="505">
        <v>43831</v>
      </c>
      <c r="E10" s="506">
        <v>2500000000</v>
      </c>
      <c r="F10" s="507">
        <v>20</v>
      </c>
      <c r="G10" s="507">
        <v>10416667</v>
      </c>
      <c r="H10" s="507">
        <f>DATEDIF(D10,"31/12/2023","m")+1</f>
        <v>48</v>
      </c>
      <c r="I10" s="507">
        <v>500000016</v>
      </c>
      <c r="J10" s="507">
        <f>G10</f>
        <v>10416667</v>
      </c>
      <c r="K10" s="507">
        <f>I10+J10</f>
        <v>510416683</v>
      </c>
      <c r="L10" s="507">
        <f>E10-K10</f>
        <v>1989583317</v>
      </c>
      <c r="M10" s="508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5"/>
      <c r="AH10" s="495"/>
      <c r="AI10" s="495"/>
      <c r="AJ10" s="495"/>
      <c r="AK10" s="495"/>
      <c r="AL10" s="495"/>
      <c r="AM10" s="495"/>
      <c r="AN10" s="495"/>
      <c r="AO10" s="495"/>
      <c r="AP10" s="495"/>
      <c r="AQ10" s="495"/>
      <c r="AR10" s="495"/>
      <c r="AS10" s="495"/>
      <c r="AT10" s="495"/>
      <c r="AU10" s="495"/>
      <c r="AV10" s="495"/>
      <c r="AW10" s="495"/>
      <c r="AX10" s="495"/>
      <c r="AY10" s="495"/>
      <c r="AZ10" s="495"/>
      <c r="BA10" s="495"/>
      <c r="BB10" s="495"/>
      <c r="BC10" s="495"/>
      <c r="BD10" s="495"/>
      <c r="BE10" s="495"/>
      <c r="BF10" s="495"/>
      <c r="BG10" s="495"/>
      <c r="BH10" s="495"/>
      <c r="BI10" s="495"/>
      <c r="BJ10" s="495"/>
      <c r="BK10" s="495"/>
      <c r="BL10" s="495"/>
      <c r="BM10" s="495"/>
      <c r="BN10" s="495"/>
      <c r="BO10" s="495"/>
      <c r="BP10" s="495"/>
      <c r="BQ10" s="495"/>
      <c r="BR10" s="495"/>
      <c r="BS10" s="495"/>
      <c r="BT10" s="495"/>
      <c r="BU10" s="495"/>
      <c r="BV10" s="495"/>
      <c r="BW10" s="495"/>
      <c r="BX10" s="495"/>
      <c r="BY10" s="495"/>
      <c r="BZ10" s="495"/>
      <c r="CA10" s="495"/>
      <c r="CB10" s="495"/>
      <c r="CC10" s="495"/>
      <c r="CD10" s="495"/>
      <c r="CE10" s="495"/>
      <c r="CF10" s="495"/>
      <c r="CG10" s="495"/>
      <c r="CH10" s="495"/>
      <c r="CI10" s="495"/>
      <c r="CJ10" s="495"/>
      <c r="CK10" s="495"/>
      <c r="CL10" s="495"/>
      <c r="CM10" s="495"/>
      <c r="CN10" s="495"/>
      <c r="CO10" s="495"/>
      <c r="CP10" s="495"/>
      <c r="CQ10" s="495"/>
      <c r="CR10" s="495"/>
      <c r="CS10" s="495"/>
      <c r="CT10" s="495"/>
      <c r="CU10" s="495"/>
      <c r="CV10" s="495"/>
      <c r="CW10" s="495"/>
      <c r="CX10" s="495"/>
      <c r="CY10" s="495"/>
      <c r="CZ10" s="495"/>
      <c r="DA10" s="495"/>
      <c r="DB10" s="495"/>
      <c r="DC10" s="495"/>
      <c r="DD10" s="495"/>
      <c r="DE10" s="495"/>
      <c r="DF10" s="495"/>
      <c r="DG10" s="495"/>
      <c r="DH10" s="495"/>
      <c r="DI10" s="495"/>
      <c r="DJ10" s="495"/>
      <c r="DK10" s="495"/>
      <c r="DL10" s="495"/>
      <c r="DM10" s="495"/>
      <c r="DN10" s="495"/>
      <c r="DO10" s="495"/>
      <c r="DP10" s="495"/>
      <c r="DQ10" s="495"/>
      <c r="DR10" s="495"/>
      <c r="DS10" s="495"/>
      <c r="DT10" s="495"/>
      <c r="DU10" s="495"/>
      <c r="DV10" s="495"/>
      <c r="DW10" s="495"/>
      <c r="DX10" s="495"/>
      <c r="DY10" s="495"/>
      <c r="DZ10" s="495"/>
      <c r="EA10" s="495"/>
      <c r="EB10" s="495"/>
      <c r="EC10" s="495"/>
      <c r="ED10" s="495"/>
      <c r="EE10" s="495"/>
      <c r="EF10" s="495"/>
      <c r="EG10" s="495"/>
      <c r="EH10" s="495"/>
      <c r="EI10" s="495"/>
      <c r="EJ10" s="495"/>
      <c r="EK10" s="495"/>
      <c r="EL10" s="495"/>
      <c r="EM10" s="495"/>
      <c r="EN10" s="495"/>
      <c r="EO10" s="495"/>
      <c r="EP10" s="495"/>
      <c r="EQ10" s="495"/>
      <c r="ER10" s="495"/>
      <c r="ES10" s="495"/>
      <c r="ET10" s="495"/>
      <c r="EU10" s="495"/>
      <c r="EV10" s="495"/>
      <c r="EW10" s="495"/>
      <c r="EX10" s="495"/>
      <c r="EY10" s="495"/>
      <c r="EZ10" s="495"/>
      <c r="FA10" s="495"/>
      <c r="FB10" s="495"/>
      <c r="FC10" s="495"/>
      <c r="FD10" s="495"/>
      <c r="FE10" s="495"/>
      <c r="FF10" s="495"/>
      <c r="FG10" s="495"/>
      <c r="FH10" s="495"/>
      <c r="FI10" s="495"/>
      <c r="FJ10" s="495"/>
      <c r="FK10" s="495"/>
      <c r="FL10" s="495"/>
      <c r="FM10" s="495"/>
      <c r="FN10" s="495"/>
      <c r="FO10" s="495"/>
      <c r="FP10" s="495"/>
      <c r="FQ10" s="495"/>
      <c r="FR10" s="495"/>
      <c r="FS10" s="495"/>
      <c r="FT10" s="495"/>
      <c r="FU10" s="495"/>
      <c r="FV10" s="495"/>
      <c r="FW10" s="495"/>
      <c r="FX10" s="495"/>
      <c r="FY10" s="495"/>
      <c r="FZ10" s="495"/>
      <c r="GA10" s="495"/>
      <c r="GB10" s="495"/>
      <c r="GC10" s="495"/>
      <c r="GD10" s="495"/>
      <c r="GE10" s="495"/>
      <c r="GF10" s="495"/>
      <c r="GG10" s="495"/>
      <c r="GH10" s="495"/>
      <c r="GI10" s="495"/>
      <c r="GJ10" s="495"/>
      <c r="GK10" s="495"/>
      <c r="GL10" s="495"/>
      <c r="GM10" s="495"/>
      <c r="GN10" s="495"/>
      <c r="GO10" s="495"/>
      <c r="GP10" s="495"/>
      <c r="GQ10" s="495"/>
      <c r="GR10" s="495"/>
      <c r="GS10" s="495"/>
      <c r="GT10" s="495"/>
      <c r="GU10" s="495"/>
      <c r="GV10" s="495"/>
      <c r="GW10" s="495"/>
      <c r="GX10" s="495"/>
      <c r="GY10" s="495"/>
      <c r="GZ10" s="495"/>
      <c r="HA10" s="495"/>
      <c r="HB10" s="495"/>
      <c r="HC10" s="495"/>
      <c r="HD10" s="495"/>
      <c r="HE10" s="495"/>
      <c r="HF10" s="495"/>
      <c r="HG10" s="495"/>
      <c r="HH10" s="495"/>
      <c r="HI10" s="495"/>
      <c r="HJ10" s="495"/>
      <c r="HK10" s="495"/>
      <c r="HL10" s="495"/>
      <c r="HM10" s="495"/>
      <c r="HN10" s="495"/>
      <c r="HO10" s="495"/>
      <c r="HP10" s="495"/>
      <c r="HQ10" s="495"/>
      <c r="HR10" s="495"/>
      <c r="HS10" s="495"/>
      <c r="HT10" s="495"/>
      <c r="HU10" s="495"/>
      <c r="HV10" s="495"/>
      <c r="HW10" s="495"/>
      <c r="HX10" s="495"/>
      <c r="HY10" s="495"/>
      <c r="HZ10" s="495"/>
      <c r="IA10" s="495"/>
      <c r="IB10" s="495"/>
      <c r="IC10" s="495"/>
      <c r="ID10" s="495"/>
      <c r="IE10" s="495"/>
      <c r="IF10" s="495"/>
      <c r="IG10" s="495"/>
      <c r="IH10" s="495"/>
      <c r="II10" s="495"/>
      <c r="IJ10" s="495"/>
      <c r="IK10" s="495"/>
      <c r="IL10" s="495"/>
      <c r="IM10" s="495"/>
      <c r="IN10" s="495"/>
      <c r="IO10" s="495"/>
      <c r="IP10" s="495"/>
      <c r="IQ10" s="495"/>
      <c r="IR10" s="495"/>
      <c r="IS10" s="495"/>
      <c r="IT10" s="495"/>
      <c r="IU10" s="495"/>
      <c r="IV10" s="495"/>
    </row>
    <row r="11" spans="1:256" s="496" customFormat="1" ht="15">
      <c r="A11" s="503" t="s">
        <v>300</v>
      </c>
      <c r="B11" s="504" t="s">
        <v>337</v>
      </c>
      <c r="C11" s="504" t="s">
        <v>338</v>
      </c>
      <c r="D11" s="505">
        <v>43831</v>
      </c>
      <c r="E11" s="506">
        <v>850000000</v>
      </c>
      <c r="F11" s="507">
        <v>10</v>
      </c>
      <c r="G11" s="507">
        <v>7083333</v>
      </c>
      <c r="H11" s="507">
        <f t="shared" ref="H11:H17" si="1">DATEDIF(D11,"31/12/2023","m")+1</f>
        <v>48</v>
      </c>
      <c r="I11" s="507">
        <v>339999984</v>
      </c>
      <c r="J11" s="506">
        <f>G11/31*10</f>
        <v>2284946.1290322579</v>
      </c>
      <c r="K11" s="507">
        <f>I11+J11</f>
        <v>342284930.12903225</v>
      </c>
      <c r="L11" s="507">
        <f t="shared" ref="L11:L18" si="2">E11-K11</f>
        <v>507715069.87096775</v>
      </c>
      <c r="M11" s="508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495"/>
      <c r="AJ11" s="495"/>
      <c r="AK11" s="495"/>
      <c r="AL11" s="495"/>
      <c r="AM11" s="495"/>
      <c r="AN11" s="495"/>
      <c r="AO11" s="495"/>
      <c r="AP11" s="495"/>
      <c r="AQ11" s="495"/>
      <c r="AR11" s="495"/>
      <c r="AS11" s="495"/>
      <c r="AT11" s="495"/>
      <c r="AU11" s="495"/>
      <c r="AV11" s="495"/>
      <c r="AW11" s="495"/>
      <c r="AX11" s="495"/>
      <c r="AY11" s="495"/>
      <c r="AZ11" s="495"/>
      <c r="BA11" s="495"/>
      <c r="BB11" s="495"/>
      <c r="BC11" s="495"/>
      <c r="BD11" s="495"/>
      <c r="BE11" s="495"/>
      <c r="BF11" s="495"/>
      <c r="BG11" s="495"/>
      <c r="BH11" s="495"/>
      <c r="BI11" s="495"/>
      <c r="BJ11" s="495"/>
      <c r="BK11" s="495"/>
      <c r="BL11" s="495"/>
      <c r="BM11" s="495"/>
      <c r="BN11" s="495"/>
      <c r="BO11" s="495"/>
      <c r="BP11" s="495"/>
      <c r="BQ11" s="495"/>
      <c r="BR11" s="495"/>
      <c r="BS11" s="495"/>
      <c r="BT11" s="495"/>
      <c r="BU11" s="495"/>
      <c r="BV11" s="495"/>
      <c r="BW11" s="495"/>
      <c r="BX11" s="495"/>
      <c r="BY11" s="495"/>
      <c r="BZ11" s="495"/>
      <c r="CA11" s="495"/>
      <c r="CB11" s="495"/>
      <c r="CC11" s="495"/>
      <c r="CD11" s="495"/>
      <c r="CE11" s="495"/>
      <c r="CF11" s="495"/>
      <c r="CG11" s="495"/>
      <c r="CH11" s="495"/>
      <c r="CI11" s="495"/>
      <c r="CJ11" s="495"/>
      <c r="CK11" s="495"/>
      <c r="CL11" s="495"/>
      <c r="CM11" s="495"/>
      <c r="CN11" s="495"/>
      <c r="CO11" s="495"/>
      <c r="CP11" s="495"/>
      <c r="CQ11" s="495"/>
      <c r="CR11" s="495"/>
      <c r="CS11" s="495"/>
      <c r="CT11" s="495"/>
      <c r="CU11" s="495"/>
      <c r="CV11" s="495"/>
      <c r="CW11" s="495"/>
      <c r="CX11" s="495"/>
      <c r="CY11" s="495"/>
      <c r="CZ11" s="495"/>
      <c r="DA11" s="495"/>
      <c r="DB11" s="495"/>
      <c r="DC11" s="495"/>
      <c r="DD11" s="495"/>
      <c r="DE11" s="495"/>
      <c r="DF11" s="495"/>
      <c r="DG11" s="495"/>
      <c r="DH11" s="495"/>
      <c r="DI11" s="495"/>
      <c r="DJ11" s="495"/>
      <c r="DK11" s="495"/>
      <c r="DL11" s="495"/>
      <c r="DM11" s="495"/>
      <c r="DN11" s="495"/>
      <c r="DO11" s="495"/>
      <c r="DP11" s="495"/>
      <c r="DQ11" s="495"/>
      <c r="DR11" s="495"/>
      <c r="DS11" s="495"/>
      <c r="DT11" s="495"/>
      <c r="DU11" s="495"/>
      <c r="DV11" s="495"/>
      <c r="DW11" s="495"/>
      <c r="DX11" s="495"/>
      <c r="DY11" s="495"/>
      <c r="DZ11" s="495"/>
      <c r="EA11" s="495"/>
      <c r="EB11" s="495"/>
      <c r="EC11" s="495"/>
      <c r="ED11" s="495"/>
      <c r="EE11" s="495"/>
      <c r="EF11" s="495"/>
      <c r="EG11" s="495"/>
      <c r="EH11" s="495"/>
      <c r="EI11" s="495"/>
      <c r="EJ11" s="495"/>
      <c r="EK11" s="495"/>
      <c r="EL11" s="495"/>
      <c r="EM11" s="495"/>
      <c r="EN11" s="495"/>
      <c r="EO11" s="495"/>
      <c r="EP11" s="495"/>
      <c r="EQ11" s="495"/>
      <c r="ER11" s="495"/>
      <c r="ES11" s="495"/>
      <c r="ET11" s="495"/>
      <c r="EU11" s="495"/>
      <c r="EV11" s="495"/>
      <c r="EW11" s="495"/>
      <c r="EX11" s="495"/>
      <c r="EY11" s="495"/>
      <c r="EZ11" s="495"/>
      <c r="FA11" s="495"/>
      <c r="FB11" s="495"/>
      <c r="FC11" s="495"/>
      <c r="FD11" s="495"/>
      <c r="FE11" s="495"/>
      <c r="FF11" s="495"/>
      <c r="FG11" s="495"/>
      <c r="FH11" s="495"/>
      <c r="FI11" s="495"/>
      <c r="FJ11" s="495"/>
      <c r="FK11" s="495"/>
      <c r="FL11" s="495"/>
      <c r="FM11" s="495"/>
      <c r="FN11" s="495"/>
      <c r="FO11" s="495"/>
      <c r="FP11" s="495"/>
      <c r="FQ11" s="495"/>
      <c r="FR11" s="495"/>
      <c r="FS11" s="495"/>
      <c r="FT11" s="495"/>
      <c r="FU11" s="495"/>
      <c r="FV11" s="495"/>
      <c r="FW11" s="495"/>
      <c r="FX11" s="495"/>
      <c r="FY11" s="495"/>
      <c r="FZ11" s="495"/>
      <c r="GA11" s="495"/>
      <c r="GB11" s="495"/>
      <c r="GC11" s="495"/>
      <c r="GD11" s="495"/>
      <c r="GE11" s="495"/>
      <c r="GF11" s="495"/>
      <c r="GG11" s="495"/>
      <c r="GH11" s="495"/>
      <c r="GI11" s="495"/>
      <c r="GJ11" s="495"/>
      <c r="GK11" s="495"/>
      <c r="GL11" s="495"/>
      <c r="GM11" s="495"/>
      <c r="GN11" s="495"/>
      <c r="GO11" s="495"/>
      <c r="GP11" s="495"/>
      <c r="GQ11" s="495"/>
      <c r="GR11" s="495"/>
      <c r="GS11" s="495"/>
      <c r="GT11" s="495"/>
      <c r="GU11" s="495"/>
      <c r="GV11" s="495"/>
      <c r="GW11" s="495"/>
      <c r="GX11" s="495"/>
      <c r="GY11" s="495"/>
      <c r="GZ11" s="495"/>
      <c r="HA11" s="495"/>
      <c r="HB11" s="495"/>
      <c r="HC11" s="495"/>
      <c r="HD11" s="495"/>
      <c r="HE11" s="495"/>
      <c r="HF11" s="495"/>
      <c r="HG11" s="495"/>
      <c r="HH11" s="495"/>
      <c r="HI11" s="495"/>
      <c r="HJ11" s="495"/>
      <c r="HK11" s="495"/>
      <c r="HL11" s="495"/>
      <c r="HM11" s="495"/>
      <c r="HN11" s="495"/>
      <c r="HO11" s="495"/>
      <c r="HP11" s="495"/>
      <c r="HQ11" s="495"/>
      <c r="HR11" s="495"/>
      <c r="HS11" s="495"/>
      <c r="HT11" s="495"/>
      <c r="HU11" s="495"/>
      <c r="HV11" s="495"/>
      <c r="HW11" s="495"/>
      <c r="HX11" s="495"/>
      <c r="HY11" s="495"/>
      <c r="HZ11" s="495"/>
      <c r="IA11" s="495"/>
      <c r="IB11" s="495"/>
      <c r="IC11" s="495"/>
      <c r="ID11" s="495"/>
      <c r="IE11" s="495"/>
      <c r="IF11" s="495"/>
      <c r="IG11" s="495"/>
      <c r="IH11" s="495"/>
      <c r="II11" s="495"/>
      <c r="IJ11" s="495"/>
      <c r="IK11" s="495"/>
      <c r="IL11" s="495"/>
      <c r="IM11" s="495"/>
      <c r="IN11" s="495"/>
      <c r="IO11" s="495"/>
      <c r="IP11" s="495"/>
      <c r="IQ11" s="495"/>
      <c r="IR11" s="495"/>
      <c r="IS11" s="495"/>
      <c r="IT11" s="495"/>
      <c r="IU11" s="495"/>
      <c r="IV11" s="495"/>
    </row>
    <row r="12" spans="1:256" s="496" customFormat="1" ht="15.95" customHeight="1">
      <c r="A12" s="509" t="s">
        <v>177</v>
      </c>
      <c r="B12" s="498" t="s">
        <v>543</v>
      </c>
      <c r="C12" s="499"/>
      <c r="D12" s="510"/>
      <c r="E12" s="501">
        <f>SUBTOTAL(9,E13:E14)</f>
        <v>2576400000</v>
      </c>
      <c r="F12" s="501">
        <f t="shared" ref="F12:L12" si="3">SUBTOTAL(9,F13:F14)</f>
        <v>30</v>
      </c>
      <c r="G12" s="501">
        <f t="shared" si="3"/>
        <v>13136666</v>
      </c>
      <c r="H12" s="501">
        <f t="shared" si="3"/>
        <v>48</v>
      </c>
      <c r="I12" s="501">
        <f t="shared" si="3"/>
        <v>399999984</v>
      </c>
      <c r="J12" s="501">
        <f t="shared" si="3"/>
        <v>13136666</v>
      </c>
      <c r="K12" s="501">
        <f t="shared" si="3"/>
        <v>413136650</v>
      </c>
      <c r="L12" s="501">
        <f t="shared" si="3"/>
        <v>2163263350</v>
      </c>
      <c r="M12" s="502"/>
      <c r="N12" s="495"/>
      <c r="O12" s="495"/>
      <c r="P12" s="495"/>
      <c r="Q12" s="495"/>
      <c r="R12" s="495"/>
      <c r="S12" s="495"/>
      <c r="T12" s="495"/>
      <c r="U12" s="495"/>
      <c r="V12" s="495"/>
      <c r="W12" s="495"/>
      <c r="X12" s="495"/>
      <c r="Y12" s="495"/>
      <c r="Z12" s="495"/>
      <c r="AA12" s="495"/>
      <c r="AB12" s="495"/>
      <c r="AC12" s="495"/>
      <c r="AD12" s="495"/>
      <c r="AE12" s="495"/>
      <c r="AF12" s="495"/>
      <c r="AG12" s="495"/>
      <c r="AH12" s="495"/>
      <c r="AI12" s="495"/>
      <c r="AJ12" s="495"/>
      <c r="AK12" s="495"/>
      <c r="AL12" s="495"/>
      <c r="AM12" s="495"/>
      <c r="AN12" s="495"/>
      <c r="AO12" s="495"/>
      <c r="AP12" s="495"/>
      <c r="AQ12" s="495"/>
      <c r="AR12" s="495"/>
      <c r="AS12" s="495"/>
      <c r="AT12" s="495"/>
      <c r="AU12" s="495"/>
      <c r="AV12" s="495"/>
      <c r="AW12" s="495"/>
      <c r="AX12" s="495"/>
      <c r="AY12" s="495"/>
      <c r="AZ12" s="495"/>
      <c r="BA12" s="495"/>
      <c r="BB12" s="495"/>
      <c r="BC12" s="495"/>
      <c r="BD12" s="495"/>
      <c r="BE12" s="495"/>
      <c r="BF12" s="495"/>
      <c r="BG12" s="495"/>
      <c r="BH12" s="495"/>
      <c r="BI12" s="495"/>
      <c r="BJ12" s="495"/>
      <c r="BK12" s="495"/>
      <c r="BL12" s="495"/>
      <c r="BM12" s="495"/>
      <c r="BN12" s="495"/>
      <c r="BO12" s="495"/>
      <c r="BP12" s="495"/>
      <c r="BQ12" s="495"/>
      <c r="BR12" s="495"/>
      <c r="BS12" s="495"/>
      <c r="BT12" s="495"/>
      <c r="BU12" s="495"/>
      <c r="BV12" s="495"/>
      <c r="BW12" s="495"/>
      <c r="BX12" s="495"/>
      <c r="BY12" s="495"/>
      <c r="BZ12" s="495"/>
      <c r="CA12" s="495"/>
      <c r="CB12" s="495"/>
      <c r="CC12" s="495"/>
      <c r="CD12" s="495"/>
      <c r="CE12" s="495"/>
      <c r="CF12" s="495"/>
      <c r="CG12" s="495"/>
      <c r="CH12" s="495"/>
      <c r="CI12" s="495"/>
      <c r="CJ12" s="495"/>
      <c r="CK12" s="495"/>
      <c r="CL12" s="495"/>
      <c r="CM12" s="495"/>
      <c r="CN12" s="495"/>
      <c r="CO12" s="495"/>
      <c r="CP12" s="495"/>
      <c r="CQ12" s="495"/>
      <c r="CR12" s="495"/>
      <c r="CS12" s="495"/>
      <c r="CT12" s="495"/>
      <c r="CU12" s="495"/>
      <c r="CV12" s="495"/>
      <c r="CW12" s="495"/>
      <c r="CX12" s="495"/>
      <c r="CY12" s="495"/>
      <c r="CZ12" s="495"/>
      <c r="DA12" s="495"/>
      <c r="DB12" s="495"/>
      <c r="DC12" s="495"/>
      <c r="DD12" s="495"/>
      <c r="DE12" s="495"/>
      <c r="DF12" s="495"/>
      <c r="DG12" s="495"/>
      <c r="DH12" s="495"/>
      <c r="DI12" s="495"/>
      <c r="DJ12" s="495"/>
      <c r="DK12" s="495"/>
      <c r="DL12" s="495"/>
      <c r="DM12" s="495"/>
      <c r="DN12" s="495"/>
      <c r="DO12" s="495"/>
      <c r="DP12" s="495"/>
      <c r="DQ12" s="495"/>
      <c r="DR12" s="495"/>
      <c r="DS12" s="495"/>
      <c r="DT12" s="495"/>
      <c r="DU12" s="495"/>
      <c r="DV12" s="495"/>
      <c r="DW12" s="495"/>
      <c r="DX12" s="495"/>
      <c r="DY12" s="495"/>
      <c r="DZ12" s="495"/>
      <c r="EA12" s="495"/>
      <c r="EB12" s="495"/>
      <c r="EC12" s="495"/>
      <c r="ED12" s="495"/>
      <c r="EE12" s="495"/>
      <c r="EF12" s="495"/>
      <c r="EG12" s="495"/>
      <c r="EH12" s="495"/>
      <c r="EI12" s="495"/>
      <c r="EJ12" s="495"/>
      <c r="EK12" s="495"/>
      <c r="EL12" s="495"/>
      <c r="EM12" s="495"/>
      <c r="EN12" s="495"/>
      <c r="EO12" s="495"/>
      <c r="EP12" s="495"/>
      <c r="EQ12" s="495"/>
      <c r="ER12" s="495"/>
      <c r="ES12" s="495"/>
      <c r="ET12" s="495"/>
      <c r="EU12" s="495"/>
      <c r="EV12" s="495"/>
      <c r="EW12" s="495"/>
      <c r="EX12" s="495"/>
      <c r="EY12" s="495"/>
      <c r="EZ12" s="495"/>
      <c r="FA12" s="495"/>
      <c r="FB12" s="495"/>
      <c r="FC12" s="495"/>
      <c r="FD12" s="495"/>
      <c r="FE12" s="495"/>
      <c r="FF12" s="495"/>
      <c r="FG12" s="495"/>
      <c r="FH12" s="495"/>
      <c r="FI12" s="495"/>
      <c r="FJ12" s="495"/>
      <c r="FK12" s="495"/>
      <c r="FL12" s="495"/>
      <c r="FM12" s="495"/>
      <c r="FN12" s="495"/>
      <c r="FO12" s="495"/>
      <c r="FP12" s="495"/>
      <c r="FQ12" s="495"/>
      <c r="FR12" s="495"/>
      <c r="FS12" s="495"/>
      <c r="FT12" s="495"/>
      <c r="FU12" s="495"/>
      <c r="FV12" s="495"/>
      <c r="FW12" s="495"/>
      <c r="FX12" s="495"/>
      <c r="FY12" s="495"/>
      <c r="FZ12" s="495"/>
      <c r="GA12" s="495"/>
      <c r="GB12" s="495"/>
      <c r="GC12" s="495"/>
      <c r="GD12" s="495"/>
      <c r="GE12" s="495"/>
      <c r="GF12" s="495"/>
      <c r="GG12" s="495"/>
      <c r="GH12" s="495"/>
      <c r="GI12" s="495"/>
      <c r="GJ12" s="495"/>
      <c r="GK12" s="495"/>
      <c r="GL12" s="495"/>
      <c r="GM12" s="495"/>
      <c r="GN12" s="495"/>
      <c r="GO12" s="495"/>
      <c r="GP12" s="495"/>
      <c r="GQ12" s="495"/>
      <c r="GR12" s="495"/>
      <c r="GS12" s="495"/>
      <c r="GT12" s="495"/>
      <c r="GU12" s="495"/>
      <c r="GV12" s="495"/>
      <c r="GW12" s="495"/>
      <c r="GX12" s="495"/>
      <c r="GY12" s="495"/>
      <c r="GZ12" s="495"/>
      <c r="HA12" s="495"/>
      <c r="HB12" s="495"/>
      <c r="HC12" s="495"/>
      <c r="HD12" s="495"/>
      <c r="HE12" s="495"/>
      <c r="HF12" s="495"/>
      <c r="HG12" s="495"/>
      <c r="HH12" s="495"/>
      <c r="HI12" s="495"/>
      <c r="HJ12" s="495"/>
      <c r="HK12" s="495"/>
      <c r="HL12" s="495"/>
      <c r="HM12" s="495"/>
      <c r="HN12" s="495"/>
      <c r="HO12" s="495"/>
      <c r="HP12" s="495"/>
      <c r="HQ12" s="495"/>
      <c r="HR12" s="495"/>
      <c r="HS12" s="495"/>
      <c r="HT12" s="495"/>
      <c r="HU12" s="495"/>
      <c r="HV12" s="495"/>
      <c r="HW12" s="495"/>
      <c r="HX12" s="495"/>
      <c r="HY12" s="495"/>
      <c r="HZ12" s="495"/>
      <c r="IA12" s="495"/>
      <c r="IB12" s="495"/>
      <c r="IC12" s="495"/>
      <c r="ID12" s="495"/>
      <c r="IE12" s="495"/>
      <c r="IF12" s="495"/>
      <c r="IG12" s="495"/>
      <c r="IH12" s="495"/>
      <c r="II12" s="495"/>
      <c r="IJ12" s="495"/>
      <c r="IK12" s="495"/>
      <c r="IL12" s="495"/>
      <c r="IM12" s="495"/>
      <c r="IN12" s="495"/>
      <c r="IO12" s="495"/>
      <c r="IP12" s="495"/>
      <c r="IQ12" s="495"/>
      <c r="IR12" s="495"/>
      <c r="IS12" s="495"/>
      <c r="IT12" s="495"/>
      <c r="IU12" s="495"/>
      <c r="IV12" s="495"/>
    </row>
    <row r="13" spans="1:256" s="496" customFormat="1" ht="15">
      <c r="A13" s="511" t="s">
        <v>298</v>
      </c>
      <c r="B13" s="504" t="s">
        <v>333</v>
      </c>
      <c r="C13" s="504" t="s">
        <v>334</v>
      </c>
      <c r="D13" s="505">
        <v>43831</v>
      </c>
      <c r="E13" s="506">
        <v>2000000000</v>
      </c>
      <c r="F13" s="507">
        <v>20</v>
      </c>
      <c r="G13" s="507">
        <v>8333333</v>
      </c>
      <c r="H13" s="507">
        <f t="shared" si="1"/>
        <v>48</v>
      </c>
      <c r="I13" s="507">
        <v>399999984</v>
      </c>
      <c r="J13" s="507">
        <f t="shared" ref="J13:J18" si="4">G13</f>
        <v>8333333</v>
      </c>
      <c r="K13" s="507">
        <f>I13+J13</f>
        <v>408333317</v>
      </c>
      <c r="L13" s="507">
        <f t="shared" si="2"/>
        <v>1591666683</v>
      </c>
      <c r="M13" s="508"/>
      <c r="N13" s="495"/>
      <c r="O13" s="495"/>
      <c r="P13" s="495"/>
      <c r="Q13" s="495"/>
      <c r="R13" s="495"/>
      <c r="S13" s="495"/>
      <c r="T13" s="495"/>
      <c r="U13" s="495"/>
      <c r="V13" s="495"/>
      <c r="W13" s="495"/>
      <c r="X13" s="495"/>
      <c r="Y13" s="495"/>
      <c r="Z13" s="495"/>
      <c r="AA13" s="495"/>
      <c r="AB13" s="495"/>
      <c r="AC13" s="495"/>
      <c r="AD13" s="495"/>
      <c r="AE13" s="495"/>
      <c r="AF13" s="495"/>
      <c r="AG13" s="495"/>
      <c r="AH13" s="495"/>
      <c r="AI13" s="495"/>
      <c r="AJ13" s="495"/>
      <c r="AK13" s="495"/>
      <c r="AL13" s="495"/>
      <c r="AM13" s="495"/>
      <c r="AN13" s="495"/>
      <c r="AO13" s="495"/>
      <c r="AP13" s="495"/>
      <c r="AQ13" s="495"/>
      <c r="AR13" s="495"/>
      <c r="AS13" s="495"/>
      <c r="AT13" s="495"/>
      <c r="AU13" s="495"/>
      <c r="AV13" s="495"/>
      <c r="AW13" s="495"/>
      <c r="AX13" s="495"/>
      <c r="AY13" s="495"/>
      <c r="AZ13" s="495"/>
      <c r="BA13" s="495"/>
      <c r="BB13" s="495"/>
      <c r="BC13" s="495"/>
      <c r="BD13" s="495"/>
      <c r="BE13" s="495"/>
      <c r="BF13" s="495"/>
      <c r="BG13" s="495"/>
      <c r="BH13" s="495"/>
      <c r="BI13" s="495"/>
      <c r="BJ13" s="495"/>
      <c r="BK13" s="495"/>
      <c r="BL13" s="495"/>
      <c r="BM13" s="495"/>
      <c r="BN13" s="495"/>
      <c r="BO13" s="495"/>
      <c r="BP13" s="495"/>
      <c r="BQ13" s="495"/>
      <c r="BR13" s="495"/>
      <c r="BS13" s="495"/>
      <c r="BT13" s="495"/>
      <c r="BU13" s="495"/>
      <c r="BV13" s="495"/>
      <c r="BW13" s="495"/>
      <c r="BX13" s="495"/>
      <c r="BY13" s="495"/>
      <c r="BZ13" s="495"/>
      <c r="CA13" s="495"/>
      <c r="CB13" s="495"/>
      <c r="CC13" s="495"/>
      <c r="CD13" s="495"/>
      <c r="CE13" s="495"/>
      <c r="CF13" s="495"/>
      <c r="CG13" s="495"/>
      <c r="CH13" s="495"/>
      <c r="CI13" s="495"/>
      <c r="CJ13" s="495"/>
      <c r="CK13" s="495"/>
      <c r="CL13" s="495"/>
      <c r="CM13" s="495"/>
      <c r="CN13" s="495"/>
      <c r="CO13" s="495"/>
      <c r="CP13" s="495"/>
      <c r="CQ13" s="495"/>
      <c r="CR13" s="495"/>
      <c r="CS13" s="495"/>
      <c r="CT13" s="495"/>
      <c r="CU13" s="495"/>
      <c r="CV13" s="495"/>
      <c r="CW13" s="495"/>
      <c r="CX13" s="495"/>
      <c r="CY13" s="495"/>
      <c r="CZ13" s="495"/>
      <c r="DA13" s="495"/>
      <c r="DB13" s="495"/>
      <c r="DC13" s="495"/>
      <c r="DD13" s="495"/>
      <c r="DE13" s="495"/>
      <c r="DF13" s="495"/>
      <c r="DG13" s="495"/>
      <c r="DH13" s="495"/>
      <c r="DI13" s="495"/>
      <c r="DJ13" s="495"/>
      <c r="DK13" s="495"/>
      <c r="DL13" s="495"/>
      <c r="DM13" s="495"/>
      <c r="DN13" s="495"/>
      <c r="DO13" s="495"/>
      <c r="DP13" s="495"/>
      <c r="DQ13" s="495"/>
      <c r="DR13" s="495"/>
      <c r="DS13" s="495"/>
      <c r="DT13" s="495"/>
      <c r="DU13" s="495"/>
      <c r="DV13" s="495"/>
      <c r="DW13" s="495"/>
      <c r="DX13" s="495"/>
      <c r="DY13" s="495"/>
      <c r="DZ13" s="495"/>
      <c r="EA13" s="495"/>
      <c r="EB13" s="495"/>
      <c r="EC13" s="495"/>
      <c r="ED13" s="495"/>
      <c r="EE13" s="495"/>
      <c r="EF13" s="495"/>
      <c r="EG13" s="495"/>
      <c r="EH13" s="495"/>
      <c r="EI13" s="495"/>
      <c r="EJ13" s="495"/>
      <c r="EK13" s="495"/>
      <c r="EL13" s="495"/>
      <c r="EM13" s="495"/>
      <c r="EN13" s="495"/>
      <c r="EO13" s="495"/>
      <c r="EP13" s="495"/>
      <c r="EQ13" s="495"/>
      <c r="ER13" s="495"/>
      <c r="ES13" s="495"/>
      <c r="ET13" s="495"/>
      <c r="EU13" s="495"/>
      <c r="EV13" s="495"/>
      <c r="EW13" s="495"/>
      <c r="EX13" s="495"/>
      <c r="EY13" s="495"/>
      <c r="EZ13" s="495"/>
      <c r="FA13" s="495"/>
      <c r="FB13" s="495"/>
      <c r="FC13" s="495"/>
      <c r="FD13" s="495"/>
      <c r="FE13" s="495"/>
      <c r="FF13" s="495"/>
      <c r="FG13" s="495"/>
      <c r="FH13" s="495"/>
      <c r="FI13" s="495"/>
      <c r="FJ13" s="495"/>
      <c r="FK13" s="495"/>
      <c r="FL13" s="495"/>
      <c r="FM13" s="495"/>
      <c r="FN13" s="495"/>
      <c r="FO13" s="495"/>
      <c r="FP13" s="495"/>
      <c r="FQ13" s="495"/>
      <c r="FR13" s="495"/>
      <c r="FS13" s="495"/>
      <c r="FT13" s="495"/>
      <c r="FU13" s="495"/>
      <c r="FV13" s="495"/>
      <c r="FW13" s="495"/>
      <c r="FX13" s="495"/>
      <c r="FY13" s="495"/>
      <c r="FZ13" s="495"/>
      <c r="GA13" s="495"/>
      <c r="GB13" s="495"/>
      <c r="GC13" s="495"/>
      <c r="GD13" s="495"/>
      <c r="GE13" s="495"/>
      <c r="GF13" s="495"/>
      <c r="GG13" s="495"/>
      <c r="GH13" s="495"/>
      <c r="GI13" s="495"/>
      <c r="GJ13" s="495"/>
      <c r="GK13" s="495"/>
      <c r="GL13" s="495"/>
      <c r="GM13" s="495"/>
      <c r="GN13" s="495"/>
      <c r="GO13" s="495"/>
      <c r="GP13" s="495"/>
      <c r="GQ13" s="495"/>
      <c r="GR13" s="495"/>
      <c r="GS13" s="495"/>
      <c r="GT13" s="495"/>
      <c r="GU13" s="495"/>
      <c r="GV13" s="495"/>
      <c r="GW13" s="495"/>
      <c r="GX13" s="495"/>
      <c r="GY13" s="495"/>
      <c r="GZ13" s="495"/>
      <c r="HA13" s="495"/>
      <c r="HB13" s="495"/>
      <c r="HC13" s="495"/>
      <c r="HD13" s="495"/>
      <c r="HE13" s="495"/>
      <c r="HF13" s="495"/>
      <c r="HG13" s="495"/>
      <c r="HH13" s="495"/>
      <c r="HI13" s="495"/>
      <c r="HJ13" s="495"/>
      <c r="HK13" s="495"/>
      <c r="HL13" s="495"/>
      <c r="HM13" s="495"/>
      <c r="HN13" s="495"/>
      <c r="HO13" s="495"/>
      <c r="HP13" s="495"/>
      <c r="HQ13" s="495"/>
      <c r="HR13" s="495"/>
      <c r="HS13" s="495"/>
      <c r="HT13" s="495"/>
      <c r="HU13" s="495"/>
      <c r="HV13" s="495"/>
      <c r="HW13" s="495"/>
      <c r="HX13" s="495"/>
      <c r="HY13" s="495"/>
      <c r="HZ13" s="495"/>
      <c r="IA13" s="495"/>
      <c r="IB13" s="495"/>
      <c r="IC13" s="495"/>
      <c r="ID13" s="495"/>
      <c r="IE13" s="495"/>
      <c r="IF13" s="495"/>
      <c r="IG13" s="495"/>
      <c r="IH13" s="495"/>
      <c r="II13" s="495"/>
      <c r="IJ13" s="495"/>
      <c r="IK13" s="495"/>
      <c r="IL13" s="495"/>
      <c r="IM13" s="495"/>
      <c r="IN13" s="495"/>
      <c r="IO13" s="495"/>
      <c r="IP13" s="495"/>
      <c r="IQ13" s="495"/>
      <c r="IR13" s="495"/>
      <c r="IS13" s="495"/>
      <c r="IT13" s="495"/>
      <c r="IU13" s="495"/>
      <c r="IV13" s="495"/>
    </row>
    <row r="14" spans="1:256" s="490" customFormat="1" ht="15">
      <c r="A14" s="512" t="s">
        <v>300</v>
      </c>
      <c r="B14" s="513" t="s">
        <v>340</v>
      </c>
      <c r="C14" s="514" t="s">
        <v>341</v>
      </c>
      <c r="D14" s="515" t="s">
        <v>551</v>
      </c>
      <c r="E14" s="516">
        <v>576400000</v>
      </c>
      <c r="F14" s="517">
        <v>10</v>
      </c>
      <c r="G14" s="518">
        <f>ROUND(E14/(F14*12),0)</f>
        <v>4803333</v>
      </c>
      <c r="H14" s="519">
        <v>0</v>
      </c>
      <c r="I14" s="518">
        <v>0</v>
      </c>
      <c r="J14" s="507">
        <f t="shared" si="4"/>
        <v>4803333</v>
      </c>
      <c r="K14" s="507">
        <f>I14+J14</f>
        <v>4803333</v>
      </c>
      <c r="L14" s="507">
        <f t="shared" si="2"/>
        <v>571596667</v>
      </c>
      <c r="M14" s="520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/>
      <c r="Z14" s="521"/>
      <c r="AA14" s="521"/>
      <c r="AB14" s="521"/>
      <c r="AC14" s="521"/>
      <c r="AD14" s="521"/>
      <c r="AE14" s="521"/>
      <c r="AF14" s="521"/>
      <c r="AG14" s="521"/>
      <c r="AH14" s="521"/>
      <c r="AI14" s="521"/>
      <c r="AJ14" s="521"/>
      <c r="AK14" s="521"/>
      <c r="AL14" s="521"/>
      <c r="AM14" s="521"/>
      <c r="AN14" s="521"/>
      <c r="AO14" s="521"/>
      <c r="AP14" s="521"/>
      <c r="AQ14" s="521"/>
      <c r="AR14" s="521"/>
      <c r="AS14" s="521"/>
      <c r="AT14" s="521"/>
      <c r="AU14" s="521"/>
      <c r="AV14" s="521"/>
      <c r="AW14" s="521"/>
      <c r="AX14" s="521"/>
      <c r="AY14" s="521"/>
      <c r="AZ14" s="521"/>
      <c r="BA14" s="521"/>
      <c r="BB14" s="521"/>
      <c r="BC14" s="521"/>
      <c r="BD14" s="521"/>
      <c r="BE14" s="521"/>
      <c r="BF14" s="521"/>
      <c r="BG14" s="521"/>
      <c r="BH14" s="521"/>
      <c r="BI14" s="521"/>
      <c r="BJ14" s="521"/>
      <c r="BK14" s="521"/>
      <c r="BL14" s="521"/>
      <c r="BM14" s="521"/>
      <c r="BN14" s="521"/>
      <c r="BO14" s="521"/>
      <c r="BP14" s="521"/>
      <c r="BQ14" s="521"/>
      <c r="BR14" s="521"/>
      <c r="BS14" s="521"/>
      <c r="BT14" s="521"/>
      <c r="BU14" s="521"/>
      <c r="BV14" s="521"/>
      <c r="BW14" s="521"/>
      <c r="BX14" s="521"/>
      <c r="BY14" s="521"/>
      <c r="BZ14" s="521"/>
      <c r="CA14" s="521"/>
      <c r="CB14" s="521"/>
      <c r="CC14" s="521"/>
      <c r="CD14" s="521"/>
      <c r="CE14" s="521"/>
      <c r="CF14" s="521"/>
      <c r="CG14" s="521"/>
      <c r="CH14" s="521"/>
      <c r="CI14" s="521"/>
      <c r="CJ14" s="521"/>
      <c r="CK14" s="521"/>
      <c r="CL14" s="521"/>
      <c r="CM14" s="521"/>
      <c r="CN14" s="521"/>
      <c r="CO14" s="521"/>
      <c r="CP14" s="521"/>
      <c r="CQ14" s="521"/>
      <c r="CR14" s="521"/>
      <c r="CS14" s="521"/>
      <c r="CT14" s="521"/>
      <c r="CU14" s="521"/>
      <c r="CV14" s="521"/>
      <c r="CW14" s="521"/>
      <c r="CX14" s="521"/>
      <c r="CY14" s="521"/>
      <c r="CZ14" s="521"/>
      <c r="DA14" s="521"/>
      <c r="DB14" s="521"/>
      <c r="DC14" s="521"/>
      <c r="DD14" s="521"/>
      <c r="DE14" s="521"/>
      <c r="DF14" s="521"/>
      <c r="DG14" s="521"/>
      <c r="DH14" s="521"/>
      <c r="DI14" s="521"/>
      <c r="DJ14" s="521"/>
      <c r="DK14" s="521"/>
      <c r="DL14" s="521"/>
      <c r="DM14" s="521"/>
      <c r="DN14" s="521"/>
      <c r="DO14" s="521"/>
      <c r="DP14" s="521"/>
      <c r="DQ14" s="521"/>
      <c r="DR14" s="521"/>
      <c r="DS14" s="521"/>
      <c r="DT14" s="521"/>
      <c r="DU14" s="521"/>
      <c r="DV14" s="521"/>
      <c r="DW14" s="521"/>
      <c r="DX14" s="521"/>
      <c r="DY14" s="521"/>
      <c r="DZ14" s="521"/>
      <c r="EA14" s="521"/>
      <c r="EB14" s="521"/>
      <c r="EC14" s="521"/>
      <c r="ED14" s="521"/>
      <c r="EE14" s="521"/>
      <c r="EF14" s="521"/>
      <c r="EG14" s="521"/>
      <c r="EH14" s="521"/>
      <c r="EI14" s="521"/>
      <c r="EJ14" s="521"/>
      <c r="EK14" s="521"/>
      <c r="EL14" s="521"/>
      <c r="EM14" s="521"/>
      <c r="EN14" s="521"/>
      <c r="EO14" s="521"/>
      <c r="EP14" s="521"/>
      <c r="EQ14" s="521"/>
      <c r="ER14" s="521"/>
      <c r="ES14" s="521"/>
      <c r="ET14" s="521"/>
      <c r="EU14" s="521"/>
      <c r="EV14" s="521"/>
      <c r="EW14" s="521"/>
      <c r="EX14" s="521"/>
      <c r="EY14" s="521"/>
      <c r="EZ14" s="521"/>
      <c r="FA14" s="521"/>
      <c r="FB14" s="521"/>
      <c r="FC14" s="521"/>
      <c r="FD14" s="521"/>
      <c r="FE14" s="521"/>
      <c r="FF14" s="521"/>
      <c r="FG14" s="521"/>
      <c r="FH14" s="521"/>
      <c r="FI14" s="521"/>
      <c r="FJ14" s="521"/>
      <c r="FK14" s="521"/>
      <c r="FL14" s="521"/>
      <c r="FM14" s="521"/>
      <c r="FN14" s="521"/>
      <c r="FO14" s="521"/>
      <c r="FP14" s="521"/>
      <c r="FQ14" s="521"/>
      <c r="FR14" s="521"/>
      <c r="FS14" s="521"/>
      <c r="FT14" s="521"/>
      <c r="FU14" s="521"/>
      <c r="FV14" s="521"/>
      <c r="FW14" s="521"/>
      <c r="FX14" s="521"/>
      <c r="FY14" s="521"/>
      <c r="FZ14" s="521"/>
      <c r="GA14" s="521"/>
      <c r="GB14" s="521"/>
      <c r="GC14" s="521"/>
      <c r="GD14" s="521"/>
      <c r="GE14" s="521"/>
      <c r="GF14" s="521"/>
      <c r="GG14" s="521"/>
      <c r="GH14" s="521"/>
      <c r="GI14" s="521"/>
      <c r="GJ14" s="521"/>
      <c r="GK14" s="521"/>
      <c r="GL14" s="521"/>
      <c r="GM14" s="521"/>
      <c r="GN14" s="521"/>
      <c r="GO14" s="521"/>
      <c r="GP14" s="521"/>
      <c r="GQ14" s="521"/>
      <c r="GR14" s="521"/>
      <c r="GS14" s="521"/>
      <c r="GT14" s="521"/>
      <c r="GU14" s="521"/>
      <c r="GV14" s="521"/>
      <c r="GW14" s="521"/>
      <c r="GX14" s="521"/>
      <c r="GY14" s="521"/>
      <c r="GZ14" s="521"/>
      <c r="HA14" s="521"/>
      <c r="HB14" s="521"/>
      <c r="HC14" s="521"/>
      <c r="HD14" s="521"/>
      <c r="HE14" s="521"/>
      <c r="HF14" s="521"/>
      <c r="HG14" s="521"/>
      <c r="HH14" s="521"/>
      <c r="HI14" s="521"/>
      <c r="HJ14" s="521"/>
      <c r="HK14" s="521"/>
      <c r="HL14" s="521"/>
      <c r="HM14" s="521"/>
      <c r="HN14" s="521"/>
      <c r="HO14" s="521"/>
      <c r="HP14" s="521"/>
      <c r="HQ14" s="521"/>
      <c r="HR14" s="521"/>
      <c r="HS14" s="521"/>
      <c r="HT14" s="521"/>
      <c r="HU14" s="521"/>
      <c r="HV14" s="521"/>
      <c r="HW14" s="521"/>
      <c r="HX14" s="521"/>
      <c r="HY14" s="521"/>
      <c r="HZ14" s="521"/>
      <c r="IA14" s="521"/>
      <c r="IB14" s="521"/>
      <c r="IC14" s="521"/>
      <c r="ID14" s="521"/>
      <c r="IE14" s="521"/>
      <c r="IF14" s="521"/>
      <c r="IG14" s="521"/>
      <c r="IH14" s="521"/>
      <c r="II14" s="521"/>
      <c r="IJ14" s="521"/>
      <c r="IK14" s="521"/>
      <c r="IL14" s="521"/>
      <c r="IM14" s="521"/>
      <c r="IN14" s="521"/>
      <c r="IO14" s="521"/>
      <c r="IP14" s="521"/>
      <c r="IQ14" s="521"/>
      <c r="IR14" s="521"/>
      <c r="IS14" s="521"/>
      <c r="IT14" s="521"/>
      <c r="IU14" s="521"/>
      <c r="IV14" s="521"/>
    </row>
    <row r="15" spans="1:256" s="496" customFormat="1" ht="16.5" customHeight="1">
      <c r="A15" s="509" t="s">
        <v>187</v>
      </c>
      <c r="B15" s="498" t="s">
        <v>544</v>
      </c>
      <c r="C15" s="499"/>
      <c r="D15" s="500"/>
      <c r="E15" s="506">
        <f>SUBTOTAL(9,E16:E18)</f>
        <v>3909000000</v>
      </c>
      <c r="F15" s="506">
        <f t="shared" ref="F15:L15" si="5">SUBTOTAL(9,F16:F18)</f>
        <v>50</v>
      </c>
      <c r="G15" s="506">
        <f t="shared" si="5"/>
        <v>18787500</v>
      </c>
      <c r="H15" s="506">
        <f t="shared" si="5"/>
        <v>96</v>
      </c>
      <c r="I15" s="506">
        <f t="shared" si="5"/>
        <v>660000000</v>
      </c>
      <c r="J15" s="506">
        <f t="shared" si="5"/>
        <v>18787500</v>
      </c>
      <c r="K15" s="506">
        <f t="shared" si="5"/>
        <v>678787500</v>
      </c>
      <c r="L15" s="506">
        <f t="shared" si="5"/>
        <v>3230212500</v>
      </c>
      <c r="M15" s="522"/>
      <c r="N15" s="495"/>
      <c r="O15" s="495"/>
      <c r="P15" s="495"/>
      <c r="Q15" s="495"/>
      <c r="R15" s="495"/>
      <c r="S15" s="495"/>
      <c r="T15" s="495"/>
      <c r="U15" s="495"/>
      <c r="V15" s="495"/>
      <c r="W15" s="495"/>
      <c r="X15" s="495"/>
      <c r="Y15" s="495"/>
      <c r="Z15" s="495"/>
      <c r="AA15" s="495"/>
      <c r="AB15" s="495"/>
      <c r="AC15" s="495"/>
      <c r="AD15" s="495"/>
      <c r="AE15" s="495"/>
      <c r="AF15" s="495"/>
      <c r="AG15" s="495"/>
      <c r="AH15" s="495"/>
      <c r="AI15" s="495"/>
      <c r="AJ15" s="495"/>
      <c r="AK15" s="495"/>
      <c r="AL15" s="495"/>
      <c r="AM15" s="495"/>
      <c r="AN15" s="495"/>
      <c r="AO15" s="495"/>
      <c r="AP15" s="495"/>
      <c r="AQ15" s="495"/>
      <c r="AR15" s="495"/>
      <c r="AS15" s="495"/>
      <c r="AT15" s="495"/>
      <c r="AU15" s="495"/>
      <c r="AV15" s="495"/>
      <c r="AW15" s="495"/>
      <c r="AX15" s="495"/>
      <c r="AY15" s="495"/>
      <c r="AZ15" s="495"/>
      <c r="BA15" s="495"/>
      <c r="BB15" s="495"/>
      <c r="BC15" s="495"/>
      <c r="BD15" s="495"/>
      <c r="BE15" s="495"/>
      <c r="BF15" s="495"/>
      <c r="BG15" s="495"/>
      <c r="BH15" s="495"/>
      <c r="BI15" s="495"/>
      <c r="BJ15" s="495"/>
      <c r="BK15" s="495"/>
      <c r="BL15" s="495"/>
      <c r="BM15" s="495"/>
      <c r="BN15" s="495"/>
      <c r="BO15" s="495"/>
      <c r="BP15" s="495"/>
      <c r="BQ15" s="495"/>
      <c r="BR15" s="495"/>
      <c r="BS15" s="495"/>
      <c r="BT15" s="495"/>
      <c r="BU15" s="495"/>
      <c r="BV15" s="495"/>
      <c r="BW15" s="495"/>
      <c r="BX15" s="495"/>
      <c r="BY15" s="495"/>
      <c r="BZ15" s="495"/>
      <c r="CA15" s="495"/>
      <c r="CB15" s="495"/>
      <c r="CC15" s="495"/>
      <c r="CD15" s="495"/>
      <c r="CE15" s="495"/>
      <c r="CF15" s="495"/>
      <c r="CG15" s="495"/>
      <c r="CH15" s="495"/>
      <c r="CI15" s="495"/>
      <c r="CJ15" s="495"/>
      <c r="CK15" s="495"/>
      <c r="CL15" s="495"/>
      <c r="CM15" s="495"/>
      <c r="CN15" s="495"/>
      <c r="CO15" s="495"/>
      <c r="CP15" s="495"/>
      <c r="CQ15" s="495"/>
      <c r="CR15" s="495"/>
      <c r="CS15" s="495"/>
      <c r="CT15" s="495"/>
      <c r="CU15" s="495"/>
      <c r="CV15" s="495"/>
      <c r="CW15" s="495"/>
      <c r="CX15" s="495"/>
      <c r="CY15" s="495"/>
      <c r="CZ15" s="495"/>
      <c r="DA15" s="495"/>
      <c r="DB15" s="495"/>
      <c r="DC15" s="495"/>
      <c r="DD15" s="495"/>
      <c r="DE15" s="495"/>
      <c r="DF15" s="495"/>
      <c r="DG15" s="495"/>
      <c r="DH15" s="495"/>
      <c r="DI15" s="495"/>
      <c r="DJ15" s="495"/>
      <c r="DK15" s="495"/>
      <c r="DL15" s="495"/>
      <c r="DM15" s="495"/>
      <c r="DN15" s="495"/>
      <c r="DO15" s="495"/>
      <c r="DP15" s="495"/>
      <c r="DQ15" s="495"/>
      <c r="DR15" s="495"/>
      <c r="DS15" s="495"/>
      <c r="DT15" s="495"/>
      <c r="DU15" s="495"/>
      <c r="DV15" s="495"/>
      <c r="DW15" s="495"/>
      <c r="DX15" s="495"/>
      <c r="DY15" s="495"/>
      <c r="DZ15" s="495"/>
      <c r="EA15" s="495"/>
      <c r="EB15" s="495"/>
      <c r="EC15" s="495"/>
      <c r="ED15" s="495"/>
      <c r="EE15" s="495"/>
      <c r="EF15" s="495"/>
      <c r="EG15" s="495"/>
      <c r="EH15" s="495"/>
      <c r="EI15" s="495"/>
      <c r="EJ15" s="495"/>
      <c r="EK15" s="495"/>
      <c r="EL15" s="495"/>
      <c r="EM15" s="495"/>
      <c r="EN15" s="495"/>
      <c r="EO15" s="495"/>
      <c r="EP15" s="495"/>
      <c r="EQ15" s="495"/>
      <c r="ER15" s="495"/>
      <c r="ES15" s="495"/>
      <c r="ET15" s="495"/>
      <c r="EU15" s="495"/>
      <c r="EV15" s="495"/>
      <c r="EW15" s="495"/>
      <c r="EX15" s="495"/>
      <c r="EY15" s="495"/>
      <c r="EZ15" s="495"/>
      <c r="FA15" s="495"/>
      <c r="FB15" s="495"/>
      <c r="FC15" s="495"/>
      <c r="FD15" s="495"/>
      <c r="FE15" s="495"/>
      <c r="FF15" s="495"/>
      <c r="FG15" s="495"/>
      <c r="FH15" s="495"/>
      <c r="FI15" s="495"/>
      <c r="FJ15" s="495"/>
      <c r="FK15" s="495"/>
      <c r="FL15" s="495"/>
      <c r="FM15" s="495"/>
      <c r="FN15" s="495"/>
      <c r="FO15" s="495"/>
      <c r="FP15" s="495"/>
      <c r="FQ15" s="495"/>
      <c r="FR15" s="495"/>
      <c r="FS15" s="495"/>
      <c r="FT15" s="495"/>
      <c r="FU15" s="495"/>
      <c r="FV15" s="495"/>
      <c r="FW15" s="495"/>
      <c r="FX15" s="495"/>
      <c r="FY15" s="495"/>
      <c r="FZ15" s="495"/>
      <c r="GA15" s="495"/>
      <c r="GB15" s="495"/>
      <c r="GC15" s="495"/>
      <c r="GD15" s="495"/>
      <c r="GE15" s="495"/>
      <c r="GF15" s="495"/>
      <c r="GG15" s="495"/>
      <c r="GH15" s="495"/>
      <c r="GI15" s="495"/>
      <c r="GJ15" s="495"/>
      <c r="GK15" s="495"/>
      <c r="GL15" s="495"/>
      <c r="GM15" s="495"/>
      <c r="GN15" s="495"/>
      <c r="GO15" s="495"/>
      <c r="GP15" s="495"/>
      <c r="GQ15" s="495"/>
      <c r="GR15" s="495"/>
      <c r="GS15" s="495"/>
      <c r="GT15" s="495"/>
      <c r="GU15" s="495"/>
      <c r="GV15" s="495"/>
      <c r="GW15" s="495"/>
      <c r="GX15" s="495"/>
      <c r="GY15" s="495"/>
      <c r="GZ15" s="495"/>
      <c r="HA15" s="495"/>
      <c r="HB15" s="495"/>
      <c r="HC15" s="495"/>
      <c r="HD15" s="495"/>
      <c r="HE15" s="495"/>
      <c r="HF15" s="495"/>
      <c r="HG15" s="495"/>
      <c r="HH15" s="495"/>
      <c r="HI15" s="495"/>
      <c r="HJ15" s="495"/>
      <c r="HK15" s="495"/>
      <c r="HL15" s="495"/>
      <c r="HM15" s="495"/>
      <c r="HN15" s="495"/>
      <c r="HO15" s="495"/>
      <c r="HP15" s="495"/>
      <c r="HQ15" s="495"/>
      <c r="HR15" s="495"/>
      <c r="HS15" s="495"/>
      <c r="HT15" s="495"/>
      <c r="HU15" s="495"/>
      <c r="HV15" s="495"/>
      <c r="HW15" s="495"/>
      <c r="HX15" s="495"/>
      <c r="HY15" s="495"/>
      <c r="HZ15" s="495"/>
      <c r="IA15" s="495"/>
      <c r="IB15" s="495"/>
      <c r="IC15" s="495"/>
      <c r="ID15" s="495"/>
      <c r="IE15" s="495"/>
      <c r="IF15" s="495"/>
      <c r="IG15" s="495"/>
      <c r="IH15" s="495"/>
      <c r="II15" s="495"/>
      <c r="IJ15" s="495"/>
      <c r="IK15" s="495"/>
      <c r="IL15" s="495"/>
      <c r="IM15" s="495"/>
      <c r="IN15" s="495"/>
      <c r="IO15" s="495"/>
      <c r="IP15" s="495"/>
      <c r="IQ15" s="495"/>
      <c r="IR15" s="495"/>
      <c r="IS15" s="495"/>
      <c r="IT15" s="495"/>
      <c r="IU15" s="495"/>
      <c r="IV15" s="495"/>
    </row>
    <row r="16" spans="1:256" s="496" customFormat="1" ht="15">
      <c r="A16" s="511" t="s">
        <v>298</v>
      </c>
      <c r="B16" s="504" t="s">
        <v>330</v>
      </c>
      <c r="C16" s="523" t="s">
        <v>331</v>
      </c>
      <c r="D16" s="505">
        <v>43831</v>
      </c>
      <c r="E16" s="506">
        <v>2100000000</v>
      </c>
      <c r="F16" s="507">
        <v>20</v>
      </c>
      <c r="G16" s="507">
        <v>8750000</v>
      </c>
      <c r="H16" s="507">
        <f t="shared" si="1"/>
        <v>48</v>
      </c>
      <c r="I16" s="507">
        <v>420000000</v>
      </c>
      <c r="J16" s="507">
        <f t="shared" si="4"/>
        <v>8750000</v>
      </c>
      <c r="K16" s="507">
        <f>I16+J16</f>
        <v>428750000</v>
      </c>
      <c r="L16" s="507">
        <f t="shared" si="2"/>
        <v>1671250000</v>
      </c>
      <c r="M16" s="522"/>
      <c r="N16" s="495"/>
      <c r="O16" s="495"/>
      <c r="P16" s="495"/>
      <c r="Q16" s="495"/>
      <c r="R16" s="495"/>
      <c r="S16" s="495"/>
      <c r="T16" s="495"/>
      <c r="U16" s="495"/>
      <c r="V16" s="495"/>
      <c r="W16" s="495"/>
      <c r="X16" s="495"/>
      <c r="Y16" s="495"/>
      <c r="Z16" s="495"/>
      <c r="AA16" s="495"/>
      <c r="AB16" s="495"/>
      <c r="AC16" s="495"/>
      <c r="AD16" s="495"/>
      <c r="AE16" s="495"/>
      <c r="AF16" s="495"/>
      <c r="AG16" s="495"/>
      <c r="AH16" s="495"/>
      <c r="AI16" s="495"/>
      <c r="AJ16" s="495"/>
      <c r="AK16" s="495"/>
      <c r="AL16" s="495"/>
      <c r="AM16" s="495"/>
      <c r="AN16" s="495"/>
      <c r="AO16" s="495"/>
      <c r="AP16" s="495"/>
      <c r="AQ16" s="495"/>
      <c r="AR16" s="495"/>
      <c r="AS16" s="495"/>
      <c r="AT16" s="495"/>
      <c r="AU16" s="495"/>
      <c r="AV16" s="495"/>
      <c r="AW16" s="495"/>
      <c r="AX16" s="495"/>
      <c r="AY16" s="495"/>
      <c r="AZ16" s="495"/>
      <c r="BA16" s="495"/>
      <c r="BB16" s="495"/>
      <c r="BC16" s="495"/>
      <c r="BD16" s="495"/>
      <c r="BE16" s="495"/>
      <c r="BF16" s="495"/>
      <c r="BG16" s="495"/>
      <c r="BH16" s="495"/>
      <c r="BI16" s="495"/>
      <c r="BJ16" s="495"/>
      <c r="BK16" s="495"/>
      <c r="BL16" s="495"/>
      <c r="BM16" s="495"/>
      <c r="BN16" s="495"/>
      <c r="BO16" s="495"/>
      <c r="BP16" s="495"/>
      <c r="BQ16" s="495"/>
      <c r="BR16" s="495"/>
      <c r="BS16" s="495"/>
      <c r="BT16" s="495"/>
      <c r="BU16" s="495"/>
      <c r="BV16" s="495"/>
      <c r="BW16" s="495"/>
      <c r="BX16" s="495"/>
      <c r="BY16" s="495"/>
      <c r="BZ16" s="495"/>
      <c r="CA16" s="495"/>
      <c r="CB16" s="495"/>
      <c r="CC16" s="495"/>
      <c r="CD16" s="495"/>
      <c r="CE16" s="495"/>
      <c r="CF16" s="495"/>
      <c r="CG16" s="495"/>
      <c r="CH16" s="495"/>
      <c r="CI16" s="495"/>
      <c r="CJ16" s="495"/>
      <c r="CK16" s="495"/>
      <c r="CL16" s="495"/>
      <c r="CM16" s="495"/>
      <c r="CN16" s="495"/>
      <c r="CO16" s="495"/>
      <c r="CP16" s="495"/>
      <c r="CQ16" s="495"/>
      <c r="CR16" s="495"/>
      <c r="CS16" s="495"/>
      <c r="CT16" s="495"/>
      <c r="CU16" s="495"/>
      <c r="CV16" s="495"/>
      <c r="CW16" s="495"/>
      <c r="CX16" s="495"/>
      <c r="CY16" s="495"/>
      <c r="CZ16" s="495"/>
      <c r="DA16" s="495"/>
      <c r="DB16" s="495"/>
      <c r="DC16" s="495"/>
      <c r="DD16" s="495"/>
      <c r="DE16" s="495"/>
      <c r="DF16" s="495"/>
      <c r="DG16" s="495"/>
      <c r="DH16" s="495"/>
      <c r="DI16" s="495"/>
      <c r="DJ16" s="495"/>
      <c r="DK16" s="495"/>
      <c r="DL16" s="495"/>
      <c r="DM16" s="495"/>
      <c r="DN16" s="495"/>
      <c r="DO16" s="495"/>
      <c r="DP16" s="495"/>
      <c r="DQ16" s="495"/>
      <c r="DR16" s="495"/>
      <c r="DS16" s="495"/>
      <c r="DT16" s="495"/>
      <c r="DU16" s="495"/>
      <c r="DV16" s="495"/>
      <c r="DW16" s="495"/>
      <c r="DX16" s="495"/>
      <c r="DY16" s="495"/>
      <c r="DZ16" s="495"/>
      <c r="EA16" s="495"/>
      <c r="EB16" s="495"/>
      <c r="EC16" s="495"/>
      <c r="ED16" s="495"/>
      <c r="EE16" s="495"/>
      <c r="EF16" s="495"/>
      <c r="EG16" s="495"/>
      <c r="EH16" s="495"/>
      <c r="EI16" s="495"/>
      <c r="EJ16" s="495"/>
      <c r="EK16" s="495"/>
      <c r="EL16" s="495"/>
      <c r="EM16" s="495"/>
      <c r="EN16" s="495"/>
      <c r="EO16" s="495"/>
      <c r="EP16" s="495"/>
      <c r="EQ16" s="495"/>
      <c r="ER16" s="495"/>
      <c r="ES16" s="495"/>
      <c r="ET16" s="495"/>
      <c r="EU16" s="495"/>
      <c r="EV16" s="495"/>
      <c r="EW16" s="495"/>
      <c r="EX16" s="495"/>
      <c r="EY16" s="495"/>
      <c r="EZ16" s="495"/>
      <c r="FA16" s="495"/>
      <c r="FB16" s="495"/>
      <c r="FC16" s="495"/>
      <c r="FD16" s="495"/>
      <c r="FE16" s="495"/>
      <c r="FF16" s="495"/>
      <c r="FG16" s="495"/>
      <c r="FH16" s="495"/>
      <c r="FI16" s="495"/>
      <c r="FJ16" s="495"/>
      <c r="FK16" s="495"/>
      <c r="FL16" s="495"/>
      <c r="FM16" s="495"/>
      <c r="FN16" s="495"/>
      <c r="FO16" s="495"/>
      <c r="FP16" s="495"/>
      <c r="FQ16" s="495"/>
      <c r="FR16" s="495"/>
      <c r="FS16" s="495"/>
      <c r="FT16" s="495"/>
      <c r="FU16" s="495"/>
      <c r="FV16" s="495"/>
      <c r="FW16" s="495"/>
      <c r="FX16" s="495"/>
      <c r="FY16" s="495"/>
      <c r="FZ16" s="495"/>
      <c r="GA16" s="495"/>
      <c r="GB16" s="495"/>
      <c r="GC16" s="495"/>
      <c r="GD16" s="495"/>
      <c r="GE16" s="495"/>
      <c r="GF16" s="495"/>
      <c r="GG16" s="495"/>
      <c r="GH16" s="495"/>
      <c r="GI16" s="495"/>
      <c r="GJ16" s="495"/>
      <c r="GK16" s="495"/>
      <c r="GL16" s="495"/>
      <c r="GM16" s="495"/>
      <c r="GN16" s="495"/>
      <c r="GO16" s="495"/>
      <c r="GP16" s="495"/>
      <c r="GQ16" s="495"/>
      <c r="GR16" s="495"/>
      <c r="GS16" s="495"/>
      <c r="GT16" s="495"/>
      <c r="GU16" s="495"/>
      <c r="GV16" s="495"/>
      <c r="GW16" s="495"/>
      <c r="GX16" s="495"/>
      <c r="GY16" s="495"/>
      <c r="GZ16" s="495"/>
      <c r="HA16" s="495"/>
      <c r="HB16" s="495"/>
      <c r="HC16" s="495"/>
      <c r="HD16" s="495"/>
      <c r="HE16" s="495"/>
      <c r="HF16" s="495"/>
      <c r="HG16" s="495"/>
      <c r="HH16" s="495"/>
      <c r="HI16" s="495"/>
      <c r="HJ16" s="495"/>
      <c r="HK16" s="495"/>
      <c r="HL16" s="495"/>
      <c r="HM16" s="495"/>
      <c r="HN16" s="495"/>
      <c r="HO16" s="495"/>
      <c r="HP16" s="495"/>
      <c r="HQ16" s="495"/>
      <c r="HR16" s="495"/>
      <c r="HS16" s="495"/>
      <c r="HT16" s="495"/>
      <c r="HU16" s="495"/>
      <c r="HV16" s="495"/>
      <c r="HW16" s="495"/>
      <c r="HX16" s="495"/>
      <c r="HY16" s="495"/>
      <c r="HZ16" s="495"/>
      <c r="IA16" s="495"/>
      <c r="IB16" s="495"/>
      <c r="IC16" s="495"/>
      <c r="ID16" s="495"/>
      <c r="IE16" s="495"/>
      <c r="IF16" s="495"/>
      <c r="IG16" s="495"/>
      <c r="IH16" s="495"/>
      <c r="II16" s="495"/>
      <c r="IJ16" s="495"/>
      <c r="IK16" s="495"/>
      <c r="IL16" s="495"/>
      <c r="IM16" s="495"/>
      <c r="IN16" s="495"/>
      <c r="IO16" s="495"/>
      <c r="IP16" s="495"/>
      <c r="IQ16" s="495"/>
      <c r="IR16" s="495"/>
      <c r="IS16" s="495"/>
      <c r="IT16" s="495"/>
      <c r="IU16" s="495"/>
      <c r="IV16" s="495"/>
    </row>
    <row r="17" spans="1:256" s="496" customFormat="1" ht="15">
      <c r="A17" s="511" t="s">
        <v>300</v>
      </c>
      <c r="B17" s="504" t="s">
        <v>335</v>
      </c>
      <c r="C17" s="523" t="s">
        <v>336</v>
      </c>
      <c r="D17" s="505">
        <v>43831</v>
      </c>
      <c r="E17" s="506">
        <v>600000000</v>
      </c>
      <c r="F17" s="507">
        <v>10</v>
      </c>
      <c r="G17" s="507">
        <v>5000000</v>
      </c>
      <c r="H17" s="507">
        <f t="shared" si="1"/>
        <v>48</v>
      </c>
      <c r="I17" s="507">
        <v>240000000</v>
      </c>
      <c r="J17" s="507">
        <f t="shared" si="4"/>
        <v>5000000</v>
      </c>
      <c r="K17" s="507">
        <f>I17+J17</f>
        <v>245000000</v>
      </c>
      <c r="L17" s="507">
        <f t="shared" si="2"/>
        <v>355000000</v>
      </c>
      <c r="M17" s="522"/>
      <c r="N17" s="495"/>
      <c r="O17" s="495"/>
      <c r="P17" s="495"/>
      <c r="Q17" s="495"/>
      <c r="R17" s="495"/>
      <c r="S17" s="495"/>
      <c r="T17" s="495"/>
      <c r="U17" s="495"/>
      <c r="V17" s="495"/>
      <c r="W17" s="495"/>
      <c r="X17" s="495"/>
      <c r="Y17" s="495"/>
      <c r="Z17" s="495"/>
      <c r="AA17" s="495"/>
      <c r="AB17" s="495"/>
      <c r="AC17" s="495"/>
      <c r="AD17" s="495"/>
      <c r="AE17" s="495"/>
      <c r="AF17" s="495"/>
      <c r="AG17" s="495"/>
      <c r="AH17" s="495"/>
      <c r="AI17" s="495"/>
      <c r="AJ17" s="495"/>
      <c r="AK17" s="495"/>
      <c r="AL17" s="495"/>
      <c r="AM17" s="495"/>
      <c r="AN17" s="495"/>
      <c r="AO17" s="495"/>
      <c r="AP17" s="495"/>
      <c r="AQ17" s="495"/>
      <c r="AR17" s="495"/>
      <c r="AS17" s="495"/>
      <c r="AT17" s="495"/>
      <c r="AU17" s="495"/>
      <c r="AV17" s="495"/>
      <c r="AW17" s="495"/>
      <c r="AX17" s="495"/>
      <c r="AY17" s="495"/>
      <c r="AZ17" s="495"/>
      <c r="BA17" s="495"/>
      <c r="BB17" s="495"/>
      <c r="BC17" s="495"/>
      <c r="BD17" s="495"/>
      <c r="BE17" s="495"/>
      <c r="BF17" s="495"/>
      <c r="BG17" s="495"/>
      <c r="BH17" s="495"/>
      <c r="BI17" s="495"/>
      <c r="BJ17" s="495"/>
      <c r="BK17" s="495"/>
      <c r="BL17" s="495"/>
      <c r="BM17" s="495"/>
      <c r="BN17" s="495"/>
      <c r="BO17" s="495"/>
      <c r="BP17" s="495"/>
      <c r="BQ17" s="495"/>
      <c r="BR17" s="495"/>
      <c r="BS17" s="495"/>
      <c r="BT17" s="495"/>
      <c r="BU17" s="495"/>
      <c r="BV17" s="495"/>
      <c r="BW17" s="495"/>
      <c r="BX17" s="495"/>
      <c r="BY17" s="495"/>
      <c r="BZ17" s="495"/>
      <c r="CA17" s="495"/>
      <c r="CB17" s="495"/>
      <c r="CC17" s="495"/>
      <c r="CD17" s="495"/>
      <c r="CE17" s="495"/>
      <c r="CF17" s="495"/>
      <c r="CG17" s="495"/>
      <c r="CH17" s="495"/>
      <c r="CI17" s="495"/>
      <c r="CJ17" s="495"/>
      <c r="CK17" s="495"/>
      <c r="CL17" s="495"/>
      <c r="CM17" s="495"/>
      <c r="CN17" s="495"/>
      <c r="CO17" s="495"/>
      <c r="CP17" s="495"/>
      <c r="CQ17" s="495"/>
      <c r="CR17" s="495"/>
      <c r="CS17" s="495"/>
      <c r="CT17" s="495"/>
      <c r="CU17" s="495"/>
      <c r="CV17" s="495"/>
      <c r="CW17" s="495"/>
      <c r="CX17" s="495"/>
      <c r="CY17" s="495"/>
      <c r="CZ17" s="495"/>
      <c r="DA17" s="495"/>
      <c r="DB17" s="495"/>
      <c r="DC17" s="495"/>
      <c r="DD17" s="495"/>
      <c r="DE17" s="495"/>
      <c r="DF17" s="495"/>
      <c r="DG17" s="495"/>
      <c r="DH17" s="495"/>
      <c r="DI17" s="495"/>
      <c r="DJ17" s="495"/>
      <c r="DK17" s="495"/>
      <c r="DL17" s="495"/>
      <c r="DM17" s="495"/>
      <c r="DN17" s="495"/>
      <c r="DO17" s="495"/>
      <c r="DP17" s="495"/>
      <c r="DQ17" s="495"/>
      <c r="DR17" s="495"/>
      <c r="DS17" s="495"/>
      <c r="DT17" s="495"/>
      <c r="DU17" s="495"/>
      <c r="DV17" s="495"/>
      <c r="DW17" s="495"/>
      <c r="DX17" s="495"/>
      <c r="DY17" s="495"/>
      <c r="DZ17" s="495"/>
      <c r="EA17" s="495"/>
      <c r="EB17" s="495"/>
      <c r="EC17" s="495"/>
      <c r="ED17" s="495"/>
      <c r="EE17" s="495"/>
      <c r="EF17" s="495"/>
      <c r="EG17" s="495"/>
      <c r="EH17" s="495"/>
      <c r="EI17" s="495"/>
      <c r="EJ17" s="495"/>
      <c r="EK17" s="495"/>
      <c r="EL17" s="495"/>
      <c r="EM17" s="495"/>
      <c r="EN17" s="495"/>
      <c r="EO17" s="495"/>
      <c r="EP17" s="495"/>
      <c r="EQ17" s="495"/>
      <c r="ER17" s="495"/>
      <c r="ES17" s="495"/>
      <c r="ET17" s="495"/>
      <c r="EU17" s="495"/>
      <c r="EV17" s="495"/>
      <c r="EW17" s="495"/>
      <c r="EX17" s="495"/>
      <c r="EY17" s="495"/>
      <c r="EZ17" s="495"/>
      <c r="FA17" s="495"/>
      <c r="FB17" s="495"/>
      <c r="FC17" s="495"/>
      <c r="FD17" s="495"/>
      <c r="FE17" s="495"/>
      <c r="FF17" s="495"/>
      <c r="FG17" s="495"/>
      <c r="FH17" s="495"/>
      <c r="FI17" s="495"/>
      <c r="FJ17" s="495"/>
      <c r="FK17" s="495"/>
      <c r="FL17" s="495"/>
      <c r="FM17" s="495"/>
      <c r="FN17" s="495"/>
      <c r="FO17" s="495"/>
      <c r="FP17" s="495"/>
      <c r="FQ17" s="495"/>
      <c r="FR17" s="495"/>
      <c r="FS17" s="495"/>
      <c r="FT17" s="495"/>
      <c r="FU17" s="495"/>
      <c r="FV17" s="495"/>
      <c r="FW17" s="495"/>
      <c r="FX17" s="495"/>
      <c r="FY17" s="495"/>
      <c r="FZ17" s="495"/>
      <c r="GA17" s="495"/>
      <c r="GB17" s="495"/>
      <c r="GC17" s="495"/>
      <c r="GD17" s="495"/>
      <c r="GE17" s="495"/>
      <c r="GF17" s="495"/>
      <c r="GG17" s="495"/>
      <c r="GH17" s="495"/>
      <c r="GI17" s="495"/>
      <c r="GJ17" s="495"/>
      <c r="GK17" s="495"/>
      <c r="GL17" s="495"/>
      <c r="GM17" s="495"/>
      <c r="GN17" s="495"/>
      <c r="GO17" s="495"/>
      <c r="GP17" s="495"/>
      <c r="GQ17" s="495"/>
      <c r="GR17" s="495"/>
      <c r="GS17" s="495"/>
      <c r="GT17" s="495"/>
      <c r="GU17" s="495"/>
      <c r="GV17" s="495"/>
      <c r="GW17" s="495"/>
      <c r="GX17" s="495"/>
      <c r="GY17" s="495"/>
      <c r="GZ17" s="495"/>
      <c r="HA17" s="495"/>
      <c r="HB17" s="495"/>
      <c r="HC17" s="495"/>
      <c r="HD17" s="495"/>
      <c r="HE17" s="495"/>
      <c r="HF17" s="495"/>
      <c r="HG17" s="495"/>
      <c r="HH17" s="495"/>
      <c r="HI17" s="495"/>
      <c r="HJ17" s="495"/>
      <c r="HK17" s="495"/>
      <c r="HL17" s="495"/>
      <c r="HM17" s="495"/>
      <c r="HN17" s="495"/>
      <c r="HO17" s="495"/>
      <c r="HP17" s="495"/>
      <c r="HQ17" s="495"/>
      <c r="HR17" s="495"/>
      <c r="HS17" s="495"/>
      <c r="HT17" s="495"/>
      <c r="HU17" s="495"/>
      <c r="HV17" s="495"/>
      <c r="HW17" s="495"/>
      <c r="HX17" s="495"/>
      <c r="HY17" s="495"/>
      <c r="HZ17" s="495"/>
      <c r="IA17" s="495"/>
      <c r="IB17" s="495"/>
      <c r="IC17" s="495"/>
      <c r="ID17" s="495"/>
      <c r="IE17" s="495"/>
      <c r="IF17" s="495"/>
      <c r="IG17" s="495"/>
      <c r="IH17" s="495"/>
      <c r="II17" s="495"/>
      <c r="IJ17" s="495"/>
      <c r="IK17" s="495"/>
      <c r="IL17" s="495"/>
      <c r="IM17" s="495"/>
      <c r="IN17" s="495"/>
      <c r="IO17" s="495"/>
      <c r="IP17" s="495"/>
      <c r="IQ17" s="495"/>
      <c r="IR17" s="495"/>
      <c r="IS17" s="495"/>
      <c r="IT17" s="495"/>
      <c r="IU17" s="495"/>
      <c r="IV17" s="495"/>
    </row>
    <row r="18" spans="1:256" s="496" customFormat="1" ht="15">
      <c r="A18" s="511" t="s">
        <v>302</v>
      </c>
      <c r="B18" s="524" t="s">
        <v>339</v>
      </c>
      <c r="C18" s="525" t="s">
        <v>552</v>
      </c>
      <c r="D18" s="505">
        <v>45296</v>
      </c>
      <c r="E18" s="506">
        <v>1209000000</v>
      </c>
      <c r="F18" s="526">
        <v>20</v>
      </c>
      <c r="G18" s="507">
        <f>ROUND(E18/(F18*12),0)</f>
        <v>5037500</v>
      </c>
      <c r="H18" s="519">
        <v>0</v>
      </c>
      <c r="I18" s="507">
        <f>G18*H18</f>
        <v>0</v>
      </c>
      <c r="J18" s="507">
        <f t="shared" si="4"/>
        <v>5037500</v>
      </c>
      <c r="K18" s="507">
        <f>I18+J18</f>
        <v>5037500</v>
      </c>
      <c r="L18" s="507">
        <f t="shared" si="2"/>
        <v>1203962500</v>
      </c>
      <c r="M18" s="522"/>
      <c r="N18" s="495"/>
      <c r="O18" s="495"/>
      <c r="P18" s="495"/>
      <c r="Q18" s="495"/>
      <c r="R18" s="495"/>
      <c r="S18" s="495"/>
      <c r="T18" s="495"/>
      <c r="U18" s="495"/>
      <c r="V18" s="495"/>
      <c r="W18" s="495"/>
      <c r="X18" s="495"/>
      <c r="Y18" s="495"/>
      <c r="Z18" s="495"/>
      <c r="AA18" s="495"/>
      <c r="AB18" s="495"/>
      <c r="AC18" s="495"/>
      <c r="AD18" s="495"/>
      <c r="AE18" s="495"/>
      <c r="AF18" s="495"/>
      <c r="AG18" s="495"/>
      <c r="AH18" s="495"/>
      <c r="AI18" s="495"/>
      <c r="AJ18" s="495"/>
      <c r="AK18" s="495"/>
      <c r="AL18" s="495"/>
      <c r="AM18" s="495"/>
      <c r="AN18" s="495"/>
      <c r="AO18" s="495"/>
      <c r="AP18" s="495"/>
      <c r="AQ18" s="495"/>
      <c r="AR18" s="495"/>
      <c r="AS18" s="495"/>
      <c r="AT18" s="495"/>
      <c r="AU18" s="495"/>
      <c r="AV18" s="495"/>
      <c r="AW18" s="495"/>
      <c r="AX18" s="495"/>
      <c r="AY18" s="495"/>
      <c r="AZ18" s="495"/>
      <c r="BA18" s="495"/>
      <c r="BB18" s="495"/>
      <c r="BC18" s="495"/>
      <c r="BD18" s="495"/>
      <c r="BE18" s="495"/>
      <c r="BF18" s="495"/>
      <c r="BG18" s="495"/>
      <c r="BH18" s="495"/>
      <c r="BI18" s="495"/>
      <c r="BJ18" s="495"/>
      <c r="BK18" s="495"/>
      <c r="BL18" s="495"/>
      <c r="BM18" s="495"/>
      <c r="BN18" s="495"/>
      <c r="BO18" s="495"/>
      <c r="BP18" s="495"/>
      <c r="BQ18" s="495"/>
      <c r="BR18" s="495"/>
      <c r="BS18" s="495"/>
      <c r="BT18" s="495"/>
      <c r="BU18" s="495"/>
      <c r="BV18" s="495"/>
      <c r="BW18" s="495"/>
      <c r="BX18" s="495"/>
      <c r="BY18" s="495"/>
      <c r="BZ18" s="495"/>
      <c r="CA18" s="495"/>
      <c r="CB18" s="495"/>
      <c r="CC18" s="495"/>
      <c r="CD18" s="495"/>
      <c r="CE18" s="495"/>
      <c r="CF18" s="495"/>
      <c r="CG18" s="495"/>
      <c r="CH18" s="495"/>
      <c r="CI18" s="495"/>
      <c r="CJ18" s="495"/>
      <c r="CK18" s="495"/>
      <c r="CL18" s="495"/>
      <c r="CM18" s="495"/>
      <c r="CN18" s="495"/>
      <c r="CO18" s="495"/>
      <c r="CP18" s="495"/>
      <c r="CQ18" s="495"/>
      <c r="CR18" s="495"/>
      <c r="CS18" s="495"/>
      <c r="CT18" s="495"/>
      <c r="CU18" s="495"/>
      <c r="CV18" s="495"/>
      <c r="CW18" s="495"/>
      <c r="CX18" s="495"/>
      <c r="CY18" s="495"/>
      <c r="CZ18" s="495"/>
      <c r="DA18" s="495"/>
      <c r="DB18" s="495"/>
      <c r="DC18" s="495"/>
      <c r="DD18" s="495"/>
      <c r="DE18" s="495"/>
      <c r="DF18" s="495"/>
      <c r="DG18" s="495"/>
      <c r="DH18" s="495"/>
      <c r="DI18" s="495"/>
      <c r="DJ18" s="495"/>
      <c r="DK18" s="495"/>
      <c r="DL18" s="495"/>
      <c r="DM18" s="495"/>
      <c r="DN18" s="495"/>
      <c r="DO18" s="495"/>
      <c r="DP18" s="495"/>
      <c r="DQ18" s="495"/>
      <c r="DR18" s="495"/>
      <c r="DS18" s="495"/>
      <c r="DT18" s="495"/>
      <c r="DU18" s="495"/>
      <c r="DV18" s="495"/>
      <c r="DW18" s="495"/>
      <c r="DX18" s="495"/>
      <c r="DY18" s="495"/>
      <c r="DZ18" s="495"/>
      <c r="EA18" s="495"/>
      <c r="EB18" s="495"/>
      <c r="EC18" s="495"/>
      <c r="ED18" s="495"/>
      <c r="EE18" s="495"/>
      <c r="EF18" s="495"/>
      <c r="EG18" s="495"/>
      <c r="EH18" s="495"/>
      <c r="EI18" s="495"/>
      <c r="EJ18" s="495"/>
      <c r="EK18" s="495"/>
      <c r="EL18" s="495"/>
      <c r="EM18" s="495"/>
      <c r="EN18" s="495"/>
      <c r="EO18" s="495"/>
      <c r="EP18" s="495"/>
      <c r="EQ18" s="495"/>
      <c r="ER18" s="495"/>
      <c r="ES18" s="495"/>
      <c r="ET18" s="495"/>
      <c r="EU18" s="495"/>
      <c r="EV18" s="495"/>
      <c r="EW18" s="495"/>
      <c r="EX18" s="495"/>
      <c r="EY18" s="495"/>
      <c r="EZ18" s="495"/>
      <c r="FA18" s="495"/>
      <c r="FB18" s="495"/>
      <c r="FC18" s="495"/>
      <c r="FD18" s="495"/>
      <c r="FE18" s="495"/>
      <c r="FF18" s="495"/>
      <c r="FG18" s="495"/>
      <c r="FH18" s="495"/>
      <c r="FI18" s="495"/>
      <c r="FJ18" s="495"/>
      <c r="FK18" s="495"/>
      <c r="FL18" s="495"/>
      <c r="FM18" s="495"/>
      <c r="FN18" s="495"/>
      <c r="FO18" s="495"/>
      <c r="FP18" s="495"/>
      <c r="FQ18" s="495"/>
      <c r="FR18" s="495"/>
      <c r="FS18" s="495"/>
      <c r="FT18" s="495"/>
      <c r="FU18" s="495"/>
      <c r="FV18" s="495"/>
      <c r="FW18" s="495"/>
      <c r="FX18" s="495"/>
      <c r="FY18" s="495"/>
      <c r="FZ18" s="495"/>
      <c r="GA18" s="495"/>
      <c r="GB18" s="495"/>
      <c r="GC18" s="495"/>
      <c r="GD18" s="495"/>
      <c r="GE18" s="495"/>
      <c r="GF18" s="495"/>
      <c r="GG18" s="495"/>
      <c r="GH18" s="495"/>
      <c r="GI18" s="495"/>
      <c r="GJ18" s="495"/>
      <c r="GK18" s="495"/>
      <c r="GL18" s="495"/>
      <c r="GM18" s="495"/>
      <c r="GN18" s="495"/>
      <c r="GO18" s="495"/>
      <c r="GP18" s="495"/>
      <c r="GQ18" s="495"/>
      <c r="GR18" s="495"/>
      <c r="GS18" s="495"/>
      <c r="GT18" s="495"/>
      <c r="GU18" s="495"/>
      <c r="GV18" s="495"/>
      <c r="GW18" s="495"/>
      <c r="GX18" s="495"/>
      <c r="GY18" s="495"/>
      <c r="GZ18" s="495"/>
      <c r="HA18" s="495"/>
      <c r="HB18" s="495"/>
      <c r="HC18" s="495"/>
      <c r="HD18" s="495"/>
      <c r="HE18" s="495"/>
      <c r="HF18" s="495"/>
      <c r="HG18" s="495"/>
      <c r="HH18" s="495"/>
      <c r="HI18" s="495"/>
      <c r="HJ18" s="495"/>
      <c r="HK18" s="495"/>
      <c r="HL18" s="495"/>
      <c r="HM18" s="495"/>
      <c r="HN18" s="495"/>
      <c r="HO18" s="495"/>
      <c r="HP18" s="495"/>
      <c r="HQ18" s="495"/>
      <c r="HR18" s="495"/>
      <c r="HS18" s="495"/>
      <c r="HT18" s="495"/>
      <c r="HU18" s="495"/>
      <c r="HV18" s="495"/>
      <c r="HW18" s="495"/>
      <c r="HX18" s="495"/>
      <c r="HY18" s="495"/>
      <c r="HZ18" s="495"/>
      <c r="IA18" s="495"/>
      <c r="IB18" s="495"/>
      <c r="IC18" s="495"/>
      <c r="ID18" s="495"/>
      <c r="IE18" s="495"/>
      <c r="IF18" s="495"/>
      <c r="IG18" s="495"/>
      <c r="IH18" s="495"/>
      <c r="II18" s="495"/>
      <c r="IJ18" s="495"/>
      <c r="IK18" s="495"/>
      <c r="IL18" s="495"/>
      <c r="IM18" s="495"/>
      <c r="IN18" s="495"/>
      <c r="IO18" s="495"/>
      <c r="IP18" s="495"/>
      <c r="IQ18" s="495"/>
      <c r="IR18" s="495"/>
      <c r="IS18" s="495"/>
      <c r="IT18" s="495"/>
      <c r="IU18" s="495"/>
      <c r="IV18" s="495"/>
    </row>
    <row r="19" spans="1:256" s="490" customFormat="1" ht="15">
      <c r="A19" s="527" t="s">
        <v>320</v>
      </c>
      <c r="B19" s="527"/>
      <c r="C19" s="527"/>
      <c r="D19" s="527"/>
      <c r="E19" s="528">
        <f>SUBTOTAL(9,E9:E18)</f>
        <v>9835400000</v>
      </c>
      <c r="F19" s="528">
        <f t="shared" ref="F19:L19" si="6">SUBTOTAL(9,F9:F18)</f>
        <v>110</v>
      </c>
      <c r="G19" s="528">
        <f t="shared" si="6"/>
        <v>49424166</v>
      </c>
      <c r="H19" s="528">
        <f t="shared" si="6"/>
        <v>240</v>
      </c>
      <c r="I19" s="528">
        <f t="shared" si="6"/>
        <v>1899999984</v>
      </c>
      <c r="J19" s="528">
        <f t="shared" si="6"/>
        <v>44625779.129032254</v>
      </c>
      <c r="K19" s="528">
        <f t="shared" si="6"/>
        <v>1944625763.1290321</v>
      </c>
      <c r="L19" s="528">
        <f t="shared" si="6"/>
        <v>7890774236.8709679</v>
      </c>
      <c r="M19" s="529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  <c r="AG19" s="521"/>
      <c r="AH19" s="521"/>
      <c r="AI19" s="521"/>
      <c r="AJ19" s="521"/>
      <c r="AK19" s="521"/>
      <c r="AL19" s="521"/>
      <c r="AM19" s="521"/>
      <c r="AN19" s="521"/>
      <c r="AO19" s="521"/>
      <c r="AP19" s="521"/>
      <c r="AQ19" s="521"/>
      <c r="AR19" s="521"/>
      <c r="AS19" s="521"/>
      <c r="AT19" s="521"/>
      <c r="AU19" s="521"/>
      <c r="AV19" s="521"/>
      <c r="AW19" s="521"/>
      <c r="AX19" s="521"/>
      <c r="AY19" s="521"/>
      <c r="AZ19" s="521"/>
      <c r="BA19" s="521"/>
      <c r="BB19" s="521"/>
      <c r="BC19" s="521"/>
      <c r="BD19" s="521"/>
      <c r="BE19" s="521"/>
      <c r="BF19" s="521"/>
      <c r="BG19" s="521"/>
      <c r="BH19" s="521"/>
      <c r="BI19" s="521"/>
      <c r="BJ19" s="521"/>
      <c r="BK19" s="521"/>
      <c r="BL19" s="521"/>
      <c r="BM19" s="521"/>
      <c r="BN19" s="521"/>
      <c r="BO19" s="521"/>
      <c r="BP19" s="521"/>
      <c r="BQ19" s="521"/>
      <c r="BR19" s="521"/>
      <c r="BS19" s="521"/>
      <c r="BT19" s="521"/>
      <c r="BU19" s="521"/>
      <c r="BV19" s="521"/>
      <c r="BW19" s="521"/>
      <c r="BX19" s="521"/>
      <c r="BY19" s="521"/>
      <c r="BZ19" s="521"/>
      <c r="CA19" s="521"/>
      <c r="CB19" s="521"/>
      <c r="CC19" s="521"/>
      <c r="CD19" s="521"/>
      <c r="CE19" s="521"/>
      <c r="CF19" s="521"/>
      <c r="CG19" s="521"/>
      <c r="CH19" s="521"/>
      <c r="CI19" s="521"/>
      <c r="CJ19" s="521"/>
      <c r="CK19" s="521"/>
      <c r="CL19" s="521"/>
      <c r="CM19" s="521"/>
      <c r="CN19" s="521"/>
      <c r="CO19" s="521"/>
      <c r="CP19" s="521"/>
      <c r="CQ19" s="521"/>
      <c r="CR19" s="521"/>
      <c r="CS19" s="521"/>
      <c r="CT19" s="521"/>
      <c r="CU19" s="521"/>
      <c r="CV19" s="521"/>
      <c r="CW19" s="521"/>
      <c r="CX19" s="521"/>
      <c r="CY19" s="521"/>
      <c r="CZ19" s="521"/>
      <c r="DA19" s="521"/>
      <c r="DB19" s="521"/>
      <c r="DC19" s="521"/>
      <c r="DD19" s="521"/>
      <c r="DE19" s="521"/>
      <c r="DF19" s="521"/>
      <c r="DG19" s="521"/>
      <c r="DH19" s="521"/>
      <c r="DI19" s="521"/>
      <c r="DJ19" s="521"/>
      <c r="DK19" s="521"/>
      <c r="DL19" s="521"/>
      <c r="DM19" s="521"/>
      <c r="DN19" s="521"/>
      <c r="DO19" s="521"/>
      <c r="DP19" s="521"/>
      <c r="DQ19" s="521"/>
      <c r="DR19" s="521"/>
      <c r="DS19" s="521"/>
      <c r="DT19" s="521"/>
      <c r="DU19" s="521"/>
      <c r="DV19" s="521"/>
      <c r="DW19" s="521"/>
      <c r="DX19" s="521"/>
      <c r="DY19" s="521"/>
      <c r="DZ19" s="521"/>
      <c r="EA19" s="521"/>
      <c r="EB19" s="521"/>
      <c r="EC19" s="521"/>
      <c r="ED19" s="521"/>
      <c r="EE19" s="521"/>
      <c r="EF19" s="521"/>
      <c r="EG19" s="521"/>
      <c r="EH19" s="521"/>
      <c r="EI19" s="521"/>
      <c r="EJ19" s="521"/>
      <c r="EK19" s="521"/>
      <c r="EL19" s="521"/>
      <c r="EM19" s="521"/>
      <c r="EN19" s="521"/>
      <c r="EO19" s="521"/>
      <c r="EP19" s="521"/>
      <c r="EQ19" s="521"/>
      <c r="ER19" s="521"/>
      <c r="ES19" s="521"/>
      <c r="ET19" s="521"/>
      <c r="EU19" s="521"/>
      <c r="EV19" s="521"/>
      <c r="EW19" s="521"/>
      <c r="EX19" s="521"/>
      <c r="EY19" s="521"/>
      <c r="EZ19" s="521"/>
      <c r="FA19" s="521"/>
      <c r="FB19" s="521"/>
      <c r="FC19" s="521"/>
      <c r="FD19" s="521"/>
      <c r="FE19" s="521"/>
      <c r="FF19" s="521"/>
      <c r="FG19" s="521"/>
      <c r="FH19" s="521"/>
      <c r="FI19" s="521"/>
      <c r="FJ19" s="521"/>
      <c r="FK19" s="521"/>
      <c r="FL19" s="521"/>
      <c r="FM19" s="521"/>
      <c r="FN19" s="521"/>
      <c r="FO19" s="521"/>
      <c r="FP19" s="521"/>
      <c r="FQ19" s="521"/>
      <c r="FR19" s="521"/>
      <c r="FS19" s="521"/>
      <c r="FT19" s="521"/>
      <c r="FU19" s="521"/>
      <c r="FV19" s="521"/>
      <c r="FW19" s="521"/>
      <c r="FX19" s="521"/>
      <c r="FY19" s="521"/>
      <c r="FZ19" s="521"/>
      <c r="GA19" s="521"/>
      <c r="GB19" s="521"/>
      <c r="GC19" s="521"/>
      <c r="GD19" s="521"/>
      <c r="GE19" s="521"/>
      <c r="GF19" s="521"/>
      <c r="GG19" s="521"/>
      <c r="GH19" s="521"/>
      <c r="GI19" s="521"/>
      <c r="GJ19" s="521"/>
      <c r="GK19" s="521"/>
      <c r="GL19" s="521"/>
      <c r="GM19" s="521"/>
      <c r="GN19" s="521"/>
      <c r="GO19" s="521"/>
      <c r="GP19" s="521"/>
      <c r="GQ19" s="521"/>
      <c r="GR19" s="521"/>
      <c r="GS19" s="521"/>
      <c r="GT19" s="521"/>
      <c r="GU19" s="521"/>
      <c r="GV19" s="521"/>
      <c r="GW19" s="521"/>
      <c r="GX19" s="521"/>
      <c r="GY19" s="521"/>
      <c r="GZ19" s="521"/>
      <c r="HA19" s="521"/>
      <c r="HB19" s="521"/>
      <c r="HC19" s="521"/>
      <c r="HD19" s="521"/>
      <c r="HE19" s="521"/>
      <c r="HF19" s="521"/>
      <c r="HG19" s="521"/>
      <c r="HH19" s="521"/>
      <c r="HI19" s="521"/>
      <c r="HJ19" s="521"/>
      <c r="HK19" s="521"/>
      <c r="HL19" s="521"/>
      <c r="HM19" s="521"/>
      <c r="HN19" s="521"/>
      <c r="HO19" s="521"/>
      <c r="HP19" s="521"/>
      <c r="HQ19" s="521"/>
      <c r="HR19" s="521"/>
      <c r="HS19" s="521"/>
      <c r="HT19" s="521"/>
      <c r="HU19" s="521"/>
      <c r="HV19" s="521"/>
      <c r="HW19" s="521"/>
      <c r="HX19" s="521"/>
      <c r="HY19" s="521"/>
      <c r="HZ19" s="521"/>
      <c r="IA19" s="521"/>
      <c r="IB19" s="521"/>
      <c r="IC19" s="521"/>
      <c r="ID19" s="521"/>
      <c r="IE19" s="521"/>
      <c r="IF19" s="521"/>
      <c r="IG19" s="521"/>
      <c r="IH19" s="521"/>
      <c r="II19" s="521"/>
      <c r="IJ19" s="521"/>
      <c r="IK19" s="521"/>
      <c r="IL19" s="521"/>
      <c r="IM19" s="521"/>
      <c r="IN19" s="521"/>
      <c r="IO19" s="521"/>
      <c r="IP19" s="521"/>
      <c r="IQ19" s="521"/>
      <c r="IR19" s="521"/>
      <c r="IS19" s="521"/>
      <c r="IT19" s="521"/>
      <c r="IU19" s="521"/>
      <c r="IV19" s="521"/>
    </row>
    <row r="20" spans="1:256" ht="15.75">
      <c r="A20" s="17"/>
      <c r="B20" s="17"/>
      <c r="C20" s="18"/>
      <c r="D20" s="530"/>
      <c r="E20" s="531"/>
      <c r="F20" s="20"/>
      <c r="G20" s="20"/>
      <c r="H20" s="20"/>
      <c r="I20" s="19"/>
      <c r="J20" s="464"/>
      <c r="K20" s="306" t="s">
        <v>546</v>
      </c>
      <c r="L20" s="306"/>
      <c r="M20" s="22"/>
      <c r="N20" s="532"/>
      <c r="O20" s="532"/>
      <c r="P20" s="532"/>
      <c r="Q20" s="532"/>
      <c r="R20" s="532"/>
      <c r="S20" s="532"/>
      <c r="T20" s="532"/>
      <c r="U20" s="532"/>
      <c r="V20" s="532"/>
      <c r="W20" s="532"/>
      <c r="X20" s="532"/>
      <c r="Y20" s="532"/>
      <c r="Z20" s="532"/>
      <c r="AA20" s="532"/>
      <c r="AB20" s="532"/>
      <c r="AC20" s="532"/>
      <c r="AD20" s="532"/>
      <c r="AE20" s="532"/>
      <c r="AF20" s="532"/>
      <c r="AG20" s="532"/>
      <c r="AH20" s="532"/>
      <c r="AI20" s="532"/>
      <c r="AJ20" s="532"/>
      <c r="AK20" s="532"/>
      <c r="AL20" s="532"/>
      <c r="AM20" s="532"/>
      <c r="AN20" s="532"/>
      <c r="AO20" s="532"/>
      <c r="AP20" s="532"/>
      <c r="AQ20" s="532"/>
      <c r="AR20" s="532"/>
      <c r="AS20" s="532"/>
      <c r="AT20" s="532"/>
      <c r="AU20" s="532"/>
      <c r="AV20" s="532"/>
      <c r="AW20" s="532"/>
      <c r="AX20" s="532"/>
      <c r="AY20" s="532"/>
      <c r="AZ20" s="532"/>
      <c r="BA20" s="532"/>
      <c r="BB20" s="532"/>
      <c r="BC20" s="532"/>
      <c r="BD20" s="532"/>
      <c r="BE20" s="532"/>
      <c r="BF20" s="532"/>
      <c r="BG20" s="532"/>
      <c r="BH20" s="532"/>
      <c r="BI20" s="532"/>
      <c r="BJ20" s="532"/>
      <c r="BK20" s="532"/>
      <c r="BL20" s="532"/>
      <c r="BM20" s="532"/>
      <c r="BN20" s="532"/>
      <c r="BO20" s="532"/>
      <c r="BP20" s="532"/>
      <c r="BQ20" s="532"/>
      <c r="BR20" s="532"/>
      <c r="BS20" s="532"/>
      <c r="BT20" s="532"/>
      <c r="BU20" s="532"/>
      <c r="BV20" s="532"/>
      <c r="BW20" s="532"/>
      <c r="BX20" s="532"/>
      <c r="BY20" s="532"/>
      <c r="BZ20" s="532"/>
      <c r="CA20" s="532"/>
      <c r="CB20" s="532"/>
      <c r="CC20" s="532"/>
      <c r="CD20" s="532"/>
      <c r="CE20" s="532"/>
      <c r="CF20" s="532"/>
      <c r="CG20" s="532"/>
      <c r="CH20" s="532"/>
      <c r="CI20" s="532"/>
      <c r="CJ20" s="532"/>
      <c r="CK20" s="532"/>
      <c r="CL20" s="532"/>
      <c r="CM20" s="532"/>
      <c r="CN20" s="532"/>
      <c r="CO20" s="532"/>
      <c r="CP20" s="532"/>
      <c r="CQ20" s="532"/>
      <c r="CR20" s="532"/>
      <c r="CS20" s="532"/>
      <c r="CT20" s="532"/>
      <c r="CU20" s="532"/>
      <c r="CV20" s="532"/>
      <c r="CW20" s="532"/>
      <c r="CX20" s="532"/>
      <c r="CY20" s="532"/>
      <c r="CZ20" s="532"/>
      <c r="DA20" s="532"/>
      <c r="DB20" s="532"/>
      <c r="DC20" s="532"/>
      <c r="DD20" s="532"/>
      <c r="DE20" s="532"/>
      <c r="DF20" s="532"/>
      <c r="DG20" s="532"/>
      <c r="DH20" s="532"/>
      <c r="DI20" s="532"/>
      <c r="DJ20" s="532"/>
      <c r="DK20" s="532"/>
      <c r="DL20" s="532"/>
      <c r="DM20" s="532"/>
      <c r="DN20" s="532"/>
      <c r="DO20" s="532"/>
      <c r="DP20" s="532"/>
      <c r="DQ20" s="532"/>
      <c r="DR20" s="532"/>
      <c r="DS20" s="532"/>
      <c r="DT20" s="532"/>
      <c r="DU20" s="532"/>
      <c r="DV20" s="532"/>
      <c r="DW20" s="532"/>
      <c r="DX20" s="532"/>
      <c r="DY20" s="532"/>
      <c r="DZ20" s="532"/>
      <c r="EA20" s="532"/>
      <c r="EB20" s="532"/>
      <c r="EC20" s="532"/>
      <c r="ED20" s="532"/>
      <c r="EE20" s="532"/>
      <c r="EF20" s="532"/>
      <c r="EG20" s="532"/>
      <c r="EH20" s="532"/>
      <c r="EI20" s="532"/>
      <c r="EJ20" s="532"/>
      <c r="EK20" s="532"/>
      <c r="EL20" s="532"/>
      <c r="EM20" s="532"/>
      <c r="EN20" s="532"/>
      <c r="EO20" s="532"/>
      <c r="EP20" s="532"/>
      <c r="EQ20" s="532"/>
      <c r="ER20" s="532"/>
      <c r="ES20" s="532"/>
      <c r="ET20" s="532"/>
      <c r="EU20" s="532"/>
      <c r="EV20" s="532"/>
      <c r="EW20" s="532"/>
      <c r="EX20" s="532"/>
      <c r="EY20" s="532"/>
      <c r="EZ20" s="532"/>
      <c r="FA20" s="532"/>
      <c r="FB20" s="532"/>
      <c r="FC20" s="532"/>
      <c r="FD20" s="532"/>
      <c r="FE20" s="532"/>
      <c r="FF20" s="532"/>
      <c r="FG20" s="532"/>
      <c r="FH20" s="532"/>
      <c r="FI20" s="532"/>
      <c r="FJ20" s="532"/>
      <c r="FK20" s="532"/>
      <c r="FL20" s="532"/>
      <c r="FM20" s="532"/>
      <c r="FN20" s="532"/>
      <c r="FO20" s="532"/>
      <c r="FP20" s="532"/>
      <c r="FQ20" s="532"/>
      <c r="FR20" s="532"/>
      <c r="FS20" s="532"/>
      <c r="FT20" s="532"/>
      <c r="FU20" s="532"/>
      <c r="FV20" s="532"/>
      <c r="FW20" s="532"/>
      <c r="FX20" s="532"/>
      <c r="FY20" s="532"/>
      <c r="FZ20" s="532"/>
      <c r="GA20" s="532"/>
      <c r="GB20" s="532"/>
      <c r="GC20" s="532"/>
      <c r="GD20" s="532"/>
      <c r="GE20" s="532"/>
      <c r="GF20" s="532"/>
      <c r="GG20" s="532"/>
      <c r="GH20" s="532"/>
      <c r="GI20" s="532"/>
      <c r="GJ20" s="532"/>
      <c r="GK20" s="532"/>
      <c r="GL20" s="532"/>
      <c r="GM20" s="532"/>
      <c r="GN20" s="532"/>
      <c r="GO20" s="532"/>
      <c r="GP20" s="532"/>
      <c r="GQ20" s="532"/>
      <c r="GR20" s="532"/>
      <c r="GS20" s="532"/>
      <c r="GT20" s="532"/>
      <c r="GU20" s="532"/>
      <c r="GV20" s="532"/>
      <c r="GW20" s="532"/>
      <c r="GX20" s="532"/>
      <c r="GY20" s="532"/>
      <c r="GZ20" s="532"/>
      <c r="HA20" s="532"/>
      <c r="HB20" s="532"/>
      <c r="HC20" s="532"/>
      <c r="HD20" s="532"/>
      <c r="HE20" s="532"/>
      <c r="HF20" s="532"/>
      <c r="HG20" s="532"/>
      <c r="HH20" s="532"/>
      <c r="HI20" s="532"/>
      <c r="HJ20" s="532"/>
      <c r="HK20" s="532"/>
      <c r="HL20" s="532"/>
      <c r="HM20" s="532"/>
      <c r="HN20" s="532"/>
      <c r="HO20" s="532"/>
      <c r="HP20" s="532"/>
      <c r="HQ20" s="532"/>
      <c r="HR20" s="532"/>
      <c r="HS20" s="532"/>
      <c r="HT20" s="532"/>
      <c r="HU20" s="532"/>
      <c r="HV20" s="532"/>
      <c r="HW20" s="532"/>
      <c r="HX20" s="532"/>
      <c r="HY20" s="532"/>
      <c r="HZ20" s="532"/>
      <c r="IA20" s="532"/>
      <c r="IB20" s="532"/>
      <c r="IC20" s="532"/>
      <c r="ID20" s="532"/>
      <c r="IE20" s="532"/>
      <c r="IF20" s="532"/>
      <c r="IG20" s="532"/>
      <c r="IH20" s="532"/>
      <c r="II20" s="532"/>
      <c r="IJ20" s="532"/>
      <c r="IK20" s="532"/>
      <c r="IL20" s="532"/>
      <c r="IM20" s="532"/>
      <c r="IN20" s="532"/>
      <c r="IO20" s="532"/>
      <c r="IP20" s="532"/>
      <c r="IQ20" s="532"/>
      <c r="IR20" s="532"/>
      <c r="IS20" s="532"/>
      <c r="IT20" s="532"/>
      <c r="IU20" s="532"/>
      <c r="IV20" s="532"/>
    </row>
    <row r="21" spans="1:256" ht="15.75">
      <c r="A21" s="466" t="s">
        <v>16</v>
      </c>
      <c r="B21" s="466"/>
      <c r="C21" s="466"/>
      <c r="D21" s="533"/>
      <c r="E21" s="534"/>
      <c r="H21" s="469"/>
      <c r="J21" s="535" t="s">
        <v>17</v>
      </c>
      <c r="K21" s="535"/>
      <c r="L21" s="535"/>
    </row>
    <row r="22" spans="1:256" ht="15.75">
      <c r="A22" s="536" t="s">
        <v>19</v>
      </c>
      <c r="B22" s="536"/>
      <c r="C22" s="536"/>
      <c r="D22" s="537"/>
      <c r="E22" s="538"/>
      <c r="H22" s="306"/>
      <c r="J22" s="539" t="s">
        <v>19</v>
      </c>
      <c r="K22" s="539"/>
      <c r="L22" s="539"/>
    </row>
    <row r="23" spans="1:256" ht="15.75">
      <c r="A23" s="540"/>
      <c r="B23" s="540"/>
      <c r="C23" s="540"/>
      <c r="D23" s="537"/>
      <c r="E23" s="538"/>
      <c r="H23" s="306"/>
      <c r="J23" s="306"/>
      <c r="K23" s="306"/>
      <c r="L23" s="541"/>
    </row>
    <row r="24" spans="1:256" ht="15.75">
      <c r="A24" s="540"/>
      <c r="B24" s="540"/>
      <c r="C24" s="540"/>
      <c r="D24" s="537"/>
      <c r="E24" s="538"/>
      <c r="H24" s="306"/>
      <c r="J24" s="306"/>
      <c r="K24" s="306"/>
      <c r="L24" s="541"/>
    </row>
    <row r="25" spans="1:256" ht="15">
      <c r="A25" s="542"/>
      <c r="B25" s="542"/>
      <c r="C25" s="542"/>
      <c r="I25" s="545"/>
      <c r="J25" s="546"/>
      <c r="K25" s="546"/>
      <c r="L25" s="546"/>
    </row>
    <row r="26" spans="1:256" ht="15">
      <c r="A26" s="542" t="s">
        <v>547</v>
      </c>
      <c r="B26" s="542"/>
      <c r="C26" s="542"/>
      <c r="I26" s="545"/>
      <c r="J26" s="546" t="s">
        <v>548</v>
      </c>
      <c r="K26" s="546"/>
      <c r="L26" s="546"/>
    </row>
  </sheetData>
  <mergeCells count="14">
    <mergeCell ref="A26:C26"/>
    <mergeCell ref="J26:L26"/>
    <mergeCell ref="A21:C21"/>
    <mergeCell ref="J21:L21"/>
    <mergeCell ref="A22:C22"/>
    <mergeCell ref="J22:L22"/>
    <mergeCell ref="A25:C25"/>
    <mergeCell ref="J25:L25"/>
    <mergeCell ref="A4:M4"/>
    <mergeCell ref="A5:M5"/>
    <mergeCell ref="B9:D9"/>
    <mergeCell ref="B12:C12"/>
    <mergeCell ref="B15:D15"/>
    <mergeCell ref="A19:D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4" workbookViewId="0">
      <selection activeCell="O18" sqref="O18"/>
    </sheetView>
  </sheetViews>
  <sheetFormatPr defaultColWidth="9" defaultRowHeight="15"/>
  <cols>
    <col min="1" max="1" width="6.7109375" style="551" customWidth="1"/>
    <col min="2" max="2" width="9" style="551" customWidth="1"/>
    <col min="3" max="3" width="26.28515625" style="551" customWidth="1"/>
    <col min="4" max="4" width="11.5703125" style="551" customWidth="1"/>
    <col min="5" max="5" width="6.7109375" style="551" customWidth="1"/>
    <col min="6" max="6" width="13.5703125" style="551" customWidth="1"/>
    <col min="7" max="7" width="15" style="551" customWidth="1"/>
    <col min="8" max="8" width="13.140625" style="551" customWidth="1"/>
    <col min="9" max="9" width="7" style="608" customWidth="1"/>
    <col min="10" max="10" width="8.7109375" style="609" customWidth="1"/>
    <col min="11" max="11" width="13.140625" style="551" customWidth="1"/>
    <col min="12" max="12" width="12.7109375" style="551" customWidth="1"/>
    <col min="13" max="13" width="15.42578125" style="551" customWidth="1"/>
    <col min="14" max="14" width="9.28515625" style="551" hidden="1" customWidth="1"/>
    <col min="15" max="256" width="9" style="551"/>
    <col min="257" max="257" width="6.7109375" style="551" customWidth="1"/>
    <col min="258" max="258" width="9" style="551" customWidth="1"/>
    <col min="259" max="259" width="26.28515625" style="551" customWidth="1"/>
    <col min="260" max="260" width="11.5703125" style="551" customWidth="1"/>
    <col min="261" max="261" width="6.7109375" style="551" customWidth="1"/>
    <col min="262" max="262" width="13.5703125" style="551" customWidth="1"/>
    <col min="263" max="263" width="15" style="551" customWidth="1"/>
    <col min="264" max="264" width="13.140625" style="551" customWidth="1"/>
    <col min="265" max="265" width="7" style="551" customWidth="1"/>
    <col min="266" max="266" width="8.7109375" style="551" customWidth="1"/>
    <col min="267" max="267" width="13.140625" style="551" customWidth="1"/>
    <col min="268" max="268" width="12.7109375" style="551" customWidth="1"/>
    <col min="269" max="269" width="15.42578125" style="551" customWidth="1"/>
    <col min="270" max="270" width="0" style="551" hidden="1" customWidth="1"/>
    <col min="271" max="512" width="9" style="551"/>
    <col min="513" max="513" width="6.7109375" style="551" customWidth="1"/>
    <col min="514" max="514" width="9" style="551" customWidth="1"/>
    <col min="515" max="515" width="26.28515625" style="551" customWidth="1"/>
    <col min="516" max="516" width="11.5703125" style="551" customWidth="1"/>
    <col min="517" max="517" width="6.7109375" style="551" customWidth="1"/>
    <col min="518" max="518" width="13.5703125" style="551" customWidth="1"/>
    <col min="519" max="519" width="15" style="551" customWidth="1"/>
    <col min="520" max="520" width="13.140625" style="551" customWidth="1"/>
    <col min="521" max="521" width="7" style="551" customWidth="1"/>
    <col min="522" max="522" width="8.7109375" style="551" customWidth="1"/>
    <col min="523" max="523" width="13.140625" style="551" customWidth="1"/>
    <col min="524" max="524" width="12.7109375" style="551" customWidth="1"/>
    <col min="525" max="525" width="15.42578125" style="551" customWidth="1"/>
    <col min="526" max="526" width="0" style="551" hidden="1" customWidth="1"/>
    <col min="527" max="768" width="9" style="551"/>
    <col min="769" max="769" width="6.7109375" style="551" customWidth="1"/>
    <col min="770" max="770" width="9" style="551" customWidth="1"/>
    <col min="771" max="771" width="26.28515625" style="551" customWidth="1"/>
    <col min="772" max="772" width="11.5703125" style="551" customWidth="1"/>
    <col min="773" max="773" width="6.7109375" style="551" customWidth="1"/>
    <col min="774" max="774" width="13.5703125" style="551" customWidth="1"/>
    <col min="775" max="775" width="15" style="551" customWidth="1"/>
    <col min="776" max="776" width="13.140625" style="551" customWidth="1"/>
    <col min="777" max="777" width="7" style="551" customWidth="1"/>
    <col min="778" max="778" width="8.7109375" style="551" customWidth="1"/>
    <col min="779" max="779" width="13.140625" style="551" customWidth="1"/>
    <col min="780" max="780" width="12.7109375" style="551" customWidth="1"/>
    <col min="781" max="781" width="15.42578125" style="551" customWidth="1"/>
    <col min="782" max="782" width="0" style="551" hidden="1" customWidth="1"/>
    <col min="783" max="1024" width="9" style="551"/>
    <col min="1025" max="1025" width="6.7109375" style="551" customWidth="1"/>
    <col min="1026" max="1026" width="9" style="551" customWidth="1"/>
    <col min="1027" max="1027" width="26.28515625" style="551" customWidth="1"/>
    <col min="1028" max="1028" width="11.5703125" style="551" customWidth="1"/>
    <col min="1029" max="1029" width="6.7109375" style="551" customWidth="1"/>
    <col min="1030" max="1030" width="13.5703125" style="551" customWidth="1"/>
    <col min="1031" max="1031" width="15" style="551" customWidth="1"/>
    <col min="1032" max="1032" width="13.140625" style="551" customWidth="1"/>
    <col min="1033" max="1033" width="7" style="551" customWidth="1"/>
    <col min="1034" max="1034" width="8.7109375" style="551" customWidth="1"/>
    <col min="1035" max="1035" width="13.140625" style="551" customWidth="1"/>
    <col min="1036" max="1036" width="12.7109375" style="551" customWidth="1"/>
    <col min="1037" max="1037" width="15.42578125" style="551" customWidth="1"/>
    <col min="1038" max="1038" width="0" style="551" hidden="1" customWidth="1"/>
    <col min="1039" max="1280" width="9" style="551"/>
    <col min="1281" max="1281" width="6.7109375" style="551" customWidth="1"/>
    <col min="1282" max="1282" width="9" style="551" customWidth="1"/>
    <col min="1283" max="1283" width="26.28515625" style="551" customWidth="1"/>
    <col min="1284" max="1284" width="11.5703125" style="551" customWidth="1"/>
    <col min="1285" max="1285" width="6.7109375" style="551" customWidth="1"/>
    <col min="1286" max="1286" width="13.5703125" style="551" customWidth="1"/>
    <col min="1287" max="1287" width="15" style="551" customWidth="1"/>
    <col min="1288" max="1288" width="13.140625" style="551" customWidth="1"/>
    <col min="1289" max="1289" width="7" style="551" customWidth="1"/>
    <col min="1290" max="1290" width="8.7109375" style="551" customWidth="1"/>
    <col min="1291" max="1291" width="13.140625" style="551" customWidth="1"/>
    <col min="1292" max="1292" width="12.7109375" style="551" customWidth="1"/>
    <col min="1293" max="1293" width="15.42578125" style="551" customWidth="1"/>
    <col min="1294" max="1294" width="0" style="551" hidden="1" customWidth="1"/>
    <col min="1295" max="1536" width="9" style="551"/>
    <col min="1537" max="1537" width="6.7109375" style="551" customWidth="1"/>
    <col min="1538" max="1538" width="9" style="551" customWidth="1"/>
    <col min="1539" max="1539" width="26.28515625" style="551" customWidth="1"/>
    <col min="1540" max="1540" width="11.5703125" style="551" customWidth="1"/>
    <col min="1541" max="1541" width="6.7109375" style="551" customWidth="1"/>
    <col min="1542" max="1542" width="13.5703125" style="551" customWidth="1"/>
    <col min="1543" max="1543" width="15" style="551" customWidth="1"/>
    <col min="1544" max="1544" width="13.140625" style="551" customWidth="1"/>
    <col min="1545" max="1545" width="7" style="551" customWidth="1"/>
    <col min="1546" max="1546" width="8.7109375" style="551" customWidth="1"/>
    <col min="1547" max="1547" width="13.140625" style="551" customWidth="1"/>
    <col min="1548" max="1548" width="12.7109375" style="551" customWidth="1"/>
    <col min="1549" max="1549" width="15.42578125" style="551" customWidth="1"/>
    <col min="1550" max="1550" width="0" style="551" hidden="1" customWidth="1"/>
    <col min="1551" max="1792" width="9" style="551"/>
    <col min="1793" max="1793" width="6.7109375" style="551" customWidth="1"/>
    <col min="1794" max="1794" width="9" style="551" customWidth="1"/>
    <col min="1795" max="1795" width="26.28515625" style="551" customWidth="1"/>
    <col min="1796" max="1796" width="11.5703125" style="551" customWidth="1"/>
    <col min="1797" max="1797" width="6.7109375" style="551" customWidth="1"/>
    <col min="1798" max="1798" width="13.5703125" style="551" customWidth="1"/>
    <col min="1799" max="1799" width="15" style="551" customWidth="1"/>
    <col min="1800" max="1800" width="13.140625" style="551" customWidth="1"/>
    <col min="1801" max="1801" width="7" style="551" customWidth="1"/>
    <col min="1802" max="1802" width="8.7109375" style="551" customWidth="1"/>
    <col min="1803" max="1803" width="13.140625" style="551" customWidth="1"/>
    <col min="1804" max="1804" width="12.7109375" style="551" customWidth="1"/>
    <col min="1805" max="1805" width="15.42578125" style="551" customWidth="1"/>
    <col min="1806" max="1806" width="0" style="551" hidden="1" customWidth="1"/>
    <col min="1807" max="2048" width="9" style="551"/>
    <col min="2049" max="2049" width="6.7109375" style="551" customWidth="1"/>
    <col min="2050" max="2050" width="9" style="551" customWidth="1"/>
    <col min="2051" max="2051" width="26.28515625" style="551" customWidth="1"/>
    <col min="2052" max="2052" width="11.5703125" style="551" customWidth="1"/>
    <col min="2053" max="2053" width="6.7109375" style="551" customWidth="1"/>
    <col min="2054" max="2054" width="13.5703125" style="551" customWidth="1"/>
    <col min="2055" max="2055" width="15" style="551" customWidth="1"/>
    <col min="2056" max="2056" width="13.140625" style="551" customWidth="1"/>
    <col min="2057" max="2057" width="7" style="551" customWidth="1"/>
    <col min="2058" max="2058" width="8.7109375" style="551" customWidth="1"/>
    <col min="2059" max="2059" width="13.140625" style="551" customWidth="1"/>
    <col min="2060" max="2060" width="12.7109375" style="551" customWidth="1"/>
    <col min="2061" max="2061" width="15.42578125" style="551" customWidth="1"/>
    <col min="2062" max="2062" width="0" style="551" hidden="1" customWidth="1"/>
    <col min="2063" max="2304" width="9" style="551"/>
    <col min="2305" max="2305" width="6.7109375" style="551" customWidth="1"/>
    <col min="2306" max="2306" width="9" style="551" customWidth="1"/>
    <col min="2307" max="2307" width="26.28515625" style="551" customWidth="1"/>
    <col min="2308" max="2308" width="11.5703125" style="551" customWidth="1"/>
    <col min="2309" max="2309" width="6.7109375" style="551" customWidth="1"/>
    <col min="2310" max="2310" width="13.5703125" style="551" customWidth="1"/>
    <col min="2311" max="2311" width="15" style="551" customWidth="1"/>
    <col min="2312" max="2312" width="13.140625" style="551" customWidth="1"/>
    <col min="2313" max="2313" width="7" style="551" customWidth="1"/>
    <col min="2314" max="2314" width="8.7109375" style="551" customWidth="1"/>
    <col min="2315" max="2315" width="13.140625" style="551" customWidth="1"/>
    <col min="2316" max="2316" width="12.7109375" style="551" customWidth="1"/>
    <col min="2317" max="2317" width="15.42578125" style="551" customWidth="1"/>
    <col min="2318" max="2318" width="0" style="551" hidden="1" customWidth="1"/>
    <col min="2319" max="2560" width="9" style="551"/>
    <col min="2561" max="2561" width="6.7109375" style="551" customWidth="1"/>
    <col min="2562" max="2562" width="9" style="551" customWidth="1"/>
    <col min="2563" max="2563" width="26.28515625" style="551" customWidth="1"/>
    <col min="2564" max="2564" width="11.5703125" style="551" customWidth="1"/>
    <col min="2565" max="2565" width="6.7109375" style="551" customWidth="1"/>
    <col min="2566" max="2566" width="13.5703125" style="551" customWidth="1"/>
    <col min="2567" max="2567" width="15" style="551" customWidth="1"/>
    <col min="2568" max="2568" width="13.140625" style="551" customWidth="1"/>
    <col min="2569" max="2569" width="7" style="551" customWidth="1"/>
    <col min="2570" max="2570" width="8.7109375" style="551" customWidth="1"/>
    <col min="2571" max="2571" width="13.140625" style="551" customWidth="1"/>
    <col min="2572" max="2572" width="12.7109375" style="551" customWidth="1"/>
    <col min="2573" max="2573" width="15.42578125" style="551" customWidth="1"/>
    <col min="2574" max="2574" width="0" style="551" hidden="1" customWidth="1"/>
    <col min="2575" max="2816" width="9" style="551"/>
    <col min="2817" max="2817" width="6.7109375" style="551" customWidth="1"/>
    <col min="2818" max="2818" width="9" style="551" customWidth="1"/>
    <col min="2819" max="2819" width="26.28515625" style="551" customWidth="1"/>
    <col min="2820" max="2820" width="11.5703125" style="551" customWidth="1"/>
    <col min="2821" max="2821" width="6.7109375" style="551" customWidth="1"/>
    <col min="2822" max="2822" width="13.5703125" style="551" customWidth="1"/>
    <col min="2823" max="2823" width="15" style="551" customWidth="1"/>
    <col min="2824" max="2824" width="13.140625" style="551" customWidth="1"/>
    <col min="2825" max="2825" width="7" style="551" customWidth="1"/>
    <col min="2826" max="2826" width="8.7109375" style="551" customWidth="1"/>
    <col min="2827" max="2827" width="13.140625" style="551" customWidth="1"/>
    <col min="2828" max="2828" width="12.7109375" style="551" customWidth="1"/>
    <col min="2829" max="2829" width="15.42578125" style="551" customWidth="1"/>
    <col min="2830" max="2830" width="0" style="551" hidden="1" customWidth="1"/>
    <col min="2831" max="3072" width="9" style="551"/>
    <col min="3073" max="3073" width="6.7109375" style="551" customWidth="1"/>
    <col min="3074" max="3074" width="9" style="551" customWidth="1"/>
    <col min="3075" max="3075" width="26.28515625" style="551" customWidth="1"/>
    <col min="3076" max="3076" width="11.5703125" style="551" customWidth="1"/>
    <col min="3077" max="3077" width="6.7109375" style="551" customWidth="1"/>
    <col min="3078" max="3078" width="13.5703125" style="551" customWidth="1"/>
    <col min="3079" max="3079" width="15" style="551" customWidth="1"/>
    <col min="3080" max="3080" width="13.140625" style="551" customWidth="1"/>
    <col min="3081" max="3081" width="7" style="551" customWidth="1"/>
    <col min="3082" max="3082" width="8.7109375" style="551" customWidth="1"/>
    <col min="3083" max="3083" width="13.140625" style="551" customWidth="1"/>
    <col min="3084" max="3084" width="12.7109375" style="551" customWidth="1"/>
    <col min="3085" max="3085" width="15.42578125" style="551" customWidth="1"/>
    <col min="3086" max="3086" width="0" style="551" hidden="1" customWidth="1"/>
    <col min="3087" max="3328" width="9" style="551"/>
    <col min="3329" max="3329" width="6.7109375" style="551" customWidth="1"/>
    <col min="3330" max="3330" width="9" style="551" customWidth="1"/>
    <col min="3331" max="3331" width="26.28515625" style="551" customWidth="1"/>
    <col min="3332" max="3332" width="11.5703125" style="551" customWidth="1"/>
    <col min="3333" max="3333" width="6.7109375" style="551" customWidth="1"/>
    <col min="3334" max="3334" width="13.5703125" style="551" customWidth="1"/>
    <col min="3335" max="3335" width="15" style="551" customWidth="1"/>
    <col min="3336" max="3336" width="13.140625" style="551" customWidth="1"/>
    <col min="3337" max="3337" width="7" style="551" customWidth="1"/>
    <col min="3338" max="3338" width="8.7109375" style="551" customWidth="1"/>
    <col min="3339" max="3339" width="13.140625" style="551" customWidth="1"/>
    <col min="3340" max="3340" width="12.7109375" style="551" customWidth="1"/>
    <col min="3341" max="3341" width="15.42578125" style="551" customWidth="1"/>
    <col min="3342" max="3342" width="0" style="551" hidden="1" customWidth="1"/>
    <col min="3343" max="3584" width="9" style="551"/>
    <col min="3585" max="3585" width="6.7109375" style="551" customWidth="1"/>
    <col min="3586" max="3586" width="9" style="551" customWidth="1"/>
    <col min="3587" max="3587" width="26.28515625" style="551" customWidth="1"/>
    <col min="3588" max="3588" width="11.5703125" style="551" customWidth="1"/>
    <col min="3589" max="3589" width="6.7109375" style="551" customWidth="1"/>
    <col min="3590" max="3590" width="13.5703125" style="551" customWidth="1"/>
    <col min="3591" max="3591" width="15" style="551" customWidth="1"/>
    <col min="3592" max="3592" width="13.140625" style="551" customWidth="1"/>
    <col min="3593" max="3593" width="7" style="551" customWidth="1"/>
    <col min="3594" max="3594" width="8.7109375" style="551" customWidth="1"/>
    <col min="3595" max="3595" width="13.140625" style="551" customWidth="1"/>
    <col min="3596" max="3596" width="12.7109375" style="551" customWidth="1"/>
    <col min="3597" max="3597" width="15.42578125" style="551" customWidth="1"/>
    <col min="3598" max="3598" width="0" style="551" hidden="1" customWidth="1"/>
    <col min="3599" max="3840" width="9" style="551"/>
    <col min="3841" max="3841" width="6.7109375" style="551" customWidth="1"/>
    <col min="3842" max="3842" width="9" style="551" customWidth="1"/>
    <col min="3843" max="3843" width="26.28515625" style="551" customWidth="1"/>
    <col min="3844" max="3844" width="11.5703125" style="551" customWidth="1"/>
    <col min="3845" max="3845" width="6.7109375" style="551" customWidth="1"/>
    <col min="3846" max="3846" width="13.5703125" style="551" customWidth="1"/>
    <col min="3847" max="3847" width="15" style="551" customWidth="1"/>
    <col min="3848" max="3848" width="13.140625" style="551" customWidth="1"/>
    <col min="3849" max="3849" width="7" style="551" customWidth="1"/>
    <col min="3850" max="3850" width="8.7109375" style="551" customWidth="1"/>
    <col min="3851" max="3851" width="13.140625" style="551" customWidth="1"/>
    <col min="3852" max="3852" width="12.7109375" style="551" customWidth="1"/>
    <col min="3853" max="3853" width="15.42578125" style="551" customWidth="1"/>
    <col min="3854" max="3854" width="0" style="551" hidden="1" customWidth="1"/>
    <col min="3855" max="4096" width="9" style="551"/>
    <col min="4097" max="4097" width="6.7109375" style="551" customWidth="1"/>
    <col min="4098" max="4098" width="9" style="551" customWidth="1"/>
    <col min="4099" max="4099" width="26.28515625" style="551" customWidth="1"/>
    <col min="4100" max="4100" width="11.5703125" style="551" customWidth="1"/>
    <col min="4101" max="4101" width="6.7109375" style="551" customWidth="1"/>
    <col min="4102" max="4102" width="13.5703125" style="551" customWidth="1"/>
    <col min="4103" max="4103" width="15" style="551" customWidth="1"/>
    <col min="4104" max="4104" width="13.140625" style="551" customWidth="1"/>
    <col min="4105" max="4105" width="7" style="551" customWidth="1"/>
    <col min="4106" max="4106" width="8.7109375" style="551" customWidth="1"/>
    <col min="4107" max="4107" width="13.140625" style="551" customWidth="1"/>
    <col min="4108" max="4108" width="12.7109375" style="551" customWidth="1"/>
    <col min="4109" max="4109" width="15.42578125" style="551" customWidth="1"/>
    <col min="4110" max="4110" width="0" style="551" hidden="1" customWidth="1"/>
    <col min="4111" max="4352" width="9" style="551"/>
    <col min="4353" max="4353" width="6.7109375" style="551" customWidth="1"/>
    <col min="4354" max="4354" width="9" style="551" customWidth="1"/>
    <col min="4355" max="4355" width="26.28515625" style="551" customWidth="1"/>
    <col min="4356" max="4356" width="11.5703125" style="551" customWidth="1"/>
    <col min="4357" max="4357" width="6.7109375" style="551" customWidth="1"/>
    <col min="4358" max="4358" width="13.5703125" style="551" customWidth="1"/>
    <col min="4359" max="4359" width="15" style="551" customWidth="1"/>
    <col min="4360" max="4360" width="13.140625" style="551" customWidth="1"/>
    <col min="4361" max="4361" width="7" style="551" customWidth="1"/>
    <col min="4362" max="4362" width="8.7109375" style="551" customWidth="1"/>
    <col min="4363" max="4363" width="13.140625" style="551" customWidth="1"/>
    <col min="4364" max="4364" width="12.7109375" style="551" customWidth="1"/>
    <col min="4365" max="4365" width="15.42578125" style="551" customWidth="1"/>
    <col min="4366" max="4366" width="0" style="551" hidden="1" customWidth="1"/>
    <col min="4367" max="4608" width="9" style="551"/>
    <col min="4609" max="4609" width="6.7109375" style="551" customWidth="1"/>
    <col min="4610" max="4610" width="9" style="551" customWidth="1"/>
    <col min="4611" max="4611" width="26.28515625" style="551" customWidth="1"/>
    <col min="4612" max="4612" width="11.5703125" style="551" customWidth="1"/>
    <col min="4613" max="4613" width="6.7109375" style="551" customWidth="1"/>
    <col min="4614" max="4614" width="13.5703125" style="551" customWidth="1"/>
    <col min="4615" max="4615" width="15" style="551" customWidth="1"/>
    <col min="4616" max="4616" width="13.140625" style="551" customWidth="1"/>
    <col min="4617" max="4617" width="7" style="551" customWidth="1"/>
    <col min="4618" max="4618" width="8.7109375" style="551" customWidth="1"/>
    <col min="4619" max="4619" width="13.140625" style="551" customWidth="1"/>
    <col min="4620" max="4620" width="12.7109375" style="551" customWidth="1"/>
    <col min="4621" max="4621" width="15.42578125" style="551" customWidth="1"/>
    <col min="4622" max="4622" width="0" style="551" hidden="1" customWidth="1"/>
    <col min="4623" max="4864" width="9" style="551"/>
    <col min="4865" max="4865" width="6.7109375" style="551" customWidth="1"/>
    <col min="4866" max="4866" width="9" style="551" customWidth="1"/>
    <col min="4867" max="4867" width="26.28515625" style="551" customWidth="1"/>
    <col min="4868" max="4868" width="11.5703125" style="551" customWidth="1"/>
    <col min="4869" max="4869" width="6.7109375" style="551" customWidth="1"/>
    <col min="4870" max="4870" width="13.5703125" style="551" customWidth="1"/>
    <col min="4871" max="4871" width="15" style="551" customWidth="1"/>
    <col min="4872" max="4872" width="13.140625" style="551" customWidth="1"/>
    <col min="4873" max="4873" width="7" style="551" customWidth="1"/>
    <col min="4874" max="4874" width="8.7109375" style="551" customWidth="1"/>
    <col min="4875" max="4875" width="13.140625" style="551" customWidth="1"/>
    <col min="4876" max="4876" width="12.7109375" style="551" customWidth="1"/>
    <col min="4877" max="4877" width="15.42578125" style="551" customWidth="1"/>
    <col min="4878" max="4878" width="0" style="551" hidden="1" customWidth="1"/>
    <col min="4879" max="5120" width="9" style="551"/>
    <col min="5121" max="5121" width="6.7109375" style="551" customWidth="1"/>
    <col min="5122" max="5122" width="9" style="551" customWidth="1"/>
    <col min="5123" max="5123" width="26.28515625" style="551" customWidth="1"/>
    <col min="5124" max="5124" width="11.5703125" style="551" customWidth="1"/>
    <col min="5125" max="5125" width="6.7109375" style="551" customWidth="1"/>
    <col min="5126" max="5126" width="13.5703125" style="551" customWidth="1"/>
    <col min="5127" max="5127" width="15" style="551" customWidth="1"/>
    <col min="5128" max="5128" width="13.140625" style="551" customWidth="1"/>
    <col min="5129" max="5129" width="7" style="551" customWidth="1"/>
    <col min="5130" max="5130" width="8.7109375" style="551" customWidth="1"/>
    <col min="5131" max="5131" width="13.140625" style="551" customWidth="1"/>
    <col min="5132" max="5132" width="12.7109375" style="551" customWidth="1"/>
    <col min="5133" max="5133" width="15.42578125" style="551" customWidth="1"/>
    <col min="5134" max="5134" width="0" style="551" hidden="1" customWidth="1"/>
    <col min="5135" max="5376" width="9" style="551"/>
    <col min="5377" max="5377" width="6.7109375" style="551" customWidth="1"/>
    <col min="5378" max="5378" width="9" style="551" customWidth="1"/>
    <col min="5379" max="5379" width="26.28515625" style="551" customWidth="1"/>
    <col min="5380" max="5380" width="11.5703125" style="551" customWidth="1"/>
    <col min="5381" max="5381" width="6.7109375" style="551" customWidth="1"/>
    <col min="5382" max="5382" width="13.5703125" style="551" customWidth="1"/>
    <col min="5383" max="5383" width="15" style="551" customWidth="1"/>
    <col min="5384" max="5384" width="13.140625" style="551" customWidth="1"/>
    <col min="5385" max="5385" width="7" style="551" customWidth="1"/>
    <col min="5386" max="5386" width="8.7109375" style="551" customWidth="1"/>
    <col min="5387" max="5387" width="13.140625" style="551" customWidth="1"/>
    <col min="5388" max="5388" width="12.7109375" style="551" customWidth="1"/>
    <col min="5389" max="5389" width="15.42578125" style="551" customWidth="1"/>
    <col min="5390" max="5390" width="0" style="551" hidden="1" customWidth="1"/>
    <col min="5391" max="5632" width="9" style="551"/>
    <col min="5633" max="5633" width="6.7109375" style="551" customWidth="1"/>
    <col min="5634" max="5634" width="9" style="551" customWidth="1"/>
    <col min="5635" max="5635" width="26.28515625" style="551" customWidth="1"/>
    <col min="5636" max="5636" width="11.5703125" style="551" customWidth="1"/>
    <col min="5637" max="5637" width="6.7109375" style="551" customWidth="1"/>
    <col min="5638" max="5638" width="13.5703125" style="551" customWidth="1"/>
    <col min="5639" max="5639" width="15" style="551" customWidth="1"/>
    <col min="5640" max="5640" width="13.140625" style="551" customWidth="1"/>
    <col min="5641" max="5641" width="7" style="551" customWidth="1"/>
    <col min="5642" max="5642" width="8.7109375" style="551" customWidth="1"/>
    <col min="5643" max="5643" width="13.140625" style="551" customWidth="1"/>
    <col min="5644" max="5644" width="12.7109375" style="551" customWidth="1"/>
    <col min="5645" max="5645" width="15.42578125" style="551" customWidth="1"/>
    <col min="5646" max="5646" width="0" style="551" hidden="1" customWidth="1"/>
    <col min="5647" max="5888" width="9" style="551"/>
    <col min="5889" max="5889" width="6.7109375" style="551" customWidth="1"/>
    <col min="5890" max="5890" width="9" style="551" customWidth="1"/>
    <col min="5891" max="5891" width="26.28515625" style="551" customWidth="1"/>
    <col min="5892" max="5892" width="11.5703125" style="551" customWidth="1"/>
    <col min="5893" max="5893" width="6.7109375" style="551" customWidth="1"/>
    <col min="5894" max="5894" width="13.5703125" style="551" customWidth="1"/>
    <col min="5895" max="5895" width="15" style="551" customWidth="1"/>
    <col min="5896" max="5896" width="13.140625" style="551" customWidth="1"/>
    <col min="5897" max="5897" width="7" style="551" customWidth="1"/>
    <col min="5898" max="5898" width="8.7109375" style="551" customWidth="1"/>
    <col min="5899" max="5899" width="13.140625" style="551" customWidth="1"/>
    <col min="5900" max="5900" width="12.7109375" style="551" customWidth="1"/>
    <col min="5901" max="5901" width="15.42578125" style="551" customWidth="1"/>
    <col min="5902" max="5902" width="0" style="551" hidden="1" customWidth="1"/>
    <col min="5903" max="6144" width="9" style="551"/>
    <col min="6145" max="6145" width="6.7109375" style="551" customWidth="1"/>
    <col min="6146" max="6146" width="9" style="551" customWidth="1"/>
    <col min="6147" max="6147" width="26.28515625" style="551" customWidth="1"/>
    <col min="6148" max="6148" width="11.5703125" style="551" customWidth="1"/>
    <col min="6149" max="6149" width="6.7109375" style="551" customWidth="1"/>
    <col min="6150" max="6150" width="13.5703125" style="551" customWidth="1"/>
    <col min="6151" max="6151" width="15" style="551" customWidth="1"/>
    <col min="6152" max="6152" width="13.140625" style="551" customWidth="1"/>
    <col min="6153" max="6153" width="7" style="551" customWidth="1"/>
    <col min="6154" max="6154" width="8.7109375" style="551" customWidth="1"/>
    <col min="6155" max="6155" width="13.140625" style="551" customWidth="1"/>
    <col min="6156" max="6156" width="12.7109375" style="551" customWidth="1"/>
    <col min="6157" max="6157" width="15.42578125" style="551" customWidth="1"/>
    <col min="6158" max="6158" width="0" style="551" hidden="1" customWidth="1"/>
    <col min="6159" max="6400" width="9" style="551"/>
    <col min="6401" max="6401" width="6.7109375" style="551" customWidth="1"/>
    <col min="6402" max="6402" width="9" style="551" customWidth="1"/>
    <col min="6403" max="6403" width="26.28515625" style="551" customWidth="1"/>
    <col min="6404" max="6404" width="11.5703125" style="551" customWidth="1"/>
    <col min="6405" max="6405" width="6.7109375" style="551" customWidth="1"/>
    <col min="6406" max="6406" width="13.5703125" style="551" customWidth="1"/>
    <col min="6407" max="6407" width="15" style="551" customWidth="1"/>
    <col min="6408" max="6408" width="13.140625" style="551" customWidth="1"/>
    <col min="6409" max="6409" width="7" style="551" customWidth="1"/>
    <col min="6410" max="6410" width="8.7109375" style="551" customWidth="1"/>
    <col min="6411" max="6411" width="13.140625" style="551" customWidth="1"/>
    <col min="6412" max="6412" width="12.7109375" style="551" customWidth="1"/>
    <col min="6413" max="6413" width="15.42578125" style="551" customWidth="1"/>
    <col min="6414" max="6414" width="0" style="551" hidden="1" customWidth="1"/>
    <col min="6415" max="6656" width="9" style="551"/>
    <col min="6657" max="6657" width="6.7109375" style="551" customWidth="1"/>
    <col min="6658" max="6658" width="9" style="551" customWidth="1"/>
    <col min="6659" max="6659" width="26.28515625" style="551" customWidth="1"/>
    <col min="6660" max="6660" width="11.5703125" style="551" customWidth="1"/>
    <col min="6661" max="6661" width="6.7109375" style="551" customWidth="1"/>
    <col min="6662" max="6662" width="13.5703125" style="551" customWidth="1"/>
    <col min="6663" max="6663" width="15" style="551" customWidth="1"/>
    <col min="6664" max="6664" width="13.140625" style="551" customWidth="1"/>
    <col min="6665" max="6665" width="7" style="551" customWidth="1"/>
    <col min="6666" max="6666" width="8.7109375" style="551" customWidth="1"/>
    <col min="6667" max="6667" width="13.140625" style="551" customWidth="1"/>
    <col min="6668" max="6668" width="12.7109375" style="551" customWidth="1"/>
    <col min="6669" max="6669" width="15.42578125" style="551" customWidth="1"/>
    <col min="6670" max="6670" width="0" style="551" hidden="1" customWidth="1"/>
    <col min="6671" max="6912" width="9" style="551"/>
    <col min="6913" max="6913" width="6.7109375" style="551" customWidth="1"/>
    <col min="6914" max="6914" width="9" style="551" customWidth="1"/>
    <col min="6915" max="6915" width="26.28515625" style="551" customWidth="1"/>
    <col min="6916" max="6916" width="11.5703125" style="551" customWidth="1"/>
    <col min="6917" max="6917" width="6.7109375" style="551" customWidth="1"/>
    <col min="6918" max="6918" width="13.5703125" style="551" customWidth="1"/>
    <col min="6919" max="6919" width="15" style="551" customWidth="1"/>
    <col min="6920" max="6920" width="13.140625" style="551" customWidth="1"/>
    <col min="6921" max="6921" width="7" style="551" customWidth="1"/>
    <col min="6922" max="6922" width="8.7109375" style="551" customWidth="1"/>
    <col min="6923" max="6923" width="13.140625" style="551" customWidth="1"/>
    <col min="6924" max="6924" width="12.7109375" style="551" customWidth="1"/>
    <col min="6925" max="6925" width="15.42578125" style="551" customWidth="1"/>
    <col min="6926" max="6926" width="0" style="551" hidden="1" customWidth="1"/>
    <col min="6927" max="7168" width="9" style="551"/>
    <col min="7169" max="7169" width="6.7109375" style="551" customWidth="1"/>
    <col min="7170" max="7170" width="9" style="551" customWidth="1"/>
    <col min="7171" max="7171" width="26.28515625" style="551" customWidth="1"/>
    <col min="7172" max="7172" width="11.5703125" style="551" customWidth="1"/>
    <col min="7173" max="7173" width="6.7109375" style="551" customWidth="1"/>
    <col min="7174" max="7174" width="13.5703125" style="551" customWidth="1"/>
    <col min="7175" max="7175" width="15" style="551" customWidth="1"/>
    <col min="7176" max="7176" width="13.140625" style="551" customWidth="1"/>
    <col min="7177" max="7177" width="7" style="551" customWidth="1"/>
    <col min="7178" max="7178" width="8.7109375" style="551" customWidth="1"/>
    <col min="7179" max="7179" width="13.140625" style="551" customWidth="1"/>
    <col min="7180" max="7180" width="12.7109375" style="551" customWidth="1"/>
    <col min="7181" max="7181" width="15.42578125" style="551" customWidth="1"/>
    <col min="7182" max="7182" width="0" style="551" hidden="1" customWidth="1"/>
    <col min="7183" max="7424" width="9" style="551"/>
    <col min="7425" max="7425" width="6.7109375" style="551" customWidth="1"/>
    <col min="7426" max="7426" width="9" style="551" customWidth="1"/>
    <col min="7427" max="7427" width="26.28515625" style="551" customWidth="1"/>
    <col min="7428" max="7428" width="11.5703125" style="551" customWidth="1"/>
    <col min="7429" max="7429" width="6.7109375" style="551" customWidth="1"/>
    <col min="7430" max="7430" width="13.5703125" style="551" customWidth="1"/>
    <col min="7431" max="7431" width="15" style="551" customWidth="1"/>
    <col min="7432" max="7432" width="13.140625" style="551" customWidth="1"/>
    <col min="7433" max="7433" width="7" style="551" customWidth="1"/>
    <col min="7434" max="7434" width="8.7109375" style="551" customWidth="1"/>
    <col min="7435" max="7435" width="13.140625" style="551" customWidth="1"/>
    <col min="7436" max="7436" width="12.7109375" style="551" customWidth="1"/>
    <col min="7437" max="7437" width="15.42578125" style="551" customWidth="1"/>
    <col min="7438" max="7438" width="0" style="551" hidden="1" customWidth="1"/>
    <col min="7439" max="7680" width="9" style="551"/>
    <col min="7681" max="7681" width="6.7109375" style="551" customWidth="1"/>
    <col min="7682" max="7682" width="9" style="551" customWidth="1"/>
    <col min="7683" max="7683" width="26.28515625" style="551" customWidth="1"/>
    <col min="7684" max="7684" width="11.5703125" style="551" customWidth="1"/>
    <col min="7685" max="7685" width="6.7109375" style="551" customWidth="1"/>
    <col min="7686" max="7686" width="13.5703125" style="551" customWidth="1"/>
    <col min="7687" max="7687" width="15" style="551" customWidth="1"/>
    <col min="7688" max="7688" width="13.140625" style="551" customWidth="1"/>
    <col min="7689" max="7689" width="7" style="551" customWidth="1"/>
    <col min="7690" max="7690" width="8.7109375" style="551" customWidth="1"/>
    <col min="7691" max="7691" width="13.140625" style="551" customWidth="1"/>
    <col min="7692" max="7692" width="12.7109375" style="551" customWidth="1"/>
    <col min="7693" max="7693" width="15.42578125" style="551" customWidth="1"/>
    <col min="7694" max="7694" width="0" style="551" hidden="1" customWidth="1"/>
    <col min="7695" max="7936" width="9" style="551"/>
    <col min="7937" max="7937" width="6.7109375" style="551" customWidth="1"/>
    <col min="7938" max="7938" width="9" style="551" customWidth="1"/>
    <col min="7939" max="7939" width="26.28515625" style="551" customWidth="1"/>
    <col min="7940" max="7940" width="11.5703125" style="551" customWidth="1"/>
    <col min="7941" max="7941" width="6.7109375" style="551" customWidth="1"/>
    <col min="7942" max="7942" width="13.5703125" style="551" customWidth="1"/>
    <col min="7943" max="7943" width="15" style="551" customWidth="1"/>
    <col min="7944" max="7944" width="13.140625" style="551" customWidth="1"/>
    <col min="7945" max="7945" width="7" style="551" customWidth="1"/>
    <col min="7946" max="7946" width="8.7109375" style="551" customWidth="1"/>
    <col min="7947" max="7947" width="13.140625" style="551" customWidth="1"/>
    <col min="7948" max="7948" width="12.7109375" style="551" customWidth="1"/>
    <col min="7949" max="7949" width="15.42578125" style="551" customWidth="1"/>
    <col min="7950" max="7950" width="0" style="551" hidden="1" customWidth="1"/>
    <col min="7951" max="8192" width="9" style="551"/>
    <col min="8193" max="8193" width="6.7109375" style="551" customWidth="1"/>
    <col min="8194" max="8194" width="9" style="551" customWidth="1"/>
    <col min="8195" max="8195" width="26.28515625" style="551" customWidth="1"/>
    <col min="8196" max="8196" width="11.5703125" style="551" customWidth="1"/>
    <col min="8197" max="8197" width="6.7109375" style="551" customWidth="1"/>
    <col min="8198" max="8198" width="13.5703125" style="551" customWidth="1"/>
    <col min="8199" max="8199" width="15" style="551" customWidth="1"/>
    <col min="8200" max="8200" width="13.140625" style="551" customWidth="1"/>
    <col min="8201" max="8201" width="7" style="551" customWidth="1"/>
    <col min="8202" max="8202" width="8.7109375" style="551" customWidth="1"/>
    <col min="8203" max="8203" width="13.140625" style="551" customWidth="1"/>
    <col min="8204" max="8204" width="12.7109375" style="551" customWidth="1"/>
    <col min="8205" max="8205" width="15.42578125" style="551" customWidth="1"/>
    <col min="8206" max="8206" width="0" style="551" hidden="1" customWidth="1"/>
    <col min="8207" max="8448" width="9" style="551"/>
    <col min="8449" max="8449" width="6.7109375" style="551" customWidth="1"/>
    <col min="8450" max="8450" width="9" style="551" customWidth="1"/>
    <col min="8451" max="8451" width="26.28515625" style="551" customWidth="1"/>
    <col min="8452" max="8452" width="11.5703125" style="551" customWidth="1"/>
    <col min="8453" max="8453" width="6.7109375" style="551" customWidth="1"/>
    <col min="8454" max="8454" width="13.5703125" style="551" customWidth="1"/>
    <col min="8455" max="8455" width="15" style="551" customWidth="1"/>
    <col min="8456" max="8456" width="13.140625" style="551" customWidth="1"/>
    <col min="8457" max="8457" width="7" style="551" customWidth="1"/>
    <col min="8458" max="8458" width="8.7109375" style="551" customWidth="1"/>
    <col min="8459" max="8459" width="13.140625" style="551" customWidth="1"/>
    <col min="8460" max="8460" width="12.7109375" style="551" customWidth="1"/>
    <col min="8461" max="8461" width="15.42578125" style="551" customWidth="1"/>
    <col min="8462" max="8462" width="0" style="551" hidden="1" customWidth="1"/>
    <col min="8463" max="8704" width="9" style="551"/>
    <col min="8705" max="8705" width="6.7109375" style="551" customWidth="1"/>
    <col min="8706" max="8706" width="9" style="551" customWidth="1"/>
    <col min="8707" max="8707" width="26.28515625" style="551" customWidth="1"/>
    <col min="8708" max="8708" width="11.5703125" style="551" customWidth="1"/>
    <col min="8709" max="8709" width="6.7109375" style="551" customWidth="1"/>
    <col min="8710" max="8710" width="13.5703125" style="551" customWidth="1"/>
    <col min="8711" max="8711" width="15" style="551" customWidth="1"/>
    <col min="8712" max="8712" width="13.140625" style="551" customWidth="1"/>
    <col min="8713" max="8713" width="7" style="551" customWidth="1"/>
    <col min="8714" max="8714" width="8.7109375" style="551" customWidth="1"/>
    <col min="8715" max="8715" width="13.140625" style="551" customWidth="1"/>
    <col min="8716" max="8716" width="12.7109375" style="551" customWidth="1"/>
    <col min="8717" max="8717" width="15.42578125" style="551" customWidth="1"/>
    <col min="8718" max="8718" width="0" style="551" hidden="1" customWidth="1"/>
    <col min="8719" max="8960" width="9" style="551"/>
    <col min="8961" max="8961" width="6.7109375" style="551" customWidth="1"/>
    <col min="8962" max="8962" width="9" style="551" customWidth="1"/>
    <col min="8963" max="8963" width="26.28515625" style="551" customWidth="1"/>
    <col min="8964" max="8964" width="11.5703125" style="551" customWidth="1"/>
    <col min="8965" max="8965" width="6.7109375" style="551" customWidth="1"/>
    <col min="8966" max="8966" width="13.5703125" style="551" customWidth="1"/>
    <col min="8967" max="8967" width="15" style="551" customWidth="1"/>
    <col min="8968" max="8968" width="13.140625" style="551" customWidth="1"/>
    <col min="8969" max="8969" width="7" style="551" customWidth="1"/>
    <col min="8970" max="8970" width="8.7109375" style="551" customWidth="1"/>
    <col min="8971" max="8971" width="13.140625" style="551" customWidth="1"/>
    <col min="8972" max="8972" width="12.7109375" style="551" customWidth="1"/>
    <col min="8973" max="8973" width="15.42578125" style="551" customWidth="1"/>
    <col min="8974" max="8974" width="0" style="551" hidden="1" customWidth="1"/>
    <col min="8975" max="9216" width="9" style="551"/>
    <col min="9217" max="9217" width="6.7109375" style="551" customWidth="1"/>
    <col min="9218" max="9218" width="9" style="551" customWidth="1"/>
    <col min="9219" max="9219" width="26.28515625" style="551" customWidth="1"/>
    <col min="9220" max="9220" width="11.5703125" style="551" customWidth="1"/>
    <col min="9221" max="9221" width="6.7109375" style="551" customWidth="1"/>
    <col min="9222" max="9222" width="13.5703125" style="551" customWidth="1"/>
    <col min="9223" max="9223" width="15" style="551" customWidth="1"/>
    <col min="9224" max="9224" width="13.140625" style="551" customWidth="1"/>
    <col min="9225" max="9225" width="7" style="551" customWidth="1"/>
    <col min="9226" max="9226" width="8.7109375" style="551" customWidth="1"/>
    <col min="9227" max="9227" width="13.140625" style="551" customWidth="1"/>
    <col min="9228" max="9228" width="12.7109375" style="551" customWidth="1"/>
    <col min="9229" max="9229" width="15.42578125" style="551" customWidth="1"/>
    <col min="9230" max="9230" width="0" style="551" hidden="1" customWidth="1"/>
    <col min="9231" max="9472" width="9" style="551"/>
    <col min="9473" max="9473" width="6.7109375" style="551" customWidth="1"/>
    <col min="9474" max="9474" width="9" style="551" customWidth="1"/>
    <col min="9475" max="9475" width="26.28515625" style="551" customWidth="1"/>
    <col min="9476" max="9476" width="11.5703125" style="551" customWidth="1"/>
    <col min="9477" max="9477" width="6.7109375" style="551" customWidth="1"/>
    <col min="9478" max="9478" width="13.5703125" style="551" customWidth="1"/>
    <col min="9479" max="9479" width="15" style="551" customWidth="1"/>
    <col min="9480" max="9480" width="13.140625" style="551" customWidth="1"/>
    <col min="9481" max="9481" width="7" style="551" customWidth="1"/>
    <col min="9482" max="9482" width="8.7109375" style="551" customWidth="1"/>
    <col min="9483" max="9483" width="13.140625" style="551" customWidth="1"/>
    <col min="9484" max="9484" width="12.7109375" style="551" customWidth="1"/>
    <col min="9485" max="9485" width="15.42578125" style="551" customWidth="1"/>
    <col min="9486" max="9486" width="0" style="551" hidden="1" customWidth="1"/>
    <col min="9487" max="9728" width="9" style="551"/>
    <col min="9729" max="9729" width="6.7109375" style="551" customWidth="1"/>
    <col min="9730" max="9730" width="9" style="551" customWidth="1"/>
    <col min="9731" max="9731" width="26.28515625" style="551" customWidth="1"/>
    <col min="9732" max="9732" width="11.5703125" style="551" customWidth="1"/>
    <col min="9733" max="9733" width="6.7109375" style="551" customWidth="1"/>
    <col min="9734" max="9734" width="13.5703125" style="551" customWidth="1"/>
    <col min="9735" max="9735" width="15" style="551" customWidth="1"/>
    <col min="9736" max="9736" width="13.140625" style="551" customWidth="1"/>
    <col min="9737" max="9737" width="7" style="551" customWidth="1"/>
    <col min="9738" max="9738" width="8.7109375" style="551" customWidth="1"/>
    <col min="9739" max="9739" width="13.140625" style="551" customWidth="1"/>
    <col min="9740" max="9740" width="12.7109375" style="551" customWidth="1"/>
    <col min="9741" max="9741" width="15.42578125" style="551" customWidth="1"/>
    <col min="9742" max="9742" width="0" style="551" hidden="1" customWidth="1"/>
    <col min="9743" max="9984" width="9" style="551"/>
    <col min="9985" max="9985" width="6.7109375" style="551" customWidth="1"/>
    <col min="9986" max="9986" width="9" style="551" customWidth="1"/>
    <col min="9987" max="9987" width="26.28515625" style="551" customWidth="1"/>
    <col min="9988" max="9988" width="11.5703125" style="551" customWidth="1"/>
    <col min="9989" max="9989" width="6.7109375" style="551" customWidth="1"/>
    <col min="9990" max="9990" width="13.5703125" style="551" customWidth="1"/>
    <col min="9991" max="9991" width="15" style="551" customWidth="1"/>
    <col min="9992" max="9992" width="13.140625" style="551" customWidth="1"/>
    <col min="9993" max="9993" width="7" style="551" customWidth="1"/>
    <col min="9994" max="9994" width="8.7109375" style="551" customWidth="1"/>
    <col min="9995" max="9995" width="13.140625" style="551" customWidth="1"/>
    <col min="9996" max="9996" width="12.7109375" style="551" customWidth="1"/>
    <col min="9997" max="9997" width="15.42578125" style="551" customWidth="1"/>
    <col min="9998" max="9998" width="0" style="551" hidden="1" customWidth="1"/>
    <col min="9999" max="10240" width="9" style="551"/>
    <col min="10241" max="10241" width="6.7109375" style="551" customWidth="1"/>
    <col min="10242" max="10242" width="9" style="551" customWidth="1"/>
    <col min="10243" max="10243" width="26.28515625" style="551" customWidth="1"/>
    <col min="10244" max="10244" width="11.5703125" style="551" customWidth="1"/>
    <col min="10245" max="10245" width="6.7109375" style="551" customWidth="1"/>
    <col min="10246" max="10246" width="13.5703125" style="551" customWidth="1"/>
    <col min="10247" max="10247" width="15" style="551" customWidth="1"/>
    <col min="10248" max="10248" width="13.140625" style="551" customWidth="1"/>
    <col min="10249" max="10249" width="7" style="551" customWidth="1"/>
    <col min="10250" max="10250" width="8.7109375" style="551" customWidth="1"/>
    <col min="10251" max="10251" width="13.140625" style="551" customWidth="1"/>
    <col min="10252" max="10252" width="12.7109375" style="551" customWidth="1"/>
    <col min="10253" max="10253" width="15.42578125" style="551" customWidth="1"/>
    <col min="10254" max="10254" width="0" style="551" hidden="1" customWidth="1"/>
    <col min="10255" max="10496" width="9" style="551"/>
    <col min="10497" max="10497" width="6.7109375" style="551" customWidth="1"/>
    <col min="10498" max="10498" width="9" style="551" customWidth="1"/>
    <col min="10499" max="10499" width="26.28515625" style="551" customWidth="1"/>
    <col min="10500" max="10500" width="11.5703125" style="551" customWidth="1"/>
    <col min="10501" max="10501" width="6.7109375" style="551" customWidth="1"/>
    <col min="10502" max="10502" width="13.5703125" style="551" customWidth="1"/>
    <col min="10503" max="10503" width="15" style="551" customWidth="1"/>
    <col min="10504" max="10504" width="13.140625" style="551" customWidth="1"/>
    <col min="10505" max="10505" width="7" style="551" customWidth="1"/>
    <col min="10506" max="10506" width="8.7109375" style="551" customWidth="1"/>
    <col min="10507" max="10507" width="13.140625" style="551" customWidth="1"/>
    <col min="10508" max="10508" width="12.7109375" style="551" customWidth="1"/>
    <col min="10509" max="10509" width="15.42578125" style="551" customWidth="1"/>
    <col min="10510" max="10510" width="0" style="551" hidden="1" customWidth="1"/>
    <col min="10511" max="10752" width="9" style="551"/>
    <col min="10753" max="10753" width="6.7109375" style="551" customWidth="1"/>
    <col min="10754" max="10754" width="9" style="551" customWidth="1"/>
    <col min="10755" max="10755" width="26.28515625" style="551" customWidth="1"/>
    <col min="10756" max="10756" width="11.5703125" style="551" customWidth="1"/>
    <col min="10757" max="10757" width="6.7109375" style="551" customWidth="1"/>
    <col min="10758" max="10758" width="13.5703125" style="551" customWidth="1"/>
    <col min="10759" max="10759" width="15" style="551" customWidth="1"/>
    <col min="10760" max="10760" width="13.140625" style="551" customWidth="1"/>
    <col min="10761" max="10761" width="7" style="551" customWidth="1"/>
    <col min="10762" max="10762" width="8.7109375" style="551" customWidth="1"/>
    <col min="10763" max="10763" width="13.140625" style="551" customWidth="1"/>
    <col min="10764" max="10764" width="12.7109375" style="551" customWidth="1"/>
    <col min="10765" max="10765" width="15.42578125" style="551" customWidth="1"/>
    <col min="10766" max="10766" width="0" style="551" hidden="1" customWidth="1"/>
    <col min="10767" max="11008" width="9" style="551"/>
    <col min="11009" max="11009" width="6.7109375" style="551" customWidth="1"/>
    <col min="11010" max="11010" width="9" style="551" customWidth="1"/>
    <col min="11011" max="11011" width="26.28515625" style="551" customWidth="1"/>
    <col min="11012" max="11012" width="11.5703125" style="551" customWidth="1"/>
    <col min="11013" max="11013" width="6.7109375" style="551" customWidth="1"/>
    <col min="11014" max="11014" width="13.5703125" style="551" customWidth="1"/>
    <col min="11015" max="11015" width="15" style="551" customWidth="1"/>
    <col min="11016" max="11016" width="13.140625" style="551" customWidth="1"/>
    <col min="11017" max="11017" width="7" style="551" customWidth="1"/>
    <col min="11018" max="11018" width="8.7109375" style="551" customWidth="1"/>
    <col min="11019" max="11019" width="13.140625" style="551" customWidth="1"/>
    <col min="11020" max="11020" width="12.7109375" style="551" customWidth="1"/>
    <col min="11021" max="11021" width="15.42578125" style="551" customWidth="1"/>
    <col min="11022" max="11022" width="0" style="551" hidden="1" customWidth="1"/>
    <col min="11023" max="11264" width="9" style="551"/>
    <col min="11265" max="11265" width="6.7109375" style="551" customWidth="1"/>
    <col min="11266" max="11266" width="9" style="551" customWidth="1"/>
    <col min="11267" max="11267" width="26.28515625" style="551" customWidth="1"/>
    <col min="11268" max="11268" width="11.5703125" style="551" customWidth="1"/>
    <col min="11269" max="11269" width="6.7109375" style="551" customWidth="1"/>
    <col min="11270" max="11270" width="13.5703125" style="551" customWidth="1"/>
    <col min="11271" max="11271" width="15" style="551" customWidth="1"/>
    <col min="11272" max="11272" width="13.140625" style="551" customWidth="1"/>
    <col min="11273" max="11273" width="7" style="551" customWidth="1"/>
    <col min="11274" max="11274" width="8.7109375" style="551" customWidth="1"/>
    <col min="11275" max="11275" width="13.140625" style="551" customWidth="1"/>
    <col min="11276" max="11276" width="12.7109375" style="551" customWidth="1"/>
    <col min="11277" max="11277" width="15.42578125" style="551" customWidth="1"/>
    <col min="11278" max="11278" width="0" style="551" hidden="1" customWidth="1"/>
    <col min="11279" max="11520" width="9" style="551"/>
    <col min="11521" max="11521" width="6.7109375" style="551" customWidth="1"/>
    <col min="11522" max="11522" width="9" style="551" customWidth="1"/>
    <col min="11523" max="11523" width="26.28515625" style="551" customWidth="1"/>
    <col min="11524" max="11524" width="11.5703125" style="551" customWidth="1"/>
    <col min="11525" max="11525" width="6.7109375" style="551" customWidth="1"/>
    <col min="11526" max="11526" width="13.5703125" style="551" customWidth="1"/>
    <col min="11527" max="11527" width="15" style="551" customWidth="1"/>
    <col min="11528" max="11528" width="13.140625" style="551" customWidth="1"/>
    <col min="11529" max="11529" width="7" style="551" customWidth="1"/>
    <col min="11530" max="11530" width="8.7109375" style="551" customWidth="1"/>
    <col min="11531" max="11531" width="13.140625" style="551" customWidth="1"/>
    <col min="11532" max="11532" width="12.7109375" style="551" customWidth="1"/>
    <col min="11533" max="11533" width="15.42578125" style="551" customWidth="1"/>
    <col min="11534" max="11534" width="0" style="551" hidden="1" customWidth="1"/>
    <col min="11535" max="11776" width="9" style="551"/>
    <col min="11777" max="11777" width="6.7109375" style="551" customWidth="1"/>
    <col min="11778" max="11778" width="9" style="551" customWidth="1"/>
    <col min="11779" max="11779" width="26.28515625" style="551" customWidth="1"/>
    <col min="11780" max="11780" width="11.5703125" style="551" customWidth="1"/>
    <col min="11781" max="11781" width="6.7109375" style="551" customWidth="1"/>
    <col min="11782" max="11782" width="13.5703125" style="551" customWidth="1"/>
    <col min="11783" max="11783" width="15" style="551" customWidth="1"/>
    <col min="11784" max="11784" width="13.140625" style="551" customWidth="1"/>
    <col min="11785" max="11785" width="7" style="551" customWidth="1"/>
    <col min="11786" max="11786" width="8.7109375" style="551" customWidth="1"/>
    <col min="11787" max="11787" width="13.140625" style="551" customWidth="1"/>
    <col min="11788" max="11788" width="12.7109375" style="551" customWidth="1"/>
    <col min="11789" max="11789" width="15.42578125" style="551" customWidth="1"/>
    <col min="11790" max="11790" width="0" style="551" hidden="1" customWidth="1"/>
    <col min="11791" max="12032" width="9" style="551"/>
    <col min="12033" max="12033" width="6.7109375" style="551" customWidth="1"/>
    <col min="12034" max="12034" width="9" style="551" customWidth="1"/>
    <col min="12035" max="12035" width="26.28515625" style="551" customWidth="1"/>
    <col min="12036" max="12036" width="11.5703125" style="551" customWidth="1"/>
    <col min="12037" max="12037" width="6.7109375" style="551" customWidth="1"/>
    <col min="12038" max="12038" width="13.5703125" style="551" customWidth="1"/>
    <col min="12039" max="12039" width="15" style="551" customWidth="1"/>
    <col min="12040" max="12040" width="13.140625" style="551" customWidth="1"/>
    <col min="12041" max="12041" width="7" style="551" customWidth="1"/>
    <col min="12042" max="12042" width="8.7109375" style="551" customWidth="1"/>
    <col min="12043" max="12043" width="13.140625" style="551" customWidth="1"/>
    <col min="12044" max="12044" width="12.7109375" style="551" customWidth="1"/>
    <col min="12045" max="12045" width="15.42578125" style="551" customWidth="1"/>
    <col min="12046" max="12046" width="0" style="551" hidden="1" customWidth="1"/>
    <col min="12047" max="12288" width="9" style="551"/>
    <col min="12289" max="12289" width="6.7109375" style="551" customWidth="1"/>
    <col min="12290" max="12290" width="9" style="551" customWidth="1"/>
    <col min="12291" max="12291" width="26.28515625" style="551" customWidth="1"/>
    <col min="12292" max="12292" width="11.5703125" style="551" customWidth="1"/>
    <col min="12293" max="12293" width="6.7109375" style="551" customWidth="1"/>
    <col min="12294" max="12294" width="13.5703125" style="551" customWidth="1"/>
    <col min="12295" max="12295" width="15" style="551" customWidth="1"/>
    <col min="12296" max="12296" width="13.140625" style="551" customWidth="1"/>
    <col min="12297" max="12297" width="7" style="551" customWidth="1"/>
    <col min="12298" max="12298" width="8.7109375" style="551" customWidth="1"/>
    <col min="12299" max="12299" width="13.140625" style="551" customWidth="1"/>
    <col min="12300" max="12300" width="12.7109375" style="551" customWidth="1"/>
    <col min="12301" max="12301" width="15.42578125" style="551" customWidth="1"/>
    <col min="12302" max="12302" width="0" style="551" hidden="1" customWidth="1"/>
    <col min="12303" max="12544" width="9" style="551"/>
    <col min="12545" max="12545" width="6.7109375" style="551" customWidth="1"/>
    <col min="12546" max="12546" width="9" style="551" customWidth="1"/>
    <col min="12547" max="12547" width="26.28515625" style="551" customWidth="1"/>
    <col min="12548" max="12548" width="11.5703125" style="551" customWidth="1"/>
    <col min="12549" max="12549" width="6.7109375" style="551" customWidth="1"/>
    <col min="12550" max="12550" width="13.5703125" style="551" customWidth="1"/>
    <col min="12551" max="12551" width="15" style="551" customWidth="1"/>
    <col min="12552" max="12552" width="13.140625" style="551" customWidth="1"/>
    <col min="12553" max="12553" width="7" style="551" customWidth="1"/>
    <col min="12554" max="12554" width="8.7109375" style="551" customWidth="1"/>
    <col min="12555" max="12555" width="13.140625" style="551" customWidth="1"/>
    <col min="12556" max="12556" width="12.7109375" style="551" customWidth="1"/>
    <col min="12557" max="12557" width="15.42578125" style="551" customWidth="1"/>
    <col min="12558" max="12558" width="0" style="551" hidden="1" customWidth="1"/>
    <col min="12559" max="12800" width="9" style="551"/>
    <col min="12801" max="12801" width="6.7109375" style="551" customWidth="1"/>
    <col min="12802" max="12802" width="9" style="551" customWidth="1"/>
    <col min="12803" max="12803" width="26.28515625" style="551" customWidth="1"/>
    <col min="12804" max="12804" width="11.5703125" style="551" customWidth="1"/>
    <col min="12805" max="12805" width="6.7109375" style="551" customWidth="1"/>
    <col min="12806" max="12806" width="13.5703125" style="551" customWidth="1"/>
    <col min="12807" max="12807" width="15" style="551" customWidth="1"/>
    <col min="12808" max="12808" width="13.140625" style="551" customWidth="1"/>
    <col min="12809" max="12809" width="7" style="551" customWidth="1"/>
    <col min="12810" max="12810" width="8.7109375" style="551" customWidth="1"/>
    <col min="12811" max="12811" width="13.140625" style="551" customWidth="1"/>
    <col min="12812" max="12812" width="12.7109375" style="551" customWidth="1"/>
    <col min="12813" max="12813" width="15.42578125" style="551" customWidth="1"/>
    <col min="12814" max="12814" width="0" style="551" hidden="1" customWidth="1"/>
    <col min="12815" max="13056" width="9" style="551"/>
    <col min="13057" max="13057" width="6.7109375" style="551" customWidth="1"/>
    <col min="13058" max="13058" width="9" style="551" customWidth="1"/>
    <col min="13059" max="13059" width="26.28515625" style="551" customWidth="1"/>
    <col min="13060" max="13060" width="11.5703125" style="551" customWidth="1"/>
    <col min="13061" max="13061" width="6.7109375" style="551" customWidth="1"/>
    <col min="13062" max="13062" width="13.5703125" style="551" customWidth="1"/>
    <col min="13063" max="13063" width="15" style="551" customWidth="1"/>
    <col min="13064" max="13064" width="13.140625" style="551" customWidth="1"/>
    <col min="13065" max="13065" width="7" style="551" customWidth="1"/>
    <col min="13066" max="13066" width="8.7109375" style="551" customWidth="1"/>
    <col min="13067" max="13067" width="13.140625" style="551" customWidth="1"/>
    <col min="13068" max="13068" width="12.7109375" style="551" customWidth="1"/>
    <col min="13069" max="13069" width="15.42578125" style="551" customWidth="1"/>
    <col min="13070" max="13070" width="0" style="551" hidden="1" customWidth="1"/>
    <col min="13071" max="13312" width="9" style="551"/>
    <col min="13313" max="13313" width="6.7109375" style="551" customWidth="1"/>
    <col min="13314" max="13314" width="9" style="551" customWidth="1"/>
    <col min="13315" max="13315" width="26.28515625" style="551" customWidth="1"/>
    <col min="13316" max="13316" width="11.5703125" style="551" customWidth="1"/>
    <col min="13317" max="13317" width="6.7109375" style="551" customWidth="1"/>
    <col min="13318" max="13318" width="13.5703125" style="551" customWidth="1"/>
    <col min="13319" max="13319" width="15" style="551" customWidth="1"/>
    <col min="13320" max="13320" width="13.140625" style="551" customWidth="1"/>
    <col min="13321" max="13321" width="7" style="551" customWidth="1"/>
    <col min="13322" max="13322" width="8.7109375" style="551" customWidth="1"/>
    <col min="13323" max="13323" width="13.140625" style="551" customWidth="1"/>
    <col min="13324" max="13324" width="12.7109375" style="551" customWidth="1"/>
    <col min="13325" max="13325" width="15.42578125" style="551" customWidth="1"/>
    <col min="13326" max="13326" width="0" style="551" hidden="1" customWidth="1"/>
    <col min="13327" max="13568" width="9" style="551"/>
    <col min="13569" max="13569" width="6.7109375" style="551" customWidth="1"/>
    <col min="13570" max="13570" width="9" style="551" customWidth="1"/>
    <col min="13571" max="13571" width="26.28515625" style="551" customWidth="1"/>
    <col min="13572" max="13572" width="11.5703125" style="551" customWidth="1"/>
    <col min="13573" max="13573" width="6.7109375" style="551" customWidth="1"/>
    <col min="13574" max="13574" width="13.5703125" style="551" customWidth="1"/>
    <col min="13575" max="13575" width="15" style="551" customWidth="1"/>
    <col min="13576" max="13576" width="13.140625" style="551" customWidth="1"/>
    <col min="13577" max="13577" width="7" style="551" customWidth="1"/>
    <col min="13578" max="13578" width="8.7109375" style="551" customWidth="1"/>
    <col min="13579" max="13579" width="13.140625" style="551" customWidth="1"/>
    <col min="13580" max="13580" width="12.7109375" style="551" customWidth="1"/>
    <col min="13581" max="13581" width="15.42578125" style="551" customWidth="1"/>
    <col min="13582" max="13582" width="0" style="551" hidden="1" customWidth="1"/>
    <col min="13583" max="13824" width="9" style="551"/>
    <col min="13825" max="13825" width="6.7109375" style="551" customWidth="1"/>
    <col min="13826" max="13826" width="9" style="551" customWidth="1"/>
    <col min="13827" max="13827" width="26.28515625" style="551" customWidth="1"/>
    <col min="13828" max="13828" width="11.5703125" style="551" customWidth="1"/>
    <col min="13829" max="13829" width="6.7109375" style="551" customWidth="1"/>
    <col min="13830" max="13830" width="13.5703125" style="551" customWidth="1"/>
    <col min="13831" max="13831" width="15" style="551" customWidth="1"/>
    <col min="13832" max="13832" width="13.140625" style="551" customWidth="1"/>
    <col min="13833" max="13833" width="7" style="551" customWidth="1"/>
    <col min="13834" max="13834" width="8.7109375" style="551" customWidth="1"/>
    <col min="13835" max="13835" width="13.140625" style="551" customWidth="1"/>
    <col min="13836" max="13836" width="12.7109375" style="551" customWidth="1"/>
    <col min="13837" max="13837" width="15.42578125" style="551" customWidth="1"/>
    <col min="13838" max="13838" width="0" style="551" hidden="1" customWidth="1"/>
    <col min="13839" max="14080" width="9" style="551"/>
    <col min="14081" max="14081" width="6.7109375" style="551" customWidth="1"/>
    <col min="14082" max="14082" width="9" style="551" customWidth="1"/>
    <col min="14083" max="14083" width="26.28515625" style="551" customWidth="1"/>
    <col min="14084" max="14084" width="11.5703125" style="551" customWidth="1"/>
    <col min="14085" max="14085" width="6.7109375" style="551" customWidth="1"/>
    <col min="14086" max="14086" width="13.5703125" style="551" customWidth="1"/>
    <col min="14087" max="14087" width="15" style="551" customWidth="1"/>
    <col min="14088" max="14088" width="13.140625" style="551" customWidth="1"/>
    <col min="14089" max="14089" width="7" style="551" customWidth="1"/>
    <col min="14090" max="14090" width="8.7109375" style="551" customWidth="1"/>
    <col min="14091" max="14091" width="13.140625" style="551" customWidth="1"/>
    <col min="14092" max="14092" width="12.7109375" style="551" customWidth="1"/>
    <col min="14093" max="14093" width="15.42578125" style="551" customWidth="1"/>
    <col min="14094" max="14094" width="0" style="551" hidden="1" customWidth="1"/>
    <col min="14095" max="14336" width="9" style="551"/>
    <col min="14337" max="14337" width="6.7109375" style="551" customWidth="1"/>
    <col min="14338" max="14338" width="9" style="551" customWidth="1"/>
    <col min="14339" max="14339" width="26.28515625" style="551" customWidth="1"/>
    <col min="14340" max="14340" width="11.5703125" style="551" customWidth="1"/>
    <col min="14341" max="14341" width="6.7109375" style="551" customWidth="1"/>
    <col min="14342" max="14342" width="13.5703125" style="551" customWidth="1"/>
    <col min="14343" max="14343" width="15" style="551" customWidth="1"/>
    <col min="14344" max="14344" width="13.140625" style="551" customWidth="1"/>
    <col min="14345" max="14345" width="7" style="551" customWidth="1"/>
    <col min="14346" max="14346" width="8.7109375" style="551" customWidth="1"/>
    <col min="14347" max="14347" width="13.140625" style="551" customWidth="1"/>
    <col min="14348" max="14348" width="12.7109375" style="551" customWidth="1"/>
    <col min="14349" max="14349" width="15.42578125" style="551" customWidth="1"/>
    <col min="14350" max="14350" width="0" style="551" hidden="1" customWidth="1"/>
    <col min="14351" max="14592" width="9" style="551"/>
    <col min="14593" max="14593" width="6.7109375" style="551" customWidth="1"/>
    <col min="14594" max="14594" width="9" style="551" customWidth="1"/>
    <col min="14595" max="14595" width="26.28515625" style="551" customWidth="1"/>
    <col min="14596" max="14596" width="11.5703125" style="551" customWidth="1"/>
    <col min="14597" max="14597" width="6.7109375" style="551" customWidth="1"/>
    <col min="14598" max="14598" width="13.5703125" style="551" customWidth="1"/>
    <col min="14599" max="14599" width="15" style="551" customWidth="1"/>
    <col min="14600" max="14600" width="13.140625" style="551" customWidth="1"/>
    <col min="14601" max="14601" width="7" style="551" customWidth="1"/>
    <col min="14602" max="14602" width="8.7109375" style="551" customWidth="1"/>
    <col min="14603" max="14603" width="13.140625" style="551" customWidth="1"/>
    <col min="14604" max="14604" width="12.7109375" style="551" customWidth="1"/>
    <col min="14605" max="14605" width="15.42578125" style="551" customWidth="1"/>
    <col min="14606" max="14606" width="0" style="551" hidden="1" customWidth="1"/>
    <col min="14607" max="14848" width="9" style="551"/>
    <col min="14849" max="14849" width="6.7109375" style="551" customWidth="1"/>
    <col min="14850" max="14850" width="9" style="551" customWidth="1"/>
    <col min="14851" max="14851" width="26.28515625" style="551" customWidth="1"/>
    <col min="14852" max="14852" width="11.5703125" style="551" customWidth="1"/>
    <col min="14853" max="14853" width="6.7109375" style="551" customWidth="1"/>
    <col min="14854" max="14854" width="13.5703125" style="551" customWidth="1"/>
    <col min="14855" max="14855" width="15" style="551" customWidth="1"/>
    <col min="14856" max="14856" width="13.140625" style="551" customWidth="1"/>
    <col min="14857" max="14857" width="7" style="551" customWidth="1"/>
    <col min="14858" max="14858" width="8.7109375" style="551" customWidth="1"/>
    <col min="14859" max="14859" width="13.140625" style="551" customWidth="1"/>
    <col min="14860" max="14860" width="12.7109375" style="551" customWidth="1"/>
    <col min="14861" max="14861" width="15.42578125" style="551" customWidth="1"/>
    <col min="14862" max="14862" width="0" style="551" hidden="1" customWidth="1"/>
    <col min="14863" max="15104" width="9" style="551"/>
    <col min="15105" max="15105" width="6.7109375" style="551" customWidth="1"/>
    <col min="15106" max="15106" width="9" style="551" customWidth="1"/>
    <col min="15107" max="15107" width="26.28515625" style="551" customWidth="1"/>
    <col min="15108" max="15108" width="11.5703125" style="551" customWidth="1"/>
    <col min="15109" max="15109" width="6.7109375" style="551" customWidth="1"/>
    <col min="15110" max="15110" width="13.5703125" style="551" customWidth="1"/>
    <col min="15111" max="15111" width="15" style="551" customWidth="1"/>
    <col min="15112" max="15112" width="13.140625" style="551" customWidth="1"/>
    <col min="15113" max="15113" width="7" style="551" customWidth="1"/>
    <col min="15114" max="15114" width="8.7109375" style="551" customWidth="1"/>
    <col min="15115" max="15115" width="13.140625" style="551" customWidth="1"/>
    <col min="15116" max="15116" width="12.7109375" style="551" customWidth="1"/>
    <col min="15117" max="15117" width="15.42578125" style="551" customWidth="1"/>
    <col min="15118" max="15118" width="0" style="551" hidden="1" customWidth="1"/>
    <col min="15119" max="15360" width="9" style="551"/>
    <col min="15361" max="15361" width="6.7109375" style="551" customWidth="1"/>
    <col min="15362" max="15362" width="9" style="551" customWidth="1"/>
    <col min="15363" max="15363" width="26.28515625" style="551" customWidth="1"/>
    <col min="15364" max="15364" width="11.5703125" style="551" customWidth="1"/>
    <col min="15365" max="15365" width="6.7109375" style="551" customWidth="1"/>
    <col min="15366" max="15366" width="13.5703125" style="551" customWidth="1"/>
    <col min="15367" max="15367" width="15" style="551" customWidth="1"/>
    <col min="15368" max="15368" width="13.140625" style="551" customWidth="1"/>
    <col min="15369" max="15369" width="7" style="551" customWidth="1"/>
    <col min="15370" max="15370" width="8.7109375" style="551" customWidth="1"/>
    <col min="15371" max="15371" width="13.140625" style="551" customWidth="1"/>
    <col min="15372" max="15372" width="12.7109375" style="551" customWidth="1"/>
    <col min="15373" max="15373" width="15.42578125" style="551" customWidth="1"/>
    <col min="15374" max="15374" width="0" style="551" hidden="1" customWidth="1"/>
    <col min="15375" max="15616" width="9" style="551"/>
    <col min="15617" max="15617" width="6.7109375" style="551" customWidth="1"/>
    <col min="15618" max="15618" width="9" style="551" customWidth="1"/>
    <col min="15619" max="15619" width="26.28515625" style="551" customWidth="1"/>
    <col min="15620" max="15620" width="11.5703125" style="551" customWidth="1"/>
    <col min="15621" max="15621" width="6.7109375" style="551" customWidth="1"/>
    <col min="15622" max="15622" width="13.5703125" style="551" customWidth="1"/>
    <col min="15623" max="15623" width="15" style="551" customWidth="1"/>
    <col min="15624" max="15624" width="13.140625" style="551" customWidth="1"/>
    <col min="15625" max="15625" width="7" style="551" customWidth="1"/>
    <col min="15626" max="15626" width="8.7109375" style="551" customWidth="1"/>
    <col min="15627" max="15627" width="13.140625" style="551" customWidth="1"/>
    <col min="15628" max="15628" width="12.7109375" style="551" customWidth="1"/>
    <col min="15629" max="15629" width="15.42578125" style="551" customWidth="1"/>
    <col min="15630" max="15630" width="0" style="551" hidden="1" customWidth="1"/>
    <col min="15631" max="15872" width="9" style="551"/>
    <col min="15873" max="15873" width="6.7109375" style="551" customWidth="1"/>
    <col min="15874" max="15874" width="9" style="551" customWidth="1"/>
    <col min="15875" max="15875" width="26.28515625" style="551" customWidth="1"/>
    <col min="15876" max="15876" width="11.5703125" style="551" customWidth="1"/>
    <col min="15877" max="15877" width="6.7109375" style="551" customWidth="1"/>
    <col min="15878" max="15878" width="13.5703125" style="551" customWidth="1"/>
    <col min="15879" max="15879" width="15" style="551" customWidth="1"/>
    <col min="15880" max="15880" width="13.140625" style="551" customWidth="1"/>
    <col min="15881" max="15881" width="7" style="551" customWidth="1"/>
    <col min="15882" max="15882" width="8.7109375" style="551" customWidth="1"/>
    <col min="15883" max="15883" width="13.140625" style="551" customWidth="1"/>
    <col min="15884" max="15884" width="12.7109375" style="551" customWidth="1"/>
    <col min="15885" max="15885" width="15.42578125" style="551" customWidth="1"/>
    <col min="15886" max="15886" width="0" style="551" hidden="1" customWidth="1"/>
    <col min="15887" max="16128" width="9" style="551"/>
    <col min="16129" max="16129" width="6.7109375" style="551" customWidth="1"/>
    <col min="16130" max="16130" width="9" style="551" customWidth="1"/>
    <col min="16131" max="16131" width="26.28515625" style="551" customWidth="1"/>
    <col min="16132" max="16132" width="11.5703125" style="551" customWidth="1"/>
    <col min="16133" max="16133" width="6.7109375" style="551" customWidth="1"/>
    <col min="16134" max="16134" width="13.5703125" style="551" customWidth="1"/>
    <col min="16135" max="16135" width="15" style="551" customWidth="1"/>
    <col min="16136" max="16136" width="13.140625" style="551" customWidth="1"/>
    <col min="16137" max="16137" width="7" style="551" customWidth="1"/>
    <col min="16138" max="16138" width="8.7109375" style="551" customWidth="1"/>
    <col min="16139" max="16139" width="13.140625" style="551" customWidth="1"/>
    <col min="16140" max="16140" width="12.7109375" style="551" customWidth="1"/>
    <col min="16141" max="16141" width="15.42578125" style="551" customWidth="1"/>
    <col min="16142" max="16142" width="0" style="551" hidden="1" customWidth="1"/>
    <col min="16143" max="16384" width="9" style="551"/>
  </cols>
  <sheetData>
    <row r="1" spans="1:15">
      <c r="A1" s="547" t="str">
        <f>'[1]Bang DMTK'!A1</f>
        <v>Đơn vị: Công ty TNHH Thanh Minh</v>
      </c>
      <c r="B1" s="547"/>
      <c r="C1" s="547"/>
      <c r="D1" s="547"/>
      <c r="E1" s="547"/>
      <c r="F1" s="547"/>
      <c r="G1" s="547"/>
      <c r="H1" s="548"/>
      <c r="I1" s="549"/>
      <c r="J1" s="544"/>
      <c r="K1" s="548"/>
      <c r="L1" s="548"/>
      <c r="M1" s="548"/>
      <c r="N1" s="548"/>
      <c r="O1" s="550"/>
    </row>
    <row r="2" spans="1:15">
      <c r="A2" s="547" t="str">
        <f>'[1]Bang DMTK'!A2</f>
        <v>Địa chỉ: 45/9- Phạm Văn Chiêu- F14- Gò Vấp- TP.HCM</v>
      </c>
      <c r="B2" s="552"/>
      <c r="C2" s="552"/>
      <c r="D2" s="552"/>
      <c r="E2" s="552"/>
      <c r="F2" s="552"/>
      <c r="G2" s="552"/>
      <c r="H2" s="548"/>
      <c r="I2" s="549"/>
      <c r="J2" s="544"/>
      <c r="K2" s="548"/>
      <c r="L2" s="548"/>
      <c r="M2" s="553" t="s">
        <v>553</v>
      </c>
      <c r="N2" s="548"/>
      <c r="O2" s="550"/>
    </row>
    <row r="3" spans="1:15">
      <c r="A3" s="547" t="str">
        <f>'[1]Bang DMTK'!A3</f>
        <v>MST: 0305225720</v>
      </c>
      <c r="B3" s="552"/>
      <c r="C3" s="552"/>
      <c r="D3" s="552"/>
      <c r="E3" s="552"/>
      <c r="F3" s="552"/>
      <c r="G3" s="552"/>
      <c r="H3" s="548"/>
      <c r="I3" s="549"/>
      <c r="J3" s="544"/>
      <c r="K3" s="548"/>
      <c r="L3" s="548"/>
      <c r="M3" s="553"/>
      <c r="N3" s="548"/>
      <c r="O3" s="550"/>
    </row>
    <row r="4" spans="1:15" ht="27">
      <c r="A4" s="554" t="s">
        <v>321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  <c r="N4" s="554"/>
      <c r="O4" s="554"/>
    </row>
    <row r="5" spans="1:15" ht="20.25">
      <c r="A5" s="555" t="s">
        <v>554</v>
      </c>
      <c r="B5" s="555"/>
      <c r="C5" s="555"/>
      <c r="D5" s="555"/>
      <c r="E5" s="555"/>
      <c r="F5" s="555"/>
      <c r="G5" s="555"/>
      <c r="H5" s="555"/>
      <c r="I5" s="555"/>
      <c r="J5" s="555"/>
      <c r="K5" s="555"/>
      <c r="L5" s="555"/>
      <c r="M5" s="555"/>
      <c r="N5" s="555"/>
      <c r="O5" s="555"/>
    </row>
    <row r="6" spans="1:15">
      <c r="A6" s="550"/>
      <c r="B6" s="550"/>
      <c r="C6" s="550"/>
      <c r="D6" s="550"/>
      <c r="E6" s="550"/>
      <c r="F6" s="548"/>
      <c r="G6" s="548"/>
      <c r="H6" s="548"/>
      <c r="I6" s="549"/>
      <c r="J6" s="544"/>
      <c r="K6" s="548"/>
      <c r="L6" s="548"/>
      <c r="M6" s="553" t="s">
        <v>2</v>
      </c>
      <c r="N6" s="550"/>
    </row>
    <row r="7" spans="1:15" ht="78.75">
      <c r="A7" s="556" t="s">
        <v>0</v>
      </c>
      <c r="B7" s="557" t="s">
        <v>322</v>
      </c>
      <c r="C7" s="556" t="s">
        <v>323</v>
      </c>
      <c r="D7" s="557" t="s">
        <v>288</v>
      </c>
      <c r="E7" s="557" t="s">
        <v>324</v>
      </c>
      <c r="F7" s="558" t="s">
        <v>4</v>
      </c>
      <c r="G7" s="559" t="s">
        <v>289</v>
      </c>
      <c r="H7" s="558" t="s">
        <v>291</v>
      </c>
      <c r="I7" s="560" t="s">
        <v>292</v>
      </c>
      <c r="J7" s="561" t="s">
        <v>293</v>
      </c>
      <c r="K7" s="558" t="s">
        <v>294</v>
      </c>
      <c r="L7" s="558" t="s">
        <v>295</v>
      </c>
      <c r="M7" s="558" t="s">
        <v>296</v>
      </c>
      <c r="N7" s="557" t="s">
        <v>297</v>
      </c>
    </row>
    <row r="8" spans="1:15" ht="15.75">
      <c r="A8" s="562" t="s">
        <v>5</v>
      </c>
      <c r="B8" s="562" t="s">
        <v>6</v>
      </c>
      <c r="C8" s="562" t="s">
        <v>7</v>
      </c>
      <c r="D8" s="562" t="s">
        <v>8</v>
      </c>
      <c r="E8" s="562">
        <v>1</v>
      </c>
      <c r="F8" s="563">
        <v>2</v>
      </c>
      <c r="G8" s="564">
        <v>3</v>
      </c>
      <c r="H8" s="564" t="s">
        <v>325</v>
      </c>
      <c r="I8" s="565">
        <v>5</v>
      </c>
      <c r="J8" s="566" t="s">
        <v>326</v>
      </c>
      <c r="K8" s="564" t="s">
        <v>327</v>
      </c>
      <c r="L8" s="564" t="s">
        <v>328</v>
      </c>
      <c r="M8" s="564" t="s">
        <v>329</v>
      </c>
      <c r="N8" s="562" t="s">
        <v>9</v>
      </c>
    </row>
    <row r="9" spans="1:15" s="574" customFormat="1" ht="15.75">
      <c r="A9" s="567" t="s">
        <v>13</v>
      </c>
      <c r="B9" s="568" t="s">
        <v>535</v>
      </c>
      <c r="C9" s="569"/>
      <c r="D9" s="570"/>
      <c r="E9" s="571"/>
      <c r="F9" s="571">
        <f>SUBTOTAL(9,F10)</f>
        <v>20000000</v>
      </c>
      <c r="G9" s="571">
        <f t="shared" ref="G9:M9" si="0">SUBTOTAL(9,G10)</f>
        <v>60000000</v>
      </c>
      <c r="H9" s="571">
        <f t="shared" si="0"/>
        <v>20000000</v>
      </c>
      <c r="I9" s="572">
        <f t="shared" si="0"/>
        <v>0</v>
      </c>
      <c r="J9" s="573">
        <f t="shared" si="0"/>
        <v>0</v>
      </c>
      <c r="K9" s="571">
        <f t="shared" si="0"/>
        <v>20000000</v>
      </c>
      <c r="L9" s="571">
        <f t="shared" si="0"/>
        <v>20000000</v>
      </c>
      <c r="M9" s="571">
        <f t="shared" si="0"/>
        <v>40000000</v>
      </c>
      <c r="N9" s="571"/>
    </row>
    <row r="10" spans="1:15" s="582" customFormat="1" ht="15.75">
      <c r="A10" s="575" t="s">
        <v>298</v>
      </c>
      <c r="B10" s="576" t="s">
        <v>555</v>
      </c>
      <c r="C10" s="577" t="s">
        <v>556</v>
      </c>
      <c r="D10" s="578" t="s">
        <v>557</v>
      </c>
      <c r="E10" s="575">
        <v>3</v>
      </c>
      <c r="F10" s="579">
        <v>20000000</v>
      </c>
      <c r="G10" s="580">
        <f>E10*F10</f>
        <v>60000000</v>
      </c>
      <c r="H10" s="580">
        <f>G10/E10</f>
        <v>20000000</v>
      </c>
      <c r="I10" s="581">
        <v>0</v>
      </c>
      <c r="J10" s="581">
        <f>H10*I10</f>
        <v>0</v>
      </c>
      <c r="K10" s="580">
        <f>H10</f>
        <v>20000000</v>
      </c>
      <c r="L10" s="580">
        <f>J10+K10</f>
        <v>20000000</v>
      </c>
      <c r="M10" s="580">
        <f>G10-L10</f>
        <v>40000000</v>
      </c>
      <c r="N10" s="575"/>
    </row>
    <row r="11" spans="1:15" s="585" customFormat="1" ht="15.75">
      <c r="A11" s="583" t="s">
        <v>187</v>
      </c>
      <c r="B11" s="568" t="s">
        <v>543</v>
      </c>
      <c r="C11" s="569"/>
      <c r="D11" s="570"/>
      <c r="E11" s="583"/>
      <c r="F11" s="571">
        <f>SUBTOTAL(9,F12:F12)</f>
        <v>10000000</v>
      </c>
      <c r="G11" s="571">
        <f>SUBTOTAL(9,G12:G12)</f>
        <v>30000000</v>
      </c>
      <c r="H11" s="571">
        <f>SUBTOTAL(9,H12:H12)</f>
        <v>10000000</v>
      </c>
      <c r="I11" s="584">
        <f>SUBTOTAL(9,I12:I12)</f>
        <v>0</v>
      </c>
      <c r="J11" s="584">
        <f>SUBTOTAL(9,J12:J12)</f>
        <v>0</v>
      </c>
      <c r="K11" s="571">
        <f>SUBTOTAL(9,K12:K12)</f>
        <v>10000000</v>
      </c>
      <c r="L11" s="571">
        <f>SUBTOTAL(9,L12:L12)</f>
        <v>10000000</v>
      </c>
      <c r="M11" s="571">
        <f>SUBTOTAL(9,M12:M12)</f>
        <v>20000000</v>
      </c>
      <c r="N11" s="571">
        <f>SUBTOTAL(9,N12:N12)</f>
        <v>0</v>
      </c>
    </row>
    <row r="12" spans="1:15" s="582" customFormat="1" ht="15.75">
      <c r="A12" s="575" t="s">
        <v>298</v>
      </c>
      <c r="B12" s="586" t="s">
        <v>558</v>
      </c>
      <c r="C12" s="577" t="s">
        <v>559</v>
      </c>
      <c r="D12" s="578" t="s">
        <v>551</v>
      </c>
      <c r="E12" s="575">
        <v>3</v>
      </c>
      <c r="F12" s="579">
        <v>10000000</v>
      </c>
      <c r="G12" s="580">
        <f>E12*F12</f>
        <v>30000000</v>
      </c>
      <c r="H12" s="580">
        <f>G12/E12</f>
        <v>10000000</v>
      </c>
      <c r="I12" s="581">
        <v>0</v>
      </c>
      <c r="J12" s="581">
        <f>H12*I12</f>
        <v>0</v>
      </c>
      <c r="K12" s="580">
        <f>H12</f>
        <v>10000000</v>
      </c>
      <c r="L12" s="580">
        <f>J12+K12</f>
        <v>10000000</v>
      </c>
      <c r="M12" s="580">
        <f>G12-L12</f>
        <v>20000000</v>
      </c>
      <c r="N12" s="575"/>
    </row>
    <row r="13" spans="1:15" s="574" customFormat="1" ht="15.75">
      <c r="A13" s="587" t="s">
        <v>320</v>
      </c>
      <c r="B13" s="587"/>
      <c r="C13" s="587"/>
      <c r="D13" s="587"/>
      <c r="E13" s="571"/>
      <c r="F13" s="571">
        <f>SUBTOTAL(9,F9:F12)</f>
        <v>30000000</v>
      </c>
      <c r="G13" s="571">
        <f>SUBTOTAL(9,G9:G12)</f>
        <v>90000000</v>
      </c>
      <c r="H13" s="571">
        <f>SUBTOTAL(9,H9:H12)</f>
        <v>30000000</v>
      </c>
      <c r="I13" s="584">
        <f>SUBTOTAL(9,I9:I12)</f>
        <v>0</v>
      </c>
      <c r="J13" s="584">
        <f>SUBTOTAL(9,J9:J12)</f>
        <v>0</v>
      </c>
      <c r="K13" s="571">
        <f>SUBTOTAL(9,K9:K12)</f>
        <v>30000000</v>
      </c>
      <c r="L13" s="571">
        <f>SUBTOTAL(9,L9:L12)</f>
        <v>30000000</v>
      </c>
      <c r="M13" s="571">
        <f>SUBTOTAL(9,M9:M12)</f>
        <v>60000000</v>
      </c>
      <c r="N13" s="571"/>
    </row>
    <row r="14" spans="1:15" ht="15.75">
      <c r="A14" s="588"/>
      <c r="B14" s="589"/>
      <c r="C14" s="590"/>
      <c r="D14" s="590"/>
      <c r="E14" s="590"/>
      <c r="F14" s="590"/>
      <c r="G14" s="591"/>
      <c r="H14" s="592"/>
      <c r="I14" s="593"/>
      <c r="J14" s="594"/>
      <c r="K14" s="595"/>
      <c r="L14" s="596" t="s">
        <v>546</v>
      </c>
      <c r="M14" s="595"/>
      <c r="N14" s="597"/>
      <c r="O14" s="598"/>
    </row>
    <row r="15" spans="1:15" ht="15.75">
      <c r="A15" s="599" t="s">
        <v>16</v>
      </c>
      <c r="B15" s="599"/>
      <c r="C15" s="599"/>
      <c r="D15" s="600"/>
      <c r="E15" s="600"/>
      <c r="F15" s="600"/>
      <c r="G15" s="601"/>
      <c r="H15" s="548"/>
      <c r="I15" s="549"/>
      <c r="J15" s="544"/>
      <c r="K15" s="601"/>
      <c r="L15" s="601" t="s">
        <v>17</v>
      </c>
      <c r="N15" s="601"/>
      <c r="O15" s="602"/>
    </row>
    <row r="16" spans="1:15" ht="15.75">
      <c r="A16" s="603" t="s">
        <v>19</v>
      </c>
      <c r="B16" s="603"/>
      <c r="C16" s="603"/>
      <c r="D16" s="590"/>
      <c r="E16" s="590"/>
      <c r="F16" s="590"/>
      <c r="G16" s="604"/>
      <c r="H16" s="548"/>
      <c r="I16" s="549"/>
      <c r="J16" s="544"/>
      <c r="K16" s="597"/>
      <c r="L16" s="591" t="s">
        <v>19</v>
      </c>
      <c r="N16" s="597"/>
      <c r="O16" s="598"/>
    </row>
    <row r="17" spans="1:15" ht="15.75">
      <c r="A17" s="605"/>
      <c r="B17" s="605"/>
      <c r="C17" s="605"/>
      <c r="D17" s="605"/>
      <c r="E17" s="605"/>
      <c r="F17" s="605"/>
      <c r="G17" s="606"/>
      <c r="H17" s="606"/>
      <c r="I17" s="538"/>
      <c r="J17" s="607"/>
      <c r="K17" s="606"/>
      <c r="L17" s="606"/>
      <c r="M17" s="606"/>
      <c r="N17" s="606"/>
      <c r="O17" s="605"/>
    </row>
    <row r="20" spans="1:15" s="605" customFormat="1" ht="15.75">
      <c r="A20" s="610" t="s">
        <v>547</v>
      </c>
      <c r="B20" s="610"/>
      <c r="C20" s="610"/>
      <c r="I20" s="538"/>
      <c r="J20" s="607"/>
      <c r="K20" s="610" t="s">
        <v>548</v>
      </c>
      <c r="L20" s="610"/>
      <c r="M20" s="610"/>
    </row>
  </sheetData>
  <mergeCells count="9">
    <mergeCell ref="A16:C16"/>
    <mergeCell ref="A20:C20"/>
    <mergeCell ref="K20:M20"/>
    <mergeCell ref="A4:O4"/>
    <mergeCell ref="A5:O5"/>
    <mergeCell ref="B9:D9"/>
    <mergeCell ref="B11:D11"/>
    <mergeCell ref="A13:D13"/>
    <mergeCell ref="A15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KH</vt:lpstr>
      <vt:lpstr>NCC</vt:lpstr>
      <vt:lpstr>NHANVIEN</vt:lpstr>
      <vt:lpstr>TKNH</vt:lpstr>
      <vt:lpstr>HTK</vt:lpstr>
      <vt:lpstr>DINH KHOAN</vt:lpstr>
      <vt:lpstr>Bang PB TL va BHXH</vt:lpstr>
      <vt:lpstr>LUONG1</vt:lpstr>
      <vt:lpstr>LUONG2</vt:lpstr>
      <vt:lpstr>BCNXT</vt:lpstr>
      <vt:lpstr>Bang PBCCDC</vt:lpstr>
      <vt:lpstr>Bang KHTSCD</vt:lpstr>
      <vt:lpstr>Bang PB CPTT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User</cp:lastModifiedBy>
  <cp:lastPrinted>2024-10-18T08:41:49Z</cp:lastPrinted>
  <dcterms:created xsi:type="dcterms:W3CDTF">2013-11-22T21:45:00Z</dcterms:created>
  <dcterms:modified xsi:type="dcterms:W3CDTF">2024-10-25T09:18:36Z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D3097D4A2E7E46EEAB7E63E02229AC1F_12</vt:lpwstr>
  </property>
  <property fmtid="{D5CDD505-2E9C-101B-9397-08002B2CF9AE}" pid="3" name="KSOProductBuildVer">
    <vt:lpwstr>1033-12.2.0.18283</vt:lpwstr>
  </property>
</Properties>
</file>