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tables/table1.xml" ContentType="application/vnd.openxmlformats-officedocument.spreadsheetml.table+xml"/>
  <Override PartName="/xl/slicers/slicer1.xml" ContentType="application/vnd.ms-excel.slicer+xml"/>
  <Override PartName="/xl/comments6.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4\Luong\Tu co\"/>
    </mc:Choice>
  </mc:AlternateContent>
  <bookViews>
    <workbookView xWindow="-15" yWindow="60" windowWidth="7680" windowHeight="1095" tabRatio="751" firstSheet="5" activeTab="5"/>
  </bookViews>
  <sheets>
    <sheet name="CN  (2)" sheetId="38" state="hidden" r:id="rId1"/>
    <sheet name="GDQP" sheetId="39" state="hidden" r:id="rId2"/>
    <sheet name="CN  (3)" sheetId="40" state="hidden" r:id="rId3"/>
    <sheet name="ND 111" sheetId="37" state="hidden" r:id="rId4"/>
    <sheet name="Y tế" sheetId="33" state="hidden" r:id="rId5"/>
    <sheet name="CN " sheetId="18" r:id="rId6"/>
    <sheet name="BĐC T04-24" sheetId="12" r:id="rId7"/>
    <sheet name="BHXH" sheetId="34" state="hidden" r:id="rId8"/>
    <sheet name="Thu viec CN" sheetId="3" r:id="rId9"/>
    <sheet name="Moi" sheetId="35" r:id="rId10"/>
    <sheet name="Sheet1" sheetId="36" state="hidden" r:id="rId11"/>
  </sheets>
  <externalReferences>
    <externalReference r:id="rId12"/>
    <externalReference r:id="rId13"/>
    <externalReference r:id="rId14"/>
    <externalReference r:id="rId15"/>
  </externalReferences>
  <definedNames>
    <definedName name="_xlnm._FilterDatabase" localSheetId="5" hidden="1">'CN '!$A$12:$AF$81</definedName>
    <definedName name="_xlnm._FilterDatabase" localSheetId="0" hidden="1">'CN  (2)'!$A$12:$AN$62</definedName>
    <definedName name="_xlnm._FilterDatabase" localSheetId="2" hidden="1">'CN  (3)'!$A$12:$AM$51</definedName>
    <definedName name="_xlnm._FilterDatabase" localSheetId="1" hidden="1">GDQP!$A$12:$AM$69</definedName>
    <definedName name="_xlnm._FilterDatabase" localSheetId="9" hidden="1">Moi!$A$12:$AL$14</definedName>
    <definedName name="_xlnm._FilterDatabase" localSheetId="3" hidden="1">'ND 111'!$A$12:$AD$40</definedName>
    <definedName name="_xlnm._FilterDatabase" localSheetId="4" hidden="1">'Y tế'!$A$12:$AL$14</definedName>
    <definedName name="_xlnm.Print_Titles" localSheetId="6">'BĐC T04-24'!$7:$8</definedName>
    <definedName name="_xlnm.Print_Titles" localSheetId="7">BHXH!$7:$7</definedName>
    <definedName name="_xlnm.Print_Titles" localSheetId="5">'CN '!$10:$11</definedName>
    <definedName name="_xlnm.Print_Titles" localSheetId="0">'CN  (2)'!$10:$11</definedName>
    <definedName name="_xlnm.Print_Titles" localSheetId="2">'CN  (3)'!$10:$11</definedName>
    <definedName name="_xlnm.Print_Titles" localSheetId="1">GDQP!$10:$11</definedName>
    <definedName name="_xlnm.Print_Titles" localSheetId="9">Moi!$10:$11</definedName>
    <definedName name="_xlnm.Print_Titles" localSheetId="3">'ND 111'!$10:$11</definedName>
    <definedName name="_xlnm.Print_Titles" localSheetId="4">'Y tế'!$10:$11</definedName>
    <definedName name="Slicer_Column31">#N/A</definedName>
  </definedNames>
  <calcPr calcId="162913"/>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6"/>
      </x15:slicerCaches>
    </ext>
  </extLst>
</workbook>
</file>

<file path=xl/calcChain.xml><?xml version="1.0" encoding="utf-8"?>
<calcChain xmlns="http://schemas.openxmlformats.org/spreadsheetml/2006/main">
  <c r="U82" i="18" l="1"/>
  <c r="R82" i="18"/>
  <c r="Q82" i="18"/>
  <c r="S82" i="18"/>
  <c r="L79" i="18" l="1"/>
  <c r="S79" i="18" s="1"/>
  <c r="Q79" i="18" l="1"/>
  <c r="R79" i="18"/>
  <c r="N79" i="18"/>
  <c r="P79" i="18" s="1"/>
  <c r="U79" i="18" l="1"/>
  <c r="AA79" i="18" s="1"/>
  <c r="L78" i="18" l="1"/>
  <c r="R78" i="18" s="1"/>
  <c r="N78" i="18" l="1"/>
  <c r="P78" i="18" s="1"/>
  <c r="S78" i="18"/>
  <c r="Q78" i="18"/>
  <c r="L76" i="18"/>
  <c r="S76" i="18" s="1"/>
  <c r="U78" i="18" l="1"/>
  <c r="AA78" i="18"/>
  <c r="Q76" i="18"/>
  <c r="R76" i="18"/>
  <c r="N76" i="18"/>
  <c r="P76" i="18" s="1"/>
  <c r="AF15" i="18"/>
  <c r="AF16" i="18" s="1"/>
  <c r="AE16" i="18"/>
  <c r="AE17" i="18"/>
  <c r="AE18" i="18"/>
  <c r="AE19" i="18"/>
  <c r="AE20" i="18"/>
  <c r="AE21" i="18"/>
  <c r="AE22" i="18"/>
  <c r="AE23" i="18"/>
  <c r="AE24" i="18"/>
  <c r="AE25" i="18"/>
  <c r="AE26" i="18"/>
  <c r="AE27" i="18"/>
  <c r="AE28" i="18"/>
  <c r="AE29" i="18"/>
  <c r="AE30" i="18"/>
  <c r="AE31" i="18"/>
  <c r="AE32" i="18"/>
  <c r="AE33" i="18"/>
  <c r="AE34" i="18"/>
  <c r="AE35" i="18"/>
  <c r="AE36" i="18"/>
  <c r="AE37" i="18"/>
  <c r="AE38" i="18"/>
  <c r="AE39" i="18"/>
  <c r="AE40" i="18"/>
  <c r="AE41" i="18"/>
  <c r="AE42" i="18"/>
  <c r="AE43" i="18"/>
  <c r="AE44" i="18"/>
  <c r="AE45" i="18"/>
  <c r="AE46" i="18"/>
  <c r="AE47" i="18"/>
  <c r="AE48" i="18"/>
  <c r="AE49" i="18"/>
  <c r="AE50" i="18"/>
  <c r="AE51" i="18"/>
  <c r="AE52" i="18"/>
  <c r="AE53" i="18"/>
  <c r="AE54" i="18"/>
  <c r="AE55" i="18"/>
  <c r="AE56" i="18"/>
  <c r="AE57" i="18"/>
  <c r="AE58" i="18"/>
  <c r="AE59" i="18"/>
  <c r="AE60" i="18"/>
  <c r="AE61" i="18"/>
  <c r="AE62" i="18"/>
  <c r="AE63" i="18"/>
  <c r="AE64" i="18"/>
  <c r="AE65" i="18"/>
  <c r="AE66" i="18"/>
  <c r="AE67" i="18"/>
  <c r="AE68" i="18"/>
  <c r="AE69" i="18"/>
  <c r="AE70" i="18"/>
  <c r="AE71" i="18"/>
  <c r="AE72" i="18"/>
  <c r="AE73" i="18"/>
  <c r="AE74" i="18"/>
  <c r="AE75" i="18"/>
  <c r="AE77" i="18"/>
  <c r="AE80" i="18"/>
  <c r="AE15" i="18"/>
  <c r="U76" i="18" l="1"/>
  <c r="AA76" i="18" s="1"/>
  <c r="AF17" i="18"/>
  <c r="AI33" i="18"/>
  <c r="AI25" i="18"/>
  <c r="AI32" i="18"/>
  <c r="AI28" i="18"/>
  <c r="AI24" i="18"/>
  <c r="AI15" i="18"/>
  <c r="AI31" i="18"/>
  <c r="AI23" i="18"/>
  <c r="AI37" i="18"/>
  <c r="AI29" i="18"/>
  <c r="AI30" i="18"/>
  <c r="AI26" i="18"/>
  <c r="AF18" i="18" l="1"/>
  <c r="AF19" i="18" s="1"/>
  <c r="AF20" i="18" l="1"/>
  <c r="AF21" i="18" s="1"/>
  <c r="AF22" i="18" l="1"/>
  <c r="AF23" i="18" l="1"/>
  <c r="AF24" i="18" l="1"/>
  <c r="AF25" i="18" s="1"/>
  <c r="AF26" i="18" l="1"/>
  <c r="AF27" i="18" s="1"/>
  <c r="AF28" i="18" s="1"/>
  <c r="AF29" i="18" l="1"/>
  <c r="AF30" i="18" s="1"/>
  <c r="AF31" i="18" s="1"/>
  <c r="AF32" i="18" s="1"/>
  <c r="AF33" i="18" s="1"/>
  <c r="AF34" i="18" s="1"/>
  <c r="AF35" i="18" s="1"/>
  <c r="AF36" i="18" s="1"/>
  <c r="AF37" i="18" s="1"/>
  <c r="AF38" i="18" s="1"/>
  <c r="F53" i="18" l="1"/>
  <c r="F54" i="18"/>
  <c r="F55" i="18"/>
  <c r="F56" i="18"/>
  <c r="F57" i="18"/>
  <c r="F58" i="18"/>
  <c r="F59" i="18"/>
  <c r="F60" i="18"/>
  <c r="F61" i="18"/>
  <c r="F62" i="18"/>
  <c r="F63" i="18"/>
  <c r="F64" i="18"/>
  <c r="F65" i="18"/>
  <c r="F66" i="18"/>
  <c r="F67" i="18"/>
  <c r="F68" i="18"/>
  <c r="F69" i="18"/>
  <c r="F70" i="18"/>
  <c r="F71" i="18"/>
  <c r="F72" i="18"/>
  <c r="F73" i="18"/>
  <c r="F74" i="18"/>
  <c r="F75" i="18"/>
  <c r="F77" i="18"/>
  <c r="F80" i="18"/>
  <c r="F52" i="18"/>
  <c r="A15" i="18"/>
  <c r="J81" i="18"/>
  <c r="M81" i="18"/>
  <c r="O81" i="18"/>
  <c r="T81" i="18"/>
  <c r="V81" i="18"/>
  <c r="W81" i="18"/>
  <c r="X81" i="18"/>
  <c r="Y81" i="18"/>
  <c r="Z81" i="18"/>
  <c r="I81" i="18"/>
  <c r="J50" i="18"/>
  <c r="M50" i="18"/>
  <c r="O50" i="18"/>
  <c r="T50" i="18"/>
  <c r="V50" i="18"/>
  <c r="W50" i="18"/>
  <c r="X50" i="18"/>
  <c r="Y50" i="18"/>
  <c r="Z50" i="18"/>
  <c r="I50" i="18"/>
  <c r="L80" i="18"/>
  <c r="E80" i="18"/>
  <c r="L77" i="18"/>
  <c r="Q77" i="18" s="1"/>
  <c r="E77" i="18"/>
  <c r="L75" i="18"/>
  <c r="R75" i="18" s="1"/>
  <c r="L74" i="18"/>
  <c r="R74" i="18" s="1"/>
  <c r="L73" i="18"/>
  <c r="R73" i="18" s="1"/>
  <c r="E73" i="18"/>
  <c r="L72" i="18"/>
  <c r="R72" i="18" s="1"/>
  <c r="E72" i="18"/>
  <c r="L71" i="18"/>
  <c r="E71" i="18"/>
  <c r="L70" i="18"/>
  <c r="Q70" i="18" s="1"/>
  <c r="E70" i="18"/>
  <c r="L69" i="18"/>
  <c r="R69" i="18" s="1"/>
  <c r="E69" i="18"/>
  <c r="L68" i="18"/>
  <c r="R68" i="18" s="1"/>
  <c r="E68" i="18"/>
  <c r="L67" i="18"/>
  <c r="E67" i="18"/>
  <c r="D67" i="18"/>
  <c r="L66" i="18"/>
  <c r="E66" i="18"/>
  <c r="D66" i="18"/>
  <c r="AD65" i="18"/>
  <c r="L65" i="18"/>
  <c r="R65" i="18" s="1"/>
  <c r="E65" i="18"/>
  <c r="L64" i="18"/>
  <c r="L63" i="18"/>
  <c r="R63" i="18" s="1"/>
  <c r="L62" i="18"/>
  <c r="Q62" i="18" s="1"/>
  <c r="E62" i="18"/>
  <c r="L61" i="18"/>
  <c r="R61" i="18" s="1"/>
  <c r="E61" i="18"/>
  <c r="L60" i="18"/>
  <c r="E60" i="18"/>
  <c r="L59" i="18"/>
  <c r="Q59" i="18" s="1"/>
  <c r="E59" i="18"/>
  <c r="D59" i="18"/>
  <c r="U58" i="18"/>
  <c r="L58" i="18"/>
  <c r="E58" i="18"/>
  <c r="L57" i="18"/>
  <c r="Q57" i="18" s="1"/>
  <c r="E57" i="18"/>
  <c r="D57" i="18"/>
  <c r="K56" i="18"/>
  <c r="L56" i="18" s="1"/>
  <c r="E56" i="18"/>
  <c r="L55" i="18"/>
  <c r="R55" i="18" s="1"/>
  <c r="D55" i="18"/>
  <c r="L54" i="18"/>
  <c r="R54" i="18" s="1"/>
  <c r="E54" i="18"/>
  <c r="L53" i="18"/>
  <c r="R53" i="18" s="1"/>
  <c r="E53" i="18"/>
  <c r="L52" i="18"/>
  <c r="Q52" i="18" s="1"/>
  <c r="D52" i="18"/>
  <c r="AE55" i="40"/>
  <c r="Z51" i="40"/>
  <c r="Y51" i="40"/>
  <c r="X51" i="40"/>
  <c r="W51" i="40"/>
  <c r="V51" i="40"/>
  <c r="T51" i="40"/>
  <c r="O51" i="40"/>
  <c r="J51" i="40"/>
  <c r="I51" i="40"/>
  <c r="H51" i="40"/>
  <c r="U49" i="40"/>
  <c r="L49" i="40"/>
  <c r="F49" i="40"/>
  <c r="S48" i="40"/>
  <c r="Q48" i="40"/>
  <c r="U48" i="40" s="1"/>
  <c r="P48" i="40"/>
  <c r="N48" i="40"/>
  <c r="L48" i="40"/>
  <c r="R48" i="40" s="1"/>
  <c r="F48" i="40"/>
  <c r="S47" i="40"/>
  <c r="P47" i="40"/>
  <c r="N47" i="40"/>
  <c r="L47" i="40"/>
  <c r="R47" i="40" s="1"/>
  <c r="F47" i="40"/>
  <c r="S46" i="40"/>
  <c r="R46" i="40"/>
  <c r="N46" i="40"/>
  <c r="L46" i="40"/>
  <c r="K46" i="40"/>
  <c r="K51" i="40" s="1"/>
  <c r="F46" i="40"/>
  <c r="S45" i="40"/>
  <c r="R45" i="40"/>
  <c r="N45" i="40"/>
  <c r="L45" i="40"/>
  <c r="F45" i="40"/>
  <c r="D45" i="40"/>
  <c r="S44" i="40"/>
  <c r="R44" i="40"/>
  <c r="N44" i="40"/>
  <c r="L44" i="40"/>
  <c r="F44" i="40"/>
  <c r="L43" i="40"/>
  <c r="F43" i="40"/>
  <c r="D43" i="40"/>
  <c r="R42" i="40"/>
  <c r="L42" i="40"/>
  <c r="F42" i="40"/>
  <c r="S41" i="40"/>
  <c r="Q41" i="40"/>
  <c r="U41" i="40" s="1"/>
  <c r="P41" i="40"/>
  <c r="AA41" i="40" s="1"/>
  <c r="N41" i="40"/>
  <c r="L41" i="40"/>
  <c r="R41" i="40" s="1"/>
  <c r="F41" i="40"/>
  <c r="D41" i="40"/>
  <c r="S40" i="40"/>
  <c r="Q40" i="40"/>
  <c r="U40" i="40" s="1"/>
  <c r="P40" i="40"/>
  <c r="AA40" i="40" s="1"/>
  <c r="N40" i="40"/>
  <c r="L40" i="40"/>
  <c r="R40" i="40" s="1"/>
  <c r="F40" i="40"/>
  <c r="S39" i="40"/>
  <c r="P39" i="40"/>
  <c r="N39" i="40"/>
  <c r="L39" i="40"/>
  <c r="R39" i="40" s="1"/>
  <c r="F39" i="40"/>
  <c r="D39" i="40"/>
  <c r="S38" i="40"/>
  <c r="P38" i="40"/>
  <c r="N38" i="40"/>
  <c r="L38" i="40"/>
  <c r="R38" i="40" s="1"/>
  <c r="F38" i="40"/>
  <c r="D38" i="40"/>
  <c r="S37" i="40"/>
  <c r="R37" i="40"/>
  <c r="N37" i="40"/>
  <c r="L37" i="40"/>
  <c r="F37" i="40"/>
  <c r="L36" i="40"/>
  <c r="F36" i="40"/>
  <c r="D36" i="40"/>
  <c r="R35" i="40"/>
  <c r="L35" i="40"/>
  <c r="F35" i="40"/>
  <c r="D35" i="40"/>
  <c r="R34" i="40"/>
  <c r="Q34" i="40"/>
  <c r="L34" i="40"/>
  <c r="F34" i="40"/>
  <c r="D34" i="40"/>
  <c r="L33" i="40"/>
  <c r="Q33" i="40" s="1"/>
  <c r="F33" i="40"/>
  <c r="D33" i="40"/>
  <c r="L32" i="40"/>
  <c r="F32" i="40"/>
  <c r="S31" i="40"/>
  <c r="Q31" i="40"/>
  <c r="U31" i="40" s="1"/>
  <c r="P31" i="40"/>
  <c r="AA31" i="40" s="1"/>
  <c r="N31" i="40"/>
  <c r="L31" i="40"/>
  <c r="R31" i="40" s="1"/>
  <c r="F31" i="40"/>
  <c r="D31" i="40"/>
  <c r="S30" i="40"/>
  <c r="Q30" i="40"/>
  <c r="P30" i="40"/>
  <c r="N30" i="40"/>
  <c r="L30" i="40"/>
  <c r="R30" i="40" s="1"/>
  <c r="U30" i="40" s="1"/>
  <c r="F30" i="40"/>
  <c r="S29" i="40"/>
  <c r="N29" i="40"/>
  <c r="P29" i="40" s="1"/>
  <c r="L29" i="40"/>
  <c r="R29" i="40" s="1"/>
  <c r="F29" i="40"/>
  <c r="A29" i="40"/>
  <c r="AB29" i="40" s="1"/>
  <c r="S28" i="40"/>
  <c r="R28" i="40"/>
  <c r="L28" i="40"/>
  <c r="F28" i="40"/>
  <c r="AD27" i="40"/>
  <c r="S27" i="40"/>
  <c r="R27" i="40"/>
  <c r="N27" i="40"/>
  <c r="L27" i="40"/>
  <c r="F27" i="40"/>
  <c r="R26" i="40"/>
  <c r="Q26" i="40"/>
  <c r="L26" i="40"/>
  <c r="F26" i="40"/>
  <c r="S25" i="40"/>
  <c r="Q25" i="40"/>
  <c r="U25" i="40" s="1"/>
  <c r="P25" i="40"/>
  <c r="AA25" i="40" s="1"/>
  <c r="N25" i="40"/>
  <c r="L25" i="40"/>
  <c r="R25" i="40" s="1"/>
  <c r="F25" i="40"/>
  <c r="R24" i="40"/>
  <c r="L24" i="40"/>
  <c r="Q24" i="40" s="1"/>
  <c r="F24" i="40"/>
  <c r="L23" i="40"/>
  <c r="F23" i="40"/>
  <c r="L22" i="40"/>
  <c r="F22" i="40"/>
  <c r="U21" i="40"/>
  <c r="S21" i="40"/>
  <c r="Q21" i="40"/>
  <c r="N21" i="40"/>
  <c r="P21" i="40" s="1"/>
  <c r="AA21" i="40" s="1"/>
  <c r="L21" i="40"/>
  <c r="R21" i="40" s="1"/>
  <c r="F21" i="40"/>
  <c r="D21" i="40"/>
  <c r="S20" i="40"/>
  <c r="Q20" i="40"/>
  <c r="U20" i="40" s="1"/>
  <c r="N20" i="40"/>
  <c r="P20" i="40" s="1"/>
  <c r="AA20" i="40" s="1"/>
  <c r="L20" i="40"/>
  <c r="R20" i="40" s="1"/>
  <c r="F20" i="40"/>
  <c r="D20" i="40"/>
  <c r="U19" i="40"/>
  <c r="S19" i="40"/>
  <c r="Q19" i="40"/>
  <c r="N19" i="40"/>
  <c r="P19" i="40" s="1"/>
  <c r="AA19" i="40" s="1"/>
  <c r="L19" i="40"/>
  <c r="R19" i="40" s="1"/>
  <c r="F19" i="40"/>
  <c r="D19" i="40"/>
  <c r="AD18" i="40"/>
  <c r="L18" i="40"/>
  <c r="Q18" i="40" s="1"/>
  <c r="F18" i="40"/>
  <c r="D18" i="40"/>
  <c r="R17" i="40"/>
  <c r="Q17" i="40"/>
  <c r="L17" i="40"/>
  <c r="F17" i="40"/>
  <c r="D17" i="40"/>
  <c r="AE16" i="40"/>
  <c r="R16" i="40"/>
  <c r="L16" i="40"/>
  <c r="N16" i="40" s="1"/>
  <c r="F16" i="40"/>
  <c r="D16" i="40"/>
  <c r="AF15" i="40"/>
  <c r="R15" i="40"/>
  <c r="L15" i="40"/>
  <c r="Q15" i="40" s="1"/>
  <c r="F15" i="40"/>
  <c r="L14" i="40"/>
  <c r="L51" i="40" s="1"/>
  <c r="F14" i="40"/>
  <c r="AH9" i="40"/>
  <c r="AG9" i="40"/>
  <c r="AH7" i="40"/>
  <c r="AG7" i="40"/>
  <c r="AH6" i="40"/>
  <c r="AH8" i="40" s="1"/>
  <c r="AG6" i="40"/>
  <c r="AG8" i="40" s="1"/>
  <c r="AG4" i="40"/>
  <c r="A21" i="37"/>
  <c r="A22" i="37" s="1"/>
  <c r="L39" i="37"/>
  <c r="Q39" i="37" s="1"/>
  <c r="E39" i="37"/>
  <c r="A13" i="37"/>
  <c r="A14" i="37" s="1"/>
  <c r="A15" i="37" s="1"/>
  <c r="E38" i="37"/>
  <c r="L38" i="37"/>
  <c r="N38" i="37"/>
  <c r="S38" i="37"/>
  <c r="E31" i="37"/>
  <c r="L31" i="37"/>
  <c r="N31" i="37" s="1"/>
  <c r="P31" i="37" s="1"/>
  <c r="E32" i="37"/>
  <c r="L32" i="37"/>
  <c r="N32" i="37" s="1"/>
  <c r="E33" i="37"/>
  <c r="L33" i="37"/>
  <c r="R33" i="37" s="1"/>
  <c r="N33" i="37"/>
  <c r="S33" i="37"/>
  <c r="E34" i="37"/>
  <c r="L34" i="37"/>
  <c r="N34" i="37" s="1"/>
  <c r="R34" i="37"/>
  <c r="E35" i="37"/>
  <c r="L35" i="37"/>
  <c r="N35" i="37" s="1"/>
  <c r="D28" i="37"/>
  <c r="E28" i="37"/>
  <c r="L28" i="37"/>
  <c r="N28" i="37" s="1"/>
  <c r="D29" i="37"/>
  <c r="E29" i="37"/>
  <c r="L29" i="37"/>
  <c r="N29" i="37" s="1"/>
  <c r="P29" i="37" s="1"/>
  <c r="E30" i="37"/>
  <c r="L30" i="37"/>
  <c r="N30" i="37" s="1"/>
  <c r="E27" i="37"/>
  <c r="L27" i="37"/>
  <c r="N27" i="37" s="1"/>
  <c r="P27" i="37" s="1"/>
  <c r="Q27" i="37"/>
  <c r="AD27" i="37"/>
  <c r="L24" i="37"/>
  <c r="Q24" i="37" s="1"/>
  <c r="E24" i="37"/>
  <c r="L23" i="37"/>
  <c r="R23" i="37" s="1"/>
  <c r="E23" i="37"/>
  <c r="L22" i="37"/>
  <c r="Q22" i="37" s="1"/>
  <c r="E22" i="37"/>
  <c r="L21" i="37"/>
  <c r="R21" i="37" s="1"/>
  <c r="E21" i="37"/>
  <c r="D21" i="37"/>
  <c r="U20" i="37"/>
  <c r="L20" i="37"/>
  <c r="N20" i="37" s="1"/>
  <c r="P20" i="37" s="1"/>
  <c r="E20" i="37"/>
  <c r="L19" i="37"/>
  <c r="Q19" i="37" s="1"/>
  <c r="E19" i="37"/>
  <c r="D19" i="37"/>
  <c r="L18" i="37"/>
  <c r="S18" i="37" s="1"/>
  <c r="E18" i="37"/>
  <c r="K17" i="37"/>
  <c r="L17" i="37" s="1"/>
  <c r="E17" i="37"/>
  <c r="A16" i="18" l="1"/>
  <c r="Q55" i="18"/>
  <c r="Z82" i="18"/>
  <c r="V82" i="18"/>
  <c r="J82" i="18"/>
  <c r="T82" i="18"/>
  <c r="N63" i="18"/>
  <c r="P63" i="18" s="1"/>
  <c r="N65" i="18"/>
  <c r="P65" i="18" s="1"/>
  <c r="S65" i="18"/>
  <c r="X82" i="18"/>
  <c r="O82" i="18"/>
  <c r="S54" i="18"/>
  <c r="Y82" i="18"/>
  <c r="I82" i="18"/>
  <c r="W82" i="18"/>
  <c r="M82" i="18"/>
  <c r="N75" i="18"/>
  <c r="P75" i="18" s="1"/>
  <c r="K81" i="18"/>
  <c r="L81" i="18"/>
  <c r="Q69" i="18"/>
  <c r="S73" i="18"/>
  <c r="S55" i="18"/>
  <c r="S69" i="18"/>
  <c r="N72" i="18"/>
  <c r="P72" i="18" s="1"/>
  <c r="N73" i="18"/>
  <c r="N54" i="18"/>
  <c r="P54" i="18" s="1"/>
  <c r="N55" i="18"/>
  <c r="P55" i="18" s="1"/>
  <c r="N61" i="18"/>
  <c r="P61" i="18" s="1"/>
  <c r="Q63" i="18"/>
  <c r="N68" i="18"/>
  <c r="P68" i="18" s="1"/>
  <c r="N69" i="18"/>
  <c r="P69" i="18" s="1"/>
  <c r="S72" i="18"/>
  <c r="P73" i="18"/>
  <c r="Q75" i="18"/>
  <c r="S61" i="18"/>
  <c r="S63" i="18"/>
  <c r="S68" i="18"/>
  <c r="Q73" i="18"/>
  <c r="S75" i="18"/>
  <c r="N58" i="18"/>
  <c r="P58" i="18" s="1"/>
  <c r="AA58" i="18" s="1"/>
  <c r="Q74" i="18"/>
  <c r="S74" i="18"/>
  <c r="N74" i="18"/>
  <c r="P74" i="18" s="1"/>
  <c r="Q66" i="18"/>
  <c r="S66" i="18"/>
  <c r="N66" i="18"/>
  <c r="P66" i="18" s="1"/>
  <c r="Q60" i="18"/>
  <c r="S60" i="18"/>
  <c r="N60" i="18"/>
  <c r="P60" i="18" s="1"/>
  <c r="R66" i="18"/>
  <c r="Q67" i="18"/>
  <c r="S67" i="18"/>
  <c r="N67" i="18"/>
  <c r="P67" i="18" s="1"/>
  <c r="Q71" i="18"/>
  <c r="S71" i="18"/>
  <c r="N71" i="18"/>
  <c r="P71" i="18" s="1"/>
  <c r="R60" i="18"/>
  <c r="Q64" i="18"/>
  <c r="S64" i="18"/>
  <c r="N64" i="18"/>
  <c r="P64" i="18" s="1"/>
  <c r="R67" i="18"/>
  <c r="R71" i="18"/>
  <c r="Q80" i="18"/>
  <c r="S80" i="18"/>
  <c r="N80" i="18"/>
  <c r="P80" i="18" s="1"/>
  <c r="S52" i="18"/>
  <c r="N52" i="18"/>
  <c r="P52" i="18" s="1"/>
  <c r="R52" i="18"/>
  <c r="Q53" i="18"/>
  <c r="S53" i="18"/>
  <c r="N53" i="18"/>
  <c r="P53" i="18" s="1"/>
  <c r="S56" i="18"/>
  <c r="N56" i="18"/>
  <c r="P56" i="18" s="1"/>
  <c r="Q56" i="18"/>
  <c r="R56" i="18"/>
  <c r="R64" i="18"/>
  <c r="R80" i="18"/>
  <c r="R70" i="18"/>
  <c r="R77" i="18"/>
  <c r="Q54" i="18"/>
  <c r="N57" i="18"/>
  <c r="P57" i="18" s="1"/>
  <c r="S57" i="18"/>
  <c r="N59" i="18"/>
  <c r="P59" i="18" s="1"/>
  <c r="S59" i="18"/>
  <c r="Q61" i="18"/>
  <c r="N62" i="18"/>
  <c r="P62" i="18" s="1"/>
  <c r="S62" i="18"/>
  <c r="Q65" i="18"/>
  <c r="Q68" i="18"/>
  <c r="N70" i="18"/>
  <c r="P70" i="18" s="1"/>
  <c r="S70" i="18"/>
  <c r="Q72" i="18"/>
  <c r="N77" i="18"/>
  <c r="P77" i="18" s="1"/>
  <c r="S77" i="18"/>
  <c r="R57" i="18"/>
  <c r="R59" i="18"/>
  <c r="R62" i="18"/>
  <c r="AG10" i="40"/>
  <c r="AG11" i="40" s="1"/>
  <c r="U17" i="40"/>
  <c r="AH10" i="40"/>
  <c r="AH11" i="40" s="1"/>
  <c r="U15" i="40"/>
  <c r="AA30" i="40"/>
  <c r="AA48" i="40"/>
  <c r="P32" i="40"/>
  <c r="S32" i="40"/>
  <c r="N32" i="40"/>
  <c r="P36" i="40"/>
  <c r="S36" i="40"/>
  <c r="N36" i="40"/>
  <c r="S43" i="40"/>
  <c r="N43" i="40"/>
  <c r="P43" i="40" s="1"/>
  <c r="N49" i="40"/>
  <c r="P49" i="40" s="1"/>
  <c r="AA49" i="40" s="1"/>
  <c r="R14" i="40"/>
  <c r="S22" i="40"/>
  <c r="N22" i="40"/>
  <c r="S23" i="40"/>
  <c r="P33" i="40"/>
  <c r="S33" i="40"/>
  <c r="N33" i="40"/>
  <c r="AA38" i="40"/>
  <c r="P22" i="40"/>
  <c r="N23" i="40"/>
  <c r="P23" i="40" s="1"/>
  <c r="AA23" i="40" s="1"/>
  <c r="S24" i="40"/>
  <c r="U24" i="40" s="1"/>
  <c r="S15" i="40"/>
  <c r="Q28" i="40"/>
  <c r="U28" i="40" s="1"/>
  <c r="Q32" i="40"/>
  <c r="R33" i="40"/>
  <c r="U33" i="40" s="1"/>
  <c r="P35" i="40"/>
  <c r="S35" i="40"/>
  <c r="N35" i="40"/>
  <c r="Q36" i="40"/>
  <c r="P42" i="40"/>
  <c r="S42" i="40"/>
  <c r="N42" i="40"/>
  <c r="Q43" i="40"/>
  <c r="S18" i="40"/>
  <c r="N18" i="40"/>
  <c r="P18" i="40" s="1"/>
  <c r="AA18" i="40" s="1"/>
  <c r="N14" i="40"/>
  <c r="S14" i="40"/>
  <c r="S51" i="40" s="1"/>
  <c r="P16" i="40"/>
  <c r="S16" i="40"/>
  <c r="Q22" i="40"/>
  <c r="Q23" i="40"/>
  <c r="U23" i="40" s="1"/>
  <c r="N24" i="40"/>
  <c r="Q14" i="40"/>
  <c r="N15" i="40"/>
  <c r="P15" i="40" s="1"/>
  <c r="Q16" i="40"/>
  <c r="U16" i="40" s="1"/>
  <c r="S17" i="40"/>
  <c r="N17" i="40"/>
  <c r="P17" i="40" s="1"/>
  <c r="R18" i="40"/>
  <c r="U18" i="40" s="1"/>
  <c r="R22" i="40"/>
  <c r="R23" i="40"/>
  <c r="P24" i="40"/>
  <c r="S26" i="40"/>
  <c r="U26" i="40" s="1"/>
  <c r="N26" i="40"/>
  <c r="P26" i="40" s="1"/>
  <c r="Q27" i="40"/>
  <c r="U27" i="40" s="1"/>
  <c r="P27" i="40"/>
  <c r="AA27" i="40" s="1"/>
  <c r="N28" i="40"/>
  <c r="P28" i="40" s="1"/>
  <c r="AA28" i="40" s="1"/>
  <c r="R32" i="40"/>
  <c r="S34" i="40"/>
  <c r="U34" i="40" s="1"/>
  <c r="N34" i="40"/>
  <c r="P34" i="40" s="1"/>
  <c r="AA34" i="40" s="1"/>
  <c r="Q35" i="40"/>
  <c r="U35" i="40" s="1"/>
  <c r="R36" i="40"/>
  <c r="Q37" i="40"/>
  <c r="U37" i="40" s="1"/>
  <c r="P37" i="40"/>
  <c r="AA37" i="40" s="1"/>
  <c r="Q42" i="40"/>
  <c r="U42" i="40" s="1"/>
  <c r="R43" i="40"/>
  <c r="Q44" i="40"/>
  <c r="U44" i="40" s="1"/>
  <c r="P44" i="40"/>
  <c r="AA44" i="40" s="1"/>
  <c r="Q45" i="40"/>
  <c r="U45" i="40" s="1"/>
  <c r="P45" i="40"/>
  <c r="Q46" i="40"/>
  <c r="U46" i="40" s="1"/>
  <c r="P46" i="40"/>
  <c r="AA46" i="40" s="1"/>
  <c r="Q29" i="40"/>
  <c r="U29" i="40" s="1"/>
  <c r="AA29" i="40" s="1"/>
  <c r="Q38" i="40"/>
  <c r="U38" i="40" s="1"/>
  <c r="Q39" i="40"/>
  <c r="U39" i="40" s="1"/>
  <c r="AA39" i="40" s="1"/>
  <c r="Q47" i="40"/>
  <c r="U47" i="40" s="1"/>
  <c r="AA47" i="40" s="1"/>
  <c r="A23" i="37"/>
  <c r="A25" i="37" s="1"/>
  <c r="A24" i="37"/>
  <c r="P33" i="37"/>
  <c r="S35" i="37"/>
  <c r="Q33" i="37"/>
  <c r="U33" i="37" s="1"/>
  <c r="R39" i="37"/>
  <c r="U39" i="37" s="1"/>
  <c r="P38" i="37"/>
  <c r="N39" i="37"/>
  <c r="P39" i="37" s="1"/>
  <c r="S39" i="37"/>
  <c r="R31" i="37"/>
  <c r="P35" i="37"/>
  <c r="R27" i="37"/>
  <c r="R30" i="37"/>
  <c r="R32" i="37"/>
  <c r="Q31" i="37"/>
  <c r="A16" i="37"/>
  <c r="A17" i="37" s="1"/>
  <c r="AA33" i="37"/>
  <c r="R35" i="37"/>
  <c r="S28" i="37"/>
  <c r="Q35" i="37"/>
  <c r="Q38" i="37"/>
  <c r="U38" i="37" s="1"/>
  <c r="AA38" i="37" s="1"/>
  <c r="R38" i="37"/>
  <c r="R28" i="37"/>
  <c r="R29" i="37"/>
  <c r="Q28" i="37"/>
  <c r="U28" i="37" s="1"/>
  <c r="Q34" i="37"/>
  <c r="Q32" i="37"/>
  <c r="S31" i="37"/>
  <c r="Q29" i="37"/>
  <c r="P34" i="37"/>
  <c r="P32" i="37"/>
  <c r="P28" i="37"/>
  <c r="S34" i="37"/>
  <c r="S32" i="37"/>
  <c r="S29" i="37"/>
  <c r="Q30" i="37"/>
  <c r="P30" i="37"/>
  <c r="S30" i="37"/>
  <c r="N21" i="37"/>
  <c r="P21" i="37" s="1"/>
  <c r="Q18" i="37"/>
  <c r="S21" i="37"/>
  <c r="N23" i="37"/>
  <c r="P23" i="37" s="1"/>
  <c r="S27" i="37"/>
  <c r="AA20" i="37"/>
  <c r="S23" i="37"/>
  <c r="R24" i="37"/>
  <c r="R18" i="37"/>
  <c r="N19" i="37"/>
  <c r="P19" i="37" s="1"/>
  <c r="S19" i="37"/>
  <c r="Q21" i="37"/>
  <c r="N22" i="37"/>
  <c r="P22" i="37" s="1"/>
  <c r="S22" i="37"/>
  <c r="Q23" i="37"/>
  <c r="U23" i="37" s="1"/>
  <c r="R19" i="37"/>
  <c r="R22" i="37"/>
  <c r="N24" i="37"/>
  <c r="P24" i="37" s="1"/>
  <c r="S24" i="37"/>
  <c r="N18" i="37"/>
  <c r="P18" i="37" s="1"/>
  <c r="R17" i="37"/>
  <c r="S17" i="37"/>
  <c r="N17" i="37"/>
  <c r="P17" i="37" s="1"/>
  <c r="Q17" i="37"/>
  <c r="S81" i="18" l="1"/>
  <c r="A17" i="18"/>
  <c r="R81" i="18"/>
  <c r="U69" i="18"/>
  <c r="AA69" i="18" s="1"/>
  <c r="U55" i="18"/>
  <c r="AA55" i="18" s="1"/>
  <c r="U57" i="18"/>
  <c r="AA57" i="18" s="1"/>
  <c r="U65" i="18"/>
  <c r="AA65" i="18" s="1"/>
  <c r="U72" i="18"/>
  <c r="AA72" i="18" s="1"/>
  <c r="U54" i="18"/>
  <c r="AA54" i="18" s="1"/>
  <c r="Q81" i="18"/>
  <c r="U75" i="18"/>
  <c r="AA75" i="18" s="1"/>
  <c r="P81" i="18"/>
  <c r="U77" i="18"/>
  <c r="U63" i="18"/>
  <c r="AA63" i="18" s="1"/>
  <c r="U73" i="18"/>
  <c r="AA73" i="18" s="1"/>
  <c r="N81" i="18"/>
  <c r="U70" i="18"/>
  <c r="AA70" i="18" s="1"/>
  <c r="U53" i="18"/>
  <c r="AA53" i="18" s="1"/>
  <c r="U62" i="18"/>
  <c r="AA62" i="18" s="1"/>
  <c r="U52" i="18"/>
  <c r="U74" i="18"/>
  <c r="AA74" i="18" s="1"/>
  <c r="U59" i="18"/>
  <c r="AA59" i="18" s="1"/>
  <c r="U68" i="18"/>
  <c r="AA68" i="18" s="1"/>
  <c r="U61" i="18"/>
  <c r="AA61" i="18" s="1"/>
  <c r="U64" i="18"/>
  <c r="AA64" i="18" s="1"/>
  <c r="U66" i="18"/>
  <c r="AA66" i="18" s="1"/>
  <c r="U60" i="18"/>
  <c r="AA60" i="18" s="1"/>
  <c r="U80" i="18"/>
  <c r="AA80" i="18" s="1"/>
  <c r="U71" i="18"/>
  <c r="AA71" i="18" s="1"/>
  <c r="U56" i="18"/>
  <c r="AA56" i="18" s="1"/>
  <c r="U67" i="18"/>
  <c r="AA67" i="18" s="1"/>
  <c r="AA42" i="40"/>
  <c r="AA15" i="40"/>
  <c r="U22" i="40"/>
  <c r="N51" i="40"/>
  <c r="U43" i="40"/>
  <c r="AA43" i="40" s="1"/>
  <c r="U36" i="40"/>
  <c r="AA36" i="40" s="1"/>
  <c r="AA22" i="40"/>
  <c r="R51" i="40"/>
  <c r="AA35" i="40"/>
  <c r="AA33" i="40"/>
  <c r="AA24" i="40"/>
  <c r="AA17" i="40"/>
  <c r="U14" i="40"/>
  <c r="U51" i="40" s="1"/>
  <c r="Q51" i="40"/>
  <c r="U32" i="40"/>
  <c r="AA32" i="40" s="1"/>
  <c r="P14" i="40"/>
  <c r="AA26" i="40"/>
  <c r="AA45" i="40"/>
  <c r="AA16" i="40"/>
  <c r="A28" i="37"/>
  <c r="A27" i="37"/>
  <c r="A29" i="37"/>
  <c r="A30" i="37" s="1"/>
  <c r="A26" i="37"/>
  <c r="AA39" i="37"/>
  <c r="A18" i="37"/>
  <c r="AB18" i="37" s="1"/>
  <c r="AB17" i="37"/>
  <c r="A19" i="37"/>
  <c r="AB19" i="37" s="1"/>
  <c r="U31" i="37"/>
  <c r="AA31" i="37" s="1"/>
  <c r="U27" i="37"/>
  <c r="AA27" i="37" s="1"/>
  <c r="U22" i="37"/>
  <c r="AA22" i="37" s="1"/>
  <c r="U35" i="37"/>
  <c r="AA35" i="37" s="1"/>
  <c r="U34" i="37"/>
  <c r="AA34" i="37" s="1"/>
  <c r="AA23" i="37"/>
  <c r="U30" i="37"/>
  <c r="AA30" i="37" s="1"/>
  <c r="AA28" i="37"/>
  <c r="U29" i="37"/>
  <c r="AA29" i="37" s="1"/>
  <c r="U32" i="37"/>
  <c r="AA32" i="37" s="1"/>
  <c r="U19" i="37"/>
  <c r="AA19" i="37" s="1"/>
  <c r="U18" i="37"/>
  <c r="AA18" i="37" s="1"/>
  <c r="U17" i="37"/>
  <c r="AA17" i="37" s="1"/>
  <c r="U21" i="37"/>
  <c r="AA21" i="37" s="1"/>
  <c r="U24" i="37"/>
  <c r="AA24" i="37" s="1"/>
  <c r="U81" i="18" l="1"/>
  <c r="A18" i="18"/>
  <c r="AA52" i="18"/>
  <c r="AA77" i="18"/>
  <c r="P51" i="40"/>
  <c r="AA14" i="40"/>
  <c r="AA51" i="40" s="1"/>
  <c r="A31" i="37"/>
  <c r="A20" i="37"/>
  <c r="AA81" i="18" l="1"/>
  <c r="A19" i="18"/>
  <c r="AI36" i="18"/>
  <c r="A32" i="37"/>
  <c r="A33" i="37" s="1"/>
  <c r="AB20" i="37"/>
  <c r="A20" i="18" l="1"/>
  <c r="A21" i="18" s="1"/>
  <c r="A34" i="37"/>
  <c r="A35" i="37" s="1"/>
  <c r="A36" i="37" s="1"/>
  <c r="A37" i="37" s="1"/>
  <c r="A38" i="37" s="1"/>
  <c r="A39" i="37" s="1"/>
  <c r="AB21" i="37"/>
  <c r="A22" i="18" l="1"/>
  <c r="A23" i="18"/>
  <c r="A24" i="18" s="1"/>
  <c r="AB22" i="37"/>
  <c r="A25" i="18" l="1"/>
  <c r="A26" i="18" s="1"/>
  <c r="A27" i="18" s="1"/>
  <c r="A28" i="18" s="1"/>
  <c r="A29" i="18" s="1"/>
  <c r="A30" i="18" s="1"/>
  <c r="A31" i="18" s="1"/>
  <c r="A32" i="18" s="1"/>
  <c r="A33" i="18" s="1"/>
  <c r="A34" i="18" s="1"/>
  <c r="AB27" i="37"/>
  <c r="F29" i="18" l="1"/>
  <c r="F15" i="18"/>
  <c r="F16" i="18"/>
  <c r="F17" i="18"/>
  <c r="F18" i="18"/>
  <c r="F19" i="18"/>
  <c r="F20" i="18"/>
  <c r="F21" i="18"/>
  <c r="F22" i="18"/>
  <c r="F23" i="18"/>
  <c r="F24" i="18"/>
  <c r="F25" i="18"/>
  <c r="F26" i="18"/>
  <c r="F27" i="18"/>
  <c r="F28" i="18"/>
  <c r="F30" i="18"/>
  <c r="F31" i="18"/>
  <c r="F32" i="18"/>
  <c r="F33" i="18"/>
  <c r="F34" i="18"/>
  <c r="F35" i="18"/>
  <c r="F36" i="18"/>
  <c r="F37" i="18"/>
  <c r="F38" i="18"/>
  <c r="F39" i="18"/>
  <c r="F40" i="18"/>
  <c r="F41" i="18"/>
  <c r="F42" i="18"/>
  <c r="F43" i="18"/>
  <c r="F44" i="18"/>
  <c r="F45" i="18"/>
  <c r="F46" i="18"/>
  <c r="F47" i="18"/>
  <c r="F48" i="18"/>
  <c r="F49" i="18"/>
  <c r="L37" i="18" l="1"/>
  <c r="N37" i="18" s="1"/>
  <c r="S37" i="18" l="1"/>
  <c r="R37" i="18"/>
  <c r="P37" i="18"/>
  <c r="Q37" i="18"/>
  <c r="U37" i="18" l="1"/>
  <c r="AA37" i="18" s="1"/>
  <c r="L48" i="18"/>
  <c r="N48" i="18" s="1"/>
  <c r="S48" i="18" l="1"/>
  <c r="R48" i="18"/>
  <c r="Q48" i="18"/>
  <c r="P48" i="18"/>
  <c r="U48" i="18" l="1"/>
  <c r="AA48" i="18" s="1"/>
  <c r="K13" i="3"/>
  <c r="D21" i="18" l="1"/>
  <c r="L21" i="18"/>
  <c r="Q21" i="18" l="1"/>
  <c r="N21" i="18"/>
  <c r="P21" i="18" s="1"/>
  <c r="S21" i="18"/>
  <c r="R21" i="18"/>
  <c r="U21" i="18" l="1"/>
  <c r="AA21" i="18" s="1"/>
  <c r="J14" i="3" l="1"/>
  <c r="H14" i="3"/>
  <c r="G14" i="3"/>
  <c r="K14" i="3"/>
  <c r="L32" i="18" l="1"/>
  <c r="L24" i="18"/>
  <c r="N24" i="18" s="1"/>
  <c r="L42" i="18"/>
  <c r="AB64" i="39"/>
  <c r="AB65" i="39"/>
  <c r="AB66" i="39"/>
  <c r="AB67" i="39"/>
  <c r="AB68" i="39"/>
  <c r="AB61" i="39"/>
  <c r="AB62" i="39"/>
  <c r="AB63" i="39"/>
  <c r="U68" i="39"/>
  <c r="S63" i="39"/>
  <c r="S67" i="39"/>
  <c r="Q65" i="39"/>
  <c r="N63" i="39"/>
  <c r="L61" i="39"/>
  <c r="Q61" i="39" s="1"/>
  <c r="R61" i="39"/>
  <c r="L62" i="39"/>
  <c r="Q62" i="39" s="1"/>
  <c r="L63" i="39"/>
  <c r="P63" i="39"/>
  <c r="L64" i="39"/>
  <c r="R64" i="39" s="1"/>
  <c r="L65" i="39"/>
  <c r="R65" i="39" s="1"/>
  <c r="L66" i="39"/>
  <c r="Q66" i="39" s="1"/>
  <c r="L67" i="39"/>
  <c r="N67" i="39" s="1"/>
  <c r="AE72" i="39"/>
  <c r="Z69" i="39"/>
  <c r="Y69" i="39"/>
  <c r="X69" i="39"/>
  <c r="W69" i="39"/>
  <c r="V69" i="39"/>
  <c r="T69" i="39"/>
  <c r="O69" i="39"/>
  <c r="J69" i="39"/>
  <c r="I69" i="39"/>
  <c r="H69" i="39"/>
  <c r="L68" i="39"/>
  <c r="N68" i="39"/>
  <c r="AB59" i="39"/>
  <c r="L59" i="39"/>
  <c r="S59" i="39" s="1"/>
  <c r="AB58" i="39"/>
  <c r="K58" i="39"/>
  <c r="L58" i="39" s="1"/>
  <c r="AG57" i="39"/>
  <c r="AB57" i="39"/>
  <c r="L57" i="39"/>
  <c r="Q57" i="39" s="1"/>
  <c r="E57" i="39"/>
  <c r="AB56" i="39"/>
  <c r="L56" i="39"/>
  <c r="Q56" i="39" s="1"/>
  <c r="AG55" i="39"/>
  <c r="AB55" i="39"/>
  <c r="L55" i="39"/>
  <c r="Q55" i="39" s="1"/>
  <c r="E55" i="39"/>
  <c r="AB54" i="39"/>
  <c r="L54" i="39"/>
  <c r="E54" i="39"/>
  <c r="AB53" i="39"/>
  <c r="L53" i="39"/>
  <c r="E53" i="39"/>
  <c r="AB52" i="39"/>
  <c r="Q52" i="39"/>
  <c r="L52" i="39"/>
  <c r="R52" i="39" s="1"/>
  <c r="AF51" i="39"/>
  <c r="AB51" i="39"/>
  <c r="L51" i="39"/>
  <c r="S51" i="39" s="1"/>
  <c r="E51" i="39"/>
  <c r="AF50" i="39"/>
  <c r="AF39" i="39" s="1"/>
  <c r="AB50" i="39"/>
  <c r="L50" i="39"/>
  <c r="R50" i="39"/>
  <c r="E50" i="39"/>
  <c r="AB49" i="39"/>
  <c r="L49" i="39"/>
  <c r="S49" i="39"/>
  <c r="E49" i="39"/>
  <c r="AB48" i="39"/>
  <c r="L48" i="39"/>
  <c r="E48" i="39"/>
  <c r="AB47" i="39"/>
  <c r="N47" i="39"/>
  <c r="L47" i="39"/>
  <c r="Q47" i="39"/>
  <c r="E47" i="39"/>
  <c r="AB46" i="39"/>
  <c r="L46" i="39"/>
  <c r="S46" i="39"/>
  <c r="E46" i="39"/>
  <c r="AH45" i="39"/>
  <c r="AF45" i="39"/>
  <c r="AB45" i="39"/>
  <c r="R45" i="39"/>
  <c r="N45" i="39"/>
  <c r="L45" i="39"/>
  <c r="S45" i="39"/>
  <c r="E45" i="39"/>
  <c r="AB44" i="39"/>
  <c r="L44" i="39"/>
  <c r="Q44" i="39"/>
  <c r="AB43" i="39"/>
  <c r="L43" i="39"/>
  <c r="Q43" i="39" s="1"/>
  <c r="AB42" i="39"/>
  <c r="L42" i="39"/>
  <c r="AB41" i="39"/>
  <c r="L41" i="39"/>
  <c r="N41" i="39" s="1"/>
  <c r="AB40" i="39"/>
  <c r="L40" i="39"/>
  <c r="R40" i="39"/>
  <c r="AB39" i="39"/>
  <c r="L39" i="39"/>
  <c r="Q39" i="39" s="1"/>
  <c r="AB38" i="39"/>
  <c r="L38" i="39"/>
  <c r="S38" i="39" s="1"/>
  <c r="AB37" i="39"/>
  <c r="L37" i="39"/>
  <c r="R37" i="39" s="1"/>
  <c r="Q37" i="39"/>
  <c r="AG36" i="39"/>
  <c r="AB36" i="39"/>
  <c r="L36" i="39"/>
  <c r="S36" i="39" s="1"/>
  <c r="N36" i="39"/>
  <c r="E36" i="39"/>
  <c r="AB35" i="39"/>
  <c r="L35" i="39"/>
  <c r="R35" i="39"/>
  <c r="AB34" i="39"/>
  <c r="L34" i="39"/>
  <c r="R34" i="39"/>
  <c r="AB33" i="39"/>
  <c r="L33" i="39"/>
  <c r="S33" i="39" s="1"/>
  <c r="AB32" i="39"/>
  <c r="K32" i="39"/>
  <c r="L32" i="39" s="1"/>
  <c r="AB31" i="39"/>
  <c r="L31" i="39"/>
  <c r="Q31" i="39" s="1"/>
  <c r="AB30" i="39"/>
  <c r="L30" i="39"/>
  <c r="N30" i="39"/>
  <c r="AB29" i="39"/>
  <c r="L29" i="39"/>
  <c r="E29" i="39"/>
  <c r="AD28" i="39"/>
  <c r="AB28" i="39"/>
  <c r="L28" i="39"/>
  <c r="R28" i="39"/>
  <c r="E28" i="39"/>
  <c r="AB27" i="39"/>
  <c r="L27" i="39"/>
  <c r="N27" i="39"/>
  <c r="P27" i="39"/>
  <c r="AB26" i="39"/>
  <c r="L26" i="39"/>
  <c r="Q26" i="39"/>
  <c r="F26" i="39"/>
  <c r="AB25" i="39"/>
  <c r="L25" i="39"/>
  <c r="Q25" i="39"/>
  <c r="F25" i="39"/>
  <c r="AB24" i="39"/>
  <c r="L24" i="39"/>
  <c r="Q24" i="39"/>
  <c r="F24" i="39"/>
  <c r="AB23" i="39"/>
  <c r="L23" i="39"/>
  <c r="Q23" i="39"/>
  <c r="E23" i="39"/>
  <c r="AE22" i="39"/>
  <c r="AE47" i="39" s="1"/>
  <c r="AB22" i="39"/>
  <c r="L22" i="39"/>
  <c r="E22" i="39"/>
  <c r="AD21" i="39"/>
  <c r="AD41" i="39"/>
  <c r="AB21" i="39"/>
  <c r="L21" i="39"/>
  <c r="S21" i="39" s="1"/>
  <c r="AF20" i="39"/>
  <c r="AB20" i="39"/>
  <c r="L20" i="39"/>
  <c r="S20" i="39" s="1"/>
  <c r="AB19" i="39"/>
  <c r="L19" i="39"/>
  <c r="Q19" i="39" s="1"/>
  <c r="AB18" i="39"/>
  <c r="L18" i="39"/>
  <c r="S18" i="39" s="1"/>
  <c r="AB17" i="39"/>
  <c r="L17" i="39"/>
  <c r="R17" i="39"/>
  <c r="AB60" i="39"/>
  <c r="L60" i="39"/>
  <c r="Q60" i="39" s="1"/>
  <c r="AB16" i="39"/>
  <c r="L16" i="39"/>
  <c r="Q16" i="39" s="1"/>
  <c r="F16" i="39"/>
  <c r="AB15" i="39"/>
  <c r="U15" i="39"/>
  <c r="L15" i="39"/>
  <c r="N15" i="39" s="1"/>
  <c r="P15" i="39" s="1"/>
  <c r="AB14" i="39"/>
  <c r="L14" i="39"/>
  <c r="R14" i="39" s="1"/>
  <c r="F14" i="39"/>
  <c r="AB13" i="39"/>
  <c r="L13" i="39"/>
  <c r="N13" i="39" s="1"/>
  <c r="AH6" i="39"/>
  <c r="AG6" i="39"/>
  <c r="AG9" i="39" s="1"/>
  <c r="AG4" i="39"/>
  <c r="J14" i="38"/>
  <c r="J15" i="38"/>
  <c r="J16" i="38"/>
  <c r="J17" i="38"/>
  <c r="J18" i="38"/>
  <c r="J19" i="38"/>
  <c r="J20" i="38"/>
  <c r="J21" i="38"/>
  <c r="J22" i="38"/>
  <c r="J23" i="38"/>
  <c r="J24" i="38"/>
  <c r="J25" i="38"/>
  <c r="J26" i="38"/>
  <c r="J27" i="38"/>
  <c r="J28" i="38"/>
  <c r="J29" i="38"/>
  <c r="J30" i="38"/>
  <c r="J31" i="38"/>
  <c r="J32" i="38"/>
  <c r="J33" i="38"/>
  <c r="J34" i="38"/>
  <c r="J35" i="38"/>
  <c r="J36" i="38"/>
  <c r="J37" i="38"/>
  <c r="J38" i="38"/>
  <c r="J39" i="38"/>
  <c r="J40" i="38"/>
  <c r="J41" i="38"/>
  <c r="J42" i="38"/>
  <c r="J43" i="38"/>
  <c r="J44" i="38"/>
  <c r="J45" i="38"/>
  <c r="J46" i="38"/>
  <c r="J47" i="38"/>
  <c r="J48" i="38"/>
  <c r="J49" i="38"/>
  <c r="J50" i="38"/>
  <c r="J51" i="38"/>
  <c r="J52" i="38"/>
  <c r="J53" i="38"/>
  <c r="J54" i="38"/>
  <c r="J55" i="38"/>
  <c r="J56" i="38"/>
  <c r="J57" i="38"/>
  <c r="J58" i="38"/>
  <c r="J59" i="38"/>
  <c r="J60" i="38"/>
  <c r="J61" i="38"/>
  <c r="J13" i="38"/>
  <c r="AF65" i="38"/>
  <c r="AA62" i="38"/>
  <c r="Z62" i="38"/>
  <c r="Y62" i="38"/>
  <c r="X62" i="38"/>
  <c r="W62" i="38"/>
  <c r="U62" i="38"/>
  <c r="P62" i="38"/>
  <c r="K62" i="38"/>
  <c r="I62" i="38"/>
  <c r="H62" i="38"/>
  <c r="AC61" i="38"/>
  <c r="V61" i="38"/>
  <c r="M61" i="38"/>
  <c r="O61" i="38"/>
  <c r="AC60" i="38"/>
  <c r="M60" i="38"/>
  <c r="T60" i="38" s="1"/>
  <c r="O60" i="38"/>
  <c r="Q60" i="38"/>
  <c r="AC59" i="38"/>
  <c r="L59" i="38"/>
  <c r="M59" i="38"/>
  <c r="AH58" i="38"/>
  <c r="AH56" i="38" s="1"/>
  <c r="AC58" i="38"/>
  <c r="M58" i="38"/>
  <c r="T58" i="38" s="1"/>
  <c r="E58" i="38"/>
  <c r="AC57" i="38"/>
  <c r="M57" i="38"/>
  <c r="T57" i="38"/>
  <c r="O57" i="38"/>
  <c r="Q57" i="38" s="1"/>
  <c r="AC56" i="38"/>
  <c r="M56" i="38"/>
  <c r="E56" i="38"/>
  <c r="AC55" i="38"/>
  <c r="M55" i="38"/>
  <c r="S55" i="38"/>
  <c r="E55" i="38"/>
  <c r="AC54" i="38"/>
  <c r="M54" i="38"/>
  <c r="E54" i="38"/>
  <c r="AC53" i="38"/>
  <c r="M53" i="38"/>
  <c r="AG52" i="38"/>
  <c r="AC52" i="38"/>
  <c r="M52" i="38"/>
  <c r="E52" i="38"/>
  <c r="AG51" i="38"/>
  <c r="AG40" i="38" s="1"/>
  <c r="AC51" i="38"/>
  <c r="M51" i="38"/>
  <c r="E51" i="38"/>
  <c r="AC50" i="38"/>
  <c r="M50" i="38"/>
  <c r="AC49" i="38"/>
  <c r="O49" i="38"/>
  <c r="Q49" i="38" s="1"/>
  <c r="M49" i="38"/>
  <c r="T49" i="38"/>
  <c r="E49" i="38"/>
  <c r="AC48" i="38"/>
  <c r="M48" i="38"/>
  <c r="T48" i="38" s="1"/>
  <c r="E48" i="38"/>
  <c r="AC47" i="38"/>
  <c r="M47" i="38"/>
  <c r="E47" i="38"/>
  <c r="AC46" i="38"/>
  <c r="T46" i="38"/>
  <c r="V46" i="38" s="1"/>
  <c r="M46" i="38"/>
  <c r="E46" i="38"/>
  <c r="AC45" i="38"/>
  <c r="M45" i="38"/>
  <c r="AC44" i="38"/>
  <c r="M44" i="38"/>
  <c r="AC43" i="38"/>
  <c r="M43" i="38"/>
  <c r="AC42" i="38"/>
  <c r="M42" i="38"/>
  <c r="S42" i="38"/>
  <c r="AC41" i="38"/>
  <c r="M41" i="38"/>
  <c r="AC40" i="38"/>
  <c r="M40" i="38"/>
  <c r="T40" i="38"/>
  <c r="AC39" i="38"/>
  <c r="M39" i="38"/>
  <c r="AC38" i="38"/>
  <c r="M38" i="38"/>
  <c r="AH37" i="38"/>
  <c r="AC37" i="38"/>
  <c r="M37" i="38"/>
  <c r="E37" i="38"/>
  <c r="M36" i="38"/>
  <c r="AC35" i="38"/>
  <c r="M35" i="38"/>
  <c r="AC34" i="38"/>
  <c r="L34" i="38"/>
  <c r="M34" i="38" s="1"/>
  <c r="S34" i="38" s="1"/>
  <c r="L62" i="38"/>
  <c r="AC33" i="38"/>
  <c r="M33" i="38"/>
  <c r="R33" i="38" s="1"/>
  <c r="S33" i="38"/>
  <c r="AC32" i="38"/>
  <c r="M32" i="38"/>
  <c r="T32" i="38" s="1"/>
  <c r="AC31" i="38"/>
  <c r="M31" i="38"/>
  <c r="S31" i="38" s="1"/>
  <c r="E31" i="38"/>
  <c r="AE30" i="38"/>
  <c r="AC30" i="38"/>
  <c r="M30" i="38"/>
  <c r="E30" i="38"/>
  <c r="AI29" i="38"/>
  <c r="AG29" i="38"/>
  <c r="AC29" i="38"/>
  <c r="M29" i="38"/>
  <c r="O29" i="38" s="1"/>
  <c r="Q29" i="38" s="1"/>
  <c r="E29" i="38"/>
  <c r="AC28" i="38"/>
  <c r="M28" i="38"/>
  <c r="S28" i="38" s="1"/>
  <c r="T28" i="38"/>
  <c r="AC27" i="38"/>
  <c r="M27" i="38"/>
  <c r="O27" i="38" s="1"/>
  <c r="F27" i="38"/>
  <c r="AC26" i="38"/>
  <c r="M26" i="38"/>
  <c r="S26" i="38" s="1"/>
  <c r="F26" i="38"/>
  <c r="AC25" i="38"/>
  <c r="M25" i="38"/>
  <c r="T25" i="38" s="1"/>
  <c r="F25" i="38"/>
  <c r="AC24" i="38"/>
  <c r="M24" i="38"/>
  <c r="E24" i="38"/>
  <c r="AF23" i="38"/>
  <c r="AF47" i="38" s="1"/>
  <c r="AC23" i="38"/>
  <c r="M23" i="38"/>
  <c r="E23" i="38"/>
  <c r="AE22" i="38"/>
  <c r="AE42" i="38" s="1"/>
  <c r="AC22" i="38"/>
  <c r="M22" i="38"/>
  <c r="AG21" i="38"/>
  <c r="AC21" i="38"/>
  <c r="M21" i="38"/>
  <c r="O21" i="38" s="1"/>
  <c r="Q21" i="38" s="1"/>
  <c r="AC20" i="38"/>
  <c r="M20" i="38"/>
  <c r="AC19" i="38"/>
  <c r="S19" i="38"/>
  <c r="M19" i="38"/>
  <c r="T19" i="38"/>
  <c r="AC18" i="38"/>
  <c r="R18" i="38"/>
  <c r="M18" i="38"/>
  <c r="AC17" i="38"/>
  <c r="M17" i="38"/>
  <c r="AC16" i="38"/>
  <c r="M16" i="38"/>
  <c r="F16" i="38"/>
  <c r="AC15" i="38"/>
  <c r="V15" i="38"/>
  <c r="M15" i="38"/>
  <c r="O15" i="38" s="1"/>
  <c r="AC14" i="38"/>
  <c r="T14" i="38"/>
  <c r="M14" i="38"/>
  <c r="R14" i="38"/>
  <c r="F14" i="38"/>
  <c r="AC13" i="38"/>
  <c r="M13" i="38"/>
  <c r="T13" i="38"/>
  <c r="AI6" i="38"/>
  <c r="AH6" i="38"/>
  <c r="AH9" i="38" s="1"/>
  <c r="AH4" i="38"/>
  <c r="L47" i="18"/>
  <c r="Y40" i="37"/>
  <c r="X40" i="37"/>
  <c r="W40" i="37"/>
  <c r="V40" i="37"/>
  <c r="T40" i="37"/>
  <c r="O40" i="37"/>
  <c r="J40" i="37"/>
  <c r="I40" i="37"/>
  <c r="H40" i="37"/>
  <c r="L37" i="37"/>
  <c r="N37" i="37" s="1"/>
  <c r="L36" i="37"/>
  <c r="N36" i="37" s="1"/>
  <c r="L26" i="37"/>
  <c r="L25" i="37"/>
  <c r="K40" i="37"/>
  <c r="AB16" i="37"/>
  <c r="L16" i="37"/>
  <c r="D16" i="37"/>
  <c r="AB15" i="37"/>
  <c r="L15" i="37"/>
  <c r="E15" i="37"/>
  <c r="AB14" i="37"/>
  <c r="L14" i="37"/>
  <c r="Q14" i="37" s="1"/>
  <c r="E14" i="37"/>
  <c r="AB13" i="37"/>
  <c r="L13" i="37"/>
  <c r="S13" i="37" s="1"/>
  <c r="D13" i="37"/>
  <c r="L15" i="18"/>
  <c r="L23" i="18"/>
  <c r="L29" i="18"/>
  <c r="G15" i="36"/>
  <c r="F15" i="36"/>
  <c r="H14" i="36"/>
  <c r="H15" i="36"/>
  <c r="W14" i="35"/>
  <c r="X14" i="35"/>
  <c r="Y14" i="35"/>
  <c r="V14" i="35"/>
  <c r="T14" i="35"/>
  <c r="O14" i="35"/>
  <c r="J14" i="35"/>
  <c r="K14" i="35"/>
  <c r="I14" i="35"/>
  <c r="L44" i="18"/>
  <c r="Q44" i="18" s="1"/>
  <c r="L30" i="18"/>
  <c r="L40" i="18"/>
  <c r="N40" i="18" s="1"/>
  <c r="A28" i="36"/>
  <c r="O11" i="36"/>
  <c r="L13" i="35"/>
  <c r="AG6" i="35"/>
  <c r="AG9" i="35" s="1"/>
  <c r="AF6" i="35"/>
  <c r="AF4" i="35"/>
  <c r="L26" i="18"/>
  <c r="N26" i="18" s="1"/>
  <c r="L49" i="18"/>
  <c r="N49" i="18" s="1"/>
  <c r="D13" i="34"/>
  <c r="A30" i="34"/>
  <c r="AD17" i="33"/>
  <c r="Y14" i="33"/>
  <c r="X14" i="33"/>
  <c r="W14" i="33"/>
  <c r="V14" i="33"/>
  <c r="T14" i="33"/>
  <c r="O14" i="33"/>
  <c r="K14" i="33"/>
  <c r="J14" i="33"/>
  <c r="I14" i="33"/>
  <c r="H14" i="33"/>
  <c r="L13" i="33"/>
  <c r="L14" i="33" s="1"/>
  <c r="AG6" i="33"/>
  <c r="AG7" i="33" s="1"/>
  <c r="AG8" i="33" s="1"/>
  <c r="AF6" i="33"/>
  <c r="AF4" i="33"/>
  <c r="L27" i="18"/>
  <c r="L22" i="18"/>
  <c r="R22" i="18" s="1"/>
  <c r="L31" i="18"/>
  <c r="N31" i="18" s="1"/>
  <c r="L16" i="18"/>
  <c r="L18" i="18"/>
  <c r="L28" i="18"/>
  <c r="L39" i="18"/>
  <c r="L38" i="18"/>
  <c r="L25" i="18"/>
  <c r="L19" i="18"/>
  <c r="N19" i="18" s="1"/>
  <c r="L34" i="18"/>
  <c r="L17" i="18"/>
  <c r="L45" i="18"/>
  <c r="L43" i="18"/>
  <c r="N43" i="18" s="1"/>
  <c r="L20" i="18"/>
  <c r="L35" i="18"/>
  <c r="L36" i="18"/>
  <c r="N36" i="18" s="1"/>
  <c r="L41" i="18"/>
  <c r="L33" i="18"/>
  <c r="K46" i="18"/>
  <c r="D22" i="18"/>
  <c r="D31" i="18"/>
  <c r="D18" i="18"/>
  <c r="D39" i="18"/>
  <c r="D38" i="18"/>
  <c r="D19" i="18"/>
  <c r="D34" i="18"/>
  <c r="D17" i="18"/>
  <c r="D45" i="18"/>
  <c r="D43" i="18"/>
  <c r="D20" i="18"/>
  <c r="D35" i="18"/>
  <c r="D36" i="18"/>
  <c r="D41" i="18"/>
  <c r="D33" i="18"/>
  <c r="AD27" i="18"/>
  <c r="I14" i="3"/>
  <c r="AD19" i="18"/>
  <c r="U49" i="18"/>
  <c r="Q15" i="37"/>
  <c r="AG9" i="33"/>
  <c r="AI7" i="38"/>
  <c r="R50" i="38"/>
  <c r="V50" i="38" s="1"/>
  <c r="AB50" i="38" s="1"/>
  <c r="T51" i="38"/>
  <c r="O51" i="38"/>
  <c r="R51" i="38"/>
  <c r="S51" i="38"/>
  <c r="V51" i="38" s="1"/>
  <c r="R59" i="38"/>
  <c r="T59" i="38"/>
  <c r="O59" i="38"/>
  <c r="S59" i="38"/>
  <c r="R13" i="38"/>
  <c r="R21" i="38"/>
  <c r="T39" i="38"/>
  <c r="S39" i="38"/>
  <c r="T50" i="38"/>
  <c r="AH7" i="38"/>
  <c r="O19" i="38"/>
  <c r="Q19" i="38" s="1"/>
  <c r="R19" i="38"/>
  <c r="V19" i="38" s="1"/>
  <c r="AB19" i="38" s="1"/>
  <c r="T22" i="38"/>
  <c r="O22" i="38"/>
  <c r="S22" i="38"/>
  <c r="R22" i="38"/>
  <c r="R31" i="38"/>
  <c r="V31" i="38" s="1"/>
  <c r="S32" i="38"/>
  <c r="R32" i="38"/>
  <c r="V32" i="38"/>
  <c r="O32" i="38"/>
  <c r="Q32" i="38" s="1"/>
  <c r="AB32" i="38" s="1"/>
  <c r="S41" i="38"/>
  <c r="T45" i="38"/>
  <c r="S45" i="38"/>
  <c r="R46" i="38"/>
  <c r="S46" i="38"/>
  <c r="O46" i="38"/>
  <c r="Q46" i="38" s="1"/>
  <c r="AB46" i="38"/>
  <c r="T47" i="38"/>
  <c r="O47" i="38"/>
  <c r="Q47" i="38" s="1"/>
  <c r="S47" i="38"/>
  <c r="R47" i="38"/>
  <c r="V47" i="38" s="1"/>
  <c r="S48" i="38"/>
  <c r="R48" i="38"/>
  <c r="V48" i="38" s="1"/>
  <c r="O48" i="38"/>
  <c r="Q48" i="38"/>
  <c r="T36" i="38"/>
  <c r="T24" i="38"/>
  <c r="T26" i="38"/>
  <c r="T27" i="38"/>
  <c r="T29" i="38"/>
  <c r="T35" i="38"/>
  <c r="V35" i="38" s="1"/>
  <c r="T33" i="38"/>
  <c r="O33" i="38"/>
  <c r="Q33" i="38" s="1"/>
  <c r="AB33" i="38" s="1"/>
  <c r="O42" i="38"/>
  <c r="Q42" i="38"/>
  <c r="R60" i="38"/>
  <c r="Q61" i="38"/>
  <c r="AB61" i="38" s="1"/>
  <c r="S58" i="38"/>
  <c r="S60" i="38"/>
  <c r="V60" i="38" s="1"/>
  <c r="AB60" i="38" s="1"/>
  <c r="R55" i="38"/>
  <c r="S24" i="39"/>
  <c r="S27" i="39"/>
  <c r="Q27" i="39"/>
  <c r="S17" i="39"/>
  <c r="K69" i="39"/>
  <c r="S43" i="39"/>
  <c r="P45" i="39"/>
  <c r="AA45" i="39"/>
  <c r="Q45" i="39"/>
  <c r="U45" i="39" s="1"/>
  <c r="Q50" i="39"/>
  <c r="S31" i="39"/>
  <c r="N42" i="39"/>
  <c r="P13" i="39"/>
  <c r="R59" i="39"/>
  <c r="N50" i="39"/>
  <c r="R47" i="39"/>
  <c r="N59" i="39"/>
  <c r="P59" i="39" s="1"/>
  <c r="Q59" i="39"/>
  <c r="N40" i="39"/>
  <c r="P40" i="39" s="1"/>
  <c r="S50" i="39"/>
  <c r="U50" i="39" s="1"/>
  <c r="S14" i="39"/>
  <c r="Q13" i="39"/>
  <c r="AG7" i="39"/>
  <c r="AG8" i="39"/>
  <c r="R53" i="39"/>
  <c r="S42" i="39"/>
  <c r="Q46" i="39"/>
  <c r="N43" i="39"/>
  <c r="P43" i="39" s="1"/>
  <c r="R27" i="39"/>
  <c r="U27" i="39" s="1"/>
  <c r="Q42" i="39"/>
  <c r="N52" i="39"/>
  <c r="P52" i="39" s="1"/>
  <c r="AA52" i="39" s="1"/>
  <c r="R49" i="39"/>
  <c r="N28" i="39"/>
  <c r="P28" i="39"/>
  <c r="S40" i="39"/>
  <c r="U40" i="39" s="1"/>
  <c r="S28" i="39"/>
  <c r="S25" i="39"/>
  <c r="Q28" i="39"/>
  <c r="U28" i="39" s="1"/>
  <c r="N46" i="39"/>
  <c r="P46" i="39" s="1"/>
  <c r="S52" i="39"/>
  <c r="U52" i="39" s="1"/>
  <c r="N20" i="39"/>
  <c r="P20" i="39" s="1"/>
  <c r="P41" i="39"/>
  <c r="S26" i="39"/>
  <c r="N22" i="39"/>
  <c r="R22" i="39"/>
  <c r="P30" i="39"/>
  <c r="N39" i="39"/>
  <c r="P39" i="39" s="1"/>
  <c r="N31" i="39"/>
  <c r="P31" i="39" s="1"/>
  <c r="S39" i="39"/>
  <c r="R39" i="39"/>
  <c r="U39" i="39"/>
  <c r="AA39" i="39" s="1"/>
  <c r="N14" i="39"/>
  <c r="P14" i="39" s="1"/>
  <c r="Q40" i="39"/>
  <c r="S16" i="39"/>
  <c r="Q14" i="39"/>
  <c r="U14" i="39" s="1"/>
  <c r="R46" i="39"/>
  <c r="R55" i="39"/>
  <c r="U55" i="39"/>
  <c r="S37" i="39"/>
  <c r="R36" i="39"/>
  <c r="Q38" i="39"/>
  <c r="R43" i="39"/>
  <c r="U43" i="39" s="1"/>
  <c r="N44" i="39"/>
  <c r="P44" i="39"/>
  <c r="AA44" i="39"/>
  <c r="N53" i="39"/>
  <c r="U59" i="39"/>
  <c r="S32" i="39"/>
  <c r="R51" i="39"/>
  <c r="N37" i="39"/>
  <c r="P37" i="39"/>
  <c r="P50" i="39"/>
  <c r="AA50" i="39" s="1"/>
  <c r="P36" i="39"/>
  <c r="N18" i="39"/>
  <c r="N48" i="39"/>
  <c r="Q35" i="39"/>
  <c r="Q36" i="39"/>
  <c r="U36" i="39" s="1"/>
  <c r="R38" i="39"/>
  <c r="R44" i="39"/>
  <c r="S47" i="39"/>
  <c r="U47" i="39" s="1"/>
  <c r="AA47" i="39" s="1"/>
  <c r="N49" i="39"/>
  <c r="P49" i="39" s="1"/>
  <c r="N51" i="39"/>
  <c r="P51" i="39" s="1"/>
  <c r="AA51" i="39" s="1"/>
  <c r="P68" i="39"/>
  <c r="AA68" i="39"/>
  <c r="R13" i="39"/>
  <c r="R16" i="39"/>
  <c r="S55" i="39"/>
  <c r="Q32" i="39"/>
  <c r="U32" i="39" s="1"/>
  <c r="AA32" i="39" s="1"/>
  <c r="S30" i="39"/>
  <c r="U30" i="39" s="1"/>
  <c r="AA30" i="39" s="1"/>
  <c r="N24" i="39"/>
  <c r="P24" i="39" s="1"/>
  <c r="AA24" i="39" s="1"/>
  <c r="N19" i="39"/>
  <c r="P19" i="39"/>
  <c r="AA19" i="39" s="1"/>
  <c r="R18" i="39"/>
  <c r="R24" i="39"/>
  <c r="U24" i="39"/>
  <c r="N16" i="39"/>
  <c r="P16" i="39" s="1"/>
  <c r="N60" i="39"/>
  <c r="P60" i="39"/>
  <c r="N17" i="39"/>
  <c r="P17" i="39" s="1"/>
  <c r="Q18" i="39"/>
  <c r="U18" i="39"/>
  <c r="R19" i="39"/>
  <c r="U19" i="39" s="1"/>
  <c r="Q30" i="39"/>
  <c r="R31" i="39"/>
  <c r="S44" i="39"/>
  <c r="N23" i="39"/>
  <c r="P23" i="39"/>
  <c r="AA23" i="39" s="1"/>
  <c r="R57" i="39"/>
  <c r="S19" i="39"/>
  <c r="Q17" i="39"/>
  <c r="R23" i="39"/>
  <c r="S23" i="39"/>
  <c r="U23" i="39"/>
  <c r="N29" i="39"/>
  <c r="R30" i="39"/>
  <c r="R41" i="39"/>
  <c r="S41" i="39"/>
  <c r="P47" i="39"/>
  <c r="N55" i="39"/>
  <c r="P55" i="39"/>
  <c r="AA55" i="39" s="1"/>
  <c r="T16" i="38"/>
  <c r="O16" i="38"/>
  <c r="R16" i="38"/>
  <c r="V16" i="38" s="1"/>
  <c r="AB16" i="38" s="1"/>
  <c r="Q16" i="38"/>
  <c r="S16" i="38"/>
  <c r="O43" i="38"/>
  <c r="Q43" i="38" s="1"/>
  <c r="O58" i="38"/>
  <c r="Q58" i="38" s="1"/>
  <c r="S44" i="38"/>
  <c r="O44" i="38"/>
  <c r="Q44" i="38" s="1"/>
  <c r="R44" i="38"/>
  <c r="V44" i="38" s="1"/>
  <c r="O50" i="38"/>
  <c r="Q50" i="38"/>
  <c r="S50" i="38"/>
  <c r="T56" i="38"/>
  <c r="AG10" i="39"/>
  <c r="AG11" i="39" s="1"/>
  <c r="Q34" i="39"/>
  <c r="S34" i="39"/>
  <c r="U34" i="39"/>
  <c r="AA34" i="39" s="1"/>
  <c r="N34" i="39"/>
  <c r="P34" i="39" s="1"/>
  <c r="S13" i="39"/>
  <c r="T44" i="38"/>
  <c r="R35" i="38"/>
  <c r="O35" i="38"/>
  <c r="Q35" i="38"/>
  <c r="AB35" i="38" s="1"/>
  <c r="S35" i="38"/>
  <c r="R41" i="38"/>
  <c r="T41" i="38"/>
  <c r="V41" i="38" s="1"/>
  <c r="AB41" i="38" s="1"/>
  <c r="O41" i="38"/>
  <c r="Q41" i="38" s="1"/>
  <c r="Q21" i="39"/>
  <c r="R21" i="39"/>
  <c r="N21" i="39"/>
  <c r="P21" i="39" s="1"/>
  <c r="S13" i="33"/>
  <c r="S14" i="33" s="1"/>
  <c r="Q13" i="33"/>
  <c r="N13" i="33"/>
  <c r="R23" i="38"/>
  <c r="V23" i="38"/>
  <c r="T23" i="38"/>
  <c r="S23" i="38"/>
  <c r="O23" i="38"/>
  <c r="Q23" i="38"/>
  <c r="AB23" i="38" s="1"/>
  <c r="D16" i="34"/>
  <c r="D14" i="34"/>
  <c r="D17" i="34" s="1"/>
  <c r="D15" i="34"/>
  <c r="AF9" i="35"/>
  <c r="AF7" i="35"/>
  <c r="AF8" i="35"/>
  <c r="R20" i="38"/>
  <c r="S20" i="38"/>
  <c r="O20" i="38"/>
  <c r="Q20" i="38" s="1"/>
  <c r="T20" i="38"/>
  <c r="AF8" i="33"/>
  <c r="AF7" i="33"/>
  <c r="AF9" i="33"/>
  <c r="AF10" i="33" s="1"/>
  <c r="AF11" i="33" s="1"/>
  <c r="T52" i="38"/>
  <c r="R52" i="38"/>
  <c r="V52" i="38" s="1"/>
  <c r="S52" i="38"/>
  <c r="O52" i="38"/>
  <c r="Q52" i="38" s="1"/>
  <c r="AB52" i="38" s="1"/>
  <c r="S25" i="38"/>
  <c r="R25" i="38"/>
  <c r="O25" i="38"/>
  <c r="Q25" i="38"/>
  <c r="O39" i="38"/>
  <c r="Q39" i="38"/>
  <c r="AB39" i="38" s="1"/>
  <c r="R39" i="38"/>
  <c r="V39" i="38" s="1"/>
  <c r="R25" i="39"/>
  <c r="U25" i="39"/>
  <c r="N25" i="39"/>
  <c r="P25" i="39" s="1"/>
  <c r="R40" i="38"/>
  <c r="S40" i="38"/>
  <c r="Q51" i="38"/>
  <c r="AB51" i="38" s="1"/>
  <c r="S60" i="39"/>
  <c r="R60" i="39"/>
  <c r="Q20" i="39"/>
  <c r="U20" i="39" s="1"/>
  <c r="R20" i="39"/>
  <c r="R26" i="39"/>
  <c r="U26" i="39"/>
  <c r="N26" i="39"/>
  <c r="P26" i="39" s="1"/>
  <c r="R33" i="39"/>
  <c r="Q33" i="39"/>
  <c r="U33" i="39" s="1"/>
  <c r="N33" i="39"/>
  <c r="P33" i="39" s="1"/>
  <c r="AA33" i="39" s="1"/>
  <c r="Q15" i="38"/>
  <c r="S27" i="38"/>
  <c r="R27" i="38"/>
  <c r="O34" i="38"/>
  <c r="Q34" i="38" s="1"/>
  <c r="N38" i="39"/>
  <c r="P38" i="39" s="1"/>
  <c r="Q51" i="39"/>
  <c r="U51" i="39"/>
  <c r="Q53" i="39"/>
  <c r="R54" i="39"/>
  <c r="S56" i="39"/>
  <c r="R28" i="38"/>
  <c r="V28" i="38"/>
  <c r="S49" i="38"/>
  <c r="R49" i="38"/>
  <c r="T54" i="38"/>
  <c r="Q29" i="39"/>
  <c r="Q49" i="39"/>
  <c r="R56" i="39"/>
  <c r="U56" i="39" s="1"/>
  <c r="N56" i="39"/>
  <c r="P56" i="39" s="1"/>
  <c r="N57" i="39"/>
  <c r="P57" i="39" s="1"/>
  <c r="AA57" i="39" s="1"/>
  <c r="O28" i="38"/>
  <c r="Q28" i="38" s="1"/>
  <c r="AB28" i="38"/>
  <c r="S57" i="39"/>
  <c r="U57" i="39" s="1"/>
  <c r="U49" i="39"/>
  <c r="U44" i="39"/>
  <c r="U38" i="39"/>
  <c r="U60" i="39"/>
  <c r="Q14" i="33"/>
  <c r="V40" i="38"/>
  <c r="U21" i="39"/>
  <c r="AB15" i="38"/>
  <c r="R26" i="37"/>
  <c r="Q42" i="18"/>
  <c r="AA27" i="39"/>
  <c r="R34" i="38"/>
  <c r="T34" i="38"/>
  <c r="S29" i="39"/>
  <c r="U29" i="39" s="1"/>
  <c r="R29" i="39"/>
  <c r="P29" i="39"/>
  <c r="N32" i="39"/>
  <c r="P32" i="39"/>
  <c r="R32" i="39"/>
  <c r="R48" i="39"/>
  <c r="S48" i="39"/>
  <c r="P48" i="39"/>
  <c r="AA48" i="39" s="1"/>
  <c r="Q48" i="39"/>
  <c r="U17" i="39"/>
  <c r="AA36" i="39"/>
  <c r="AA14" i="39"/>
  <c r="V55" i="38"/>
  <c r="S30" i="38"/>
  <c r="T30" i="38"/>
  <c r="O30" i="38"/>
  <c r="R30" i="38"/>
  <c r="O31" i="38"/>
  <c r="T31" i="38"/>
  <c r="Q31" i="38"/>
  <c r="AB31" i="38" s="1"/>
  <c r="U16" i="39"/>
  <c r="AA59" i="39"/>
  <c r="AA43" i="39"/>
  <c r="U46" i="39"/>
  <c r="AA46" i="39"/>
  <c r="R17" i="38"/>
  <c r="S17" i="38"/>
  <c r="T17" i="38"/>
  <c r="O17" i="38"/>
  <c r="Q17" i="38" s="1"/>
  <c r="AB17" i="38" s="1"/>
  <c r="Q27" i="38"/>
  <c r="S13" i="38"/>
  <c r="O13" i="38"/>
  <c r="S29" i="38"/>
  <c r="R29" i="38"/>
  <c r="O55" i="38"/>
  <c r="Q55" i="38"/>
  <c r="AB55" i="38" s="1"/>
  <c r="T55" i="38"/>
  <c r="S64" i="39"/>
  <c r="N64" i="39"/>
  <c r="P64" i="39" s="1"/>
  <c r="Q64" i="39"/>
  <c r="U64" i="39" s="1"/>
  <c r="AA64" i="39" s="1"/>
  <c r="AG10" i="33"/>
  <c r="AG11" i="33"/>
  <c r="O18" i="38"/>
  <c r="Q18" i="38"/>
  <c r="AB18" i="38" s="1"/>
  <c r="S18" i="38"/>
  <c r="V18" i="38" s="1"/>
  <c r="T18" i="38"/>
  <c r="O24" i="38"/>
  <c r="Q24" i="38" s="1"/>
  <c r="V33" i="38"/>
  <c r="R42" i="38"/>
  <c r="V42" i="38" s="1"/>
  <c r="AB42" i="38" s="1"/>
  <c r="T42" i="38"/>
  <c r="P67" i="39"/>
  <c r="N66" i="39"/>
  <c r="P66" i="39" s="1"/>
  <c r="AA66" i="39" s="1"/>
  <c r="N62" i="39"/>
  <c r="P62" i="39" s="1"/>
  <c r="R67" i="39"/>
  <c r="U67" i="39" s="1"/>
  <c r="R63" i="39"/>
  <c r="S66" i="39"/>
  <c r="S62" i="39"/>
  <c r="R32" i="18"/>
  <c r="R26" i="38"/>
  <c r="V26" i="38" s="1"/>
  <c r="R57" i="38"/>
  <c r="N65" i="39"/>
  <c r="P65" i="39" s="1"/>
  <c r="AA65" i="39" s="1"/>
  <c r="N61" i="39"/>
  <c r="P61" i="39" s="1"/>
  <c r="AA61" i="39" s="1"/>
  <c r="Q67" i="39"/>
  <c r="Q63" i="39"/>
  <c r="U63" i="39"/>
  <c r="AA63" i="39"/>
  <c r="R66" i="39"/>
  <c r="U66" i="39" s="1"/>
  <c r="R62" i="39"/>
  <c r="U62" i="39" s="1"/>
  <c r="AA62" i="39" s="1"/>
  <c r="S65" i="39"/>
  <c r="U65" i="39"/>
  <c r="S61" i="39"/>
  <c r="U61" i="39"/>
  <c r="S57" i="38"/>
  <c r="V57" i="38"/>
  <c r="AB57" i="38"/>
  <c r="V34" i="38"/>
  <c r="Q13" i="38"/>
  <c r="V17" i="38"/>
  <c r="V30" i="38"/>
  <c r="U48" i="39"/>
  <c r="AA29" i="39"/>
  <c r="L46" i="18" l="1"/>
  <c r="Q46" i="18" s="1"/>
  <c r="K50" i="18"/>
  <c r="K82" i="18" s="1"/>
  <c r="R40" i="18"/>
  <c r="S22" i="18"/>
  <c r="S41" i="18"/>
  <c r="R41" i="18"/>
  <c r="Q41" i="18"/>
  <c r="L40" i="37"/>
  <c r="R13" i="37"/>
  <c r="Q13" i="37"/>
  <c r="N13" i="37"/>
  <c r="P13" i="37" s="1"/>
  <c r="Q16" i="37"/>
  <c r="N16" i="37"/>
  <c r="S25" i="37"/>
  <c r="N25" i="37"/>
  <c r="P25" i="37" s="1"/>
  <c r="R36" i="37"/>
  <c r="S26" i="37"/>
  <c r="N26" i="37"/>
  <c r="P26" i="37" s="1"/>
  <c r="N32" i="18"/>
  <c r="P32" i="18" s="1"/>
  <c r="R45" i="18"/>
  <c r="N45" i="18"/>
  <c r="P45" i="18" s="1"/>
  <c r="Q25" i="18"/>
  <c r="N25" i="18"/>
  <c r="P25" i="18" s="1"/>
  <c r="N28" i="18"/>
  <c r="P28" i="18" s="1"/>
  <c r="Q23" i="18"/>
  <c r="N23" i="18"/>
  <c r="P23" i="18" s="1"/>
  <c r="S35" i="18"/>
  <c r="N35" i="18"/>
  <c r="P35" i="18" s="1"/>
  <c r="R17" i="18"/>
  <c r="N17" i="18"/>
  <c r="P17" i="18" s="1"/>
  <c r="R38" i="18"/>
  <c r="N38" i="18"/>
  <c r="P38" i="18" s="1"/>
  <c r="R18" i="18"/>
  <c r="N18" i="18"/>
  <c r="P18" i="18" s="1"/>
  <c r="N22" i="18"/>
  <c r="P22" i="18" s="1"/>
  <c r="S42" i="18"/>
  <c r="N42" i="18"/>
  <c r="P42" i="18" s="1"/>
  <c r="Q33" i="18"/>
  <c r="N33" i="18"/>
  <c r="P33" i="18" s="1"/>
  <c r="Q20" i="18"/>
  <c r="N20" i="18"/>
  <c r="P20" i="18" s="1"/>
  <c r="R34" i="18"/>
  <c r="N34" i="18"/>
  <c r="P34" i="18" s="1"/>
  <c r="R39" i="18"/>
  <c r="N39" i="18"/>
  <c r="P39" i="18" s="1"/>
  <c r="N16" i="18"/>
  <c r="P16" i="18" s="1"/>
  <c r="Q30" i="18"/>
  <c r="N30" i="18"/>
  <c r="P30" i="18" s="1"/>
  <c r="Q15" i="18"/>
  <c r="N15" i="18"/>
  <c r="Q47" i="18"/>
  <c r="N47" i="18"/>
  <c r="Q22" i="18"/>
  <c r="N41" i="18"/>
  <c r="P41" i="18" s="1"/>
  <c r="R19" i="18"/>
  <c r="P19" i="18"/>
  <c r="S27" i="18"/>
  <c r="N27" i="18"/>
  <c r="P27" i="18" s="1"/>
  <c r="R44" i="18"/>
  <c r="N44" i="18"/>
  <c r="P44" i="18" s="1"/>
  <c r="R29" i="18"/>
  <c r="N29" i="18"/>
  <c r="P29" i="18" s="1"/>
  <c r="R15" i="37"/>
  <c r="N15" i="37"/>
  <c r="P15" i="37" s="1"/>
  <c r="N14" i="37"/>
  <c r="P14" i="37" s="1"/>
  <c r="Q13" i="35"/>
  <c r="R13" i="35"/>
  <c r="R14" i="35" s="1"/>
  <c r="S13" i="35"/>
  <c r="N13" i="35"/>
  <c r="N14" i="35" s="1"/>
  <c r="L14" i="35"/>
  <c r="S16" i="37"/>
  <c r="P16" i="37"/>
  <c r="S14" i="37"/>
  <c r="R14" i="37"/>
  <c r="R16" i="37"/>
  <c r="S15" i="37"/>
  <c r="S29" i="18"/>
  <c r="S44" i="18"/>
  <c r="S39" i="18"/>
  <c r="Q34" i="18"/>
  <c r="S34" i="18"/>
  <c r="Q38" i="18"/>
  <c r="Q24" i="18"/>
  <c r="Q27" i="18"/>
  <c r="R27" i="18"/>
  <c r="S20" i="18"/>
  <c r="P24" i="18"/>
  <c r="R23" i="18"/>
  <c r="R24" i="18"/>
  <c r="R26" i="18"/>
  <c r="S47" i="18"/>
  <c r="P31" i="18"/>
  <c r="S31" i="18"/>
  <c r="R31" i="18"/>
  <c r="Q31" i="18"/>
  <c r="S32" i="18"/>
  <c r="Q32" i="18"/>
  <c r="P37" i="37"/>
  <c r="S37" i="37"/>
  <c r="S25" i="18"/>
  <c r="S17" i="18"/>
  <c r="S26" i="18"/>
  <c r="S28" i="18"/>
  <c r="P47" i="18"/>
  <c r="R25" i="18"/>
  <c r="R35" i="18"/>
  <c r="Q17" i="18"/>
  <c r="Q26" i="18"/>
  <c r="P26" i="18"/>
  <c r="R47" i="18"/>
  <c r="Q35" i="18"/>
  <c r="S38" i="18"/>
  <c r="S36" i="18"/>
  <c r="R36" i="18"/>
  <c r="P36" i="18"/>
  <c r="Q37" i="37"/>
  <c r="R37" i="37"/>
  <c r="Q26" i="37"/>
  <c r="Q19" i="18"/>
  <c r="Q39" i="18"/>
  <c r="P49" i="18"/>
  <c r="AA49" i="18" s="1"/>
  <c r="AI27" i="18" s="1"/>
  <c r="S33" i="18"/>
  <c r="R28" i="18"/>
  <c r="Q29" i="18"/>
  <c r="S24" i="18"/>
  <c r="Q28" i="18"/>
  <c r="S30" i="18"/>
  <c r="R20" i="18"/>
  <c r="R30" i="18"/>
  <c r="Q45" i="18"/>
  <c r="S19" i="18"/>
  <c r="R42" i="18"/>
  <c r="Q36" i="18"/>
  <c r="S45" i="18"/>
  <c r="AA20" i="39"/>
  <c r="AA67" i="39"/>
  <c r="AF10" i="35"/>
  <c r="AF11" i="35" s="1"/>
  <c r="N14" i="33"/>
  <c r="P13" i="33"/>
  <c r="AA21" i="39"/>
  <c r="AA17" i="39"/>
  <c r="S43" i="18"/>
  <c r="Q43" i="18"/>
  <c r="S18" i="18"/>
  <c r="Q18" i="18"/>
  <c r="R53" i="38"/>
  <c r="V53" i="38" s="1"/>
  <c r="T53" i="38"/>
  <c r="O53" i="38"/>
  <c r="S53" i="38"/>
  <c r="Q53" i="38"/>
  <c r="AB53" i="38" s="1"/>
  <c r="U31" i="39"/>
  <c r="AA31" i="39" s="1"/>
  <c r="S54" i="39"/>
  <c r="N54" i="39"/>
  <c r="P54" i="39" s="1"/>
  <c r="AA54" i="39" s="1"/>
  <c r="Q54" i="39"/>
  <c r="U54" i="39" s="1"/>
  <c r="S58" i="39"/>
  <c r="R58" i="39"/>
  <c r="N58" i="39"/>
  <c r="P58" i="39" s="1"/>
  <c r="AA58" i="39" s="1"/>
  <c r="V29" i="38"/>
  <c r="AB29" i="38" s="1"/>
  <c r="V13" i="38"/>
  <c r="AA56" i="39"/>
  <c r="V27" i="38"/>
  <c r="AB27" i="38" s="1"/>
  <c r="AB25" i="38"/>
  <c r="AA60" i="39"/>
  <c r="AA28" i="39"/>
  <c r="AA40" i="39"/>
  <c r="Q58" i="39"/>
  <c r="U58" i="39" s="1"/>
  <c r="AA38" i="39"/>
  <c r="P43" i="18"/>
  <c r="R43" i="18"/>
  <c r="AB34" i="38"/>
  <c r="AA26" i="39"/>
  <c r="AA25" i="39"/>
  <c r="V25" i="38"/>
  <c r="AB44" i="38"/>
  <c r="AA16" i="39"/>
  <c r="AA49" i="39"/>
  <c r="V22" i="38"/>
  <c r="Q25" i="37"/>
  <c r="R25" i="37"/>
  <c r="P36" i="37"/>
  <c r="S36" i="37"/>
  <c r="Q36" i="37"/>
  <c r="AI9" i="38"/>
  <c r="AI8" i="38"/>
  <c r="S15" i="18"/>
  <c r="R15" i="18"/>
  <c r="O37" i="38"/>
  <c r="S37" i="38"/>
  <c r="Q37" i="38"/>
  <c r="T37" i="38"/>
  <c r="S38" i="38"/>
  <c r="T38" i="38"/>
  <c r="R38" i="38"/>
  <c r="S43" i="38"/>
  <c r="T43" i="38"/>
  <c r="R43" i="38"/>
  <c r="V43" i="38" s="1"/>
  <c r="AB43" i="38" s="1"/>
  <c r="O45" i="38"/>
  <c r="Q45" i="38" s="1"/>
  <c r="AB45" i="38" s="1"/>
  <c r="R45" i="38"/>
  <c r="V45" i="38" s="1"/>
  <c r="AH9" i="39"/>
  <c r="AH7" i="39"/>
  <c r="AH8" i="39" s="1"/>
  <c r="U37" i="39"/>
  <c r="AA37" i="39" s="1"/>
  <c r="R33" i="18"/>
  <c r="R37" i="38"/>
  <c r="V37" i="38" s="1"/>
  <c r="O40" i="38"/>
  <c r="Q40" i="38" s="1"/>
  <c r="AB40" i="38" s="1"/>
  <c r="O56" i="38"/>
  <c r="Q56" i="38" s="1"/>
  <c r="R56" i="38"/>
  <c r="S56" i="38"/>
  <c r="S22" i="39"/>
  <c r="P22" i="39"/>
  <c r="Q22" i="39"/>
  <c r="L69" i="39"/>
  <c r="V49" i="38"/>
  <c r="AB49" i="38" s="1"/>
  <c r="V20" i="38"/>
  <c r="AB20" i="38" s="1"/>
  <c r="U13" i="39"/>
  <c r="O38" i="38"/>
  <c r="Q38" i="38" s="1"/>
  <c r="AB48" i="38"/>
  <c r="AG7" i="35"/>
  <c r="AG8" i="35" s="1"/>
  <c r="AG10" i="35" s="1"/>
  <c r="AG11" i="35" s="1"/>
  <c r="S40" i="18"/>
  <c r="Q40" i="18"/>
  <c r="P40" i="18"/>
  <c r="S23" i="18"/>
  <c r="M62" i="38"/>
  <c r="Q30" i="38"/>
  <c r="AB30" i="38" s="1"/>
  <c r="S36" i="38"/>
  <c r="O36" i="38"/>
  <c r="Q36" i="38" s="1"/>
  <c r="R36" i="38"/>
  <c r="Q54" i="38"/>
  <c r="R54" i="38"/>
  <c r="V54" i="38" s="1"/>
  <c r="S54" i="38"/>
  <c r="O54" i="38"/>
  <c r="AA15" i="39"/>
  <c r="R13" i="33"/>
  <c r="R58" i="38"/>
  <c r="V58" i="38" s="1"/>
  <c r="AB58" i="38" s="1"/>
  <c r="P18" i="39"/>
  <c r="AA18" i="39" s="1"/>
  <c r="AH8" i="38"/>
  <c r="AH10" i="38" s="1"/>
  <c r="AH11" i="38" s="1"/>
  <c r="V59" i="38"/>
  <c r="Q14" i="38"/>
  <c r="O14" i="38"/>
  <c r="S14" i="38"/>
  <c r="V14" i="38" s="1"/>
  <c r="Q22" i="38"/>
  <c r="AB22" i="38" s="1"/>
  <c r="S35" i="39"/>
  <c r="U35" i="39" s="1"/>
  <c r="N35" i="39"/>
  <c r="R42" i="39"/>
  <c r="R69" i="39" s="1"/>
  <c r="P42" i="39"/>
  <c r="AA42" i="39" s="1"/>
  <c r="S53" i="39"/>
  <c r="U53" i="39" s="1"/>
  <c r="P53" i="39"/>
  <c r="U42" i="39"/>
  <c r="AB47" i="38"/>
  <c r="T21" i="38"/>
  <c r="T62" i="38" s="1"/>
  <c r="S21" i="38"/>
  <c r="V21" i="38" s="1"/>
  <c r="AB21" i="38" s="1"/>
  <c r="R24" i="38"/>
  <c r="R62" i="38" s="1"/>
  <c r="S24" i="38"/>
  <c r="O26" i="38"/>
  <c r="Q26" i="38" s="1"/>
  <c r="AB26" i="38" s="1"/>
  <c r="Q59" i="38"/>
  <c r="Q41" i="39"/>
  <c r="U41" i="39" s="1"/>
  <c r="AA41" i="39" s="1"/>
  <c r="U22" i="18" l="1"/>
  <c r="AA22" i="18" s="1"/>
  <c r="S46" i="18"/>
  <c r="S50" i="18" s="1"/>
  <c r="R46" i="18"/>
  <c r="R50" i="18" s="1"/>
  <c r="N46" i="18"/>
  <c r="P46" i="18" s="1"/>
  <c r="L50" i="18"/>
  <c r="L82" i="18" s="1"/>
  <c r="Q50" i="18"/>
  <c r="P15" i="18"/>
  <c r="U26" i="37"/>
  <c r="U44" i="18"/>
  <c r="AA44" i="18" s="1"/>
  <c r="U42" i="18"/>
  <c r="AA42" i="18" s="1"/>
  <c r="U13" i="37"/>
  <c r="AA13" i="37" s="1"/>
  <c r="U16" i="37"/>
  <c r="AA16" i="37" s="1"/>
  <c r="U15" i="37"/>
  <c r="AA15" i="37" s="1"/>
  <c r="U14" i="37"/>
  <c r="AA14" i="37" s="1"/>
  <c r="U32" i="18"/>
  <c r="AA32" i="18" s="1"/>
  <c r="U47" i="18"/>
  <c r="AA47" i="18" s="1"/>
  <c r="U34" i="18"/>
  <c r="AA34" i="18" s="1"/>
  <c r="U29" i="18"/>
  <c r="AA29" i="18" s="1"/>
  <c r="U38" i="18"/>
  <c r="AA38" i="18" s="1"/>
  <c r="AI20" i="18" s="1"/>
  <c r="P13" i="35"/>
  <c r="U27" i="18"/>
  <c r="AA27" i="18" s="1"/>
  <c r="U39" i="18"/>
  <c r="AA39" i="18" s="1"/>
  <c r="U17" i="18"/>
  <c r="AA17" i="18" s="1"/>
  <c r="S40" i="37"/>
  <c r="AA26" i="37"/>
  <c r="U23" i="18"/>
  <c r="AA23" i="18" s="1"/>
  <c r="U25" i="18"/>
  <c r="AA25" i="18" s="1"/>
  <c r="U20" i="18"/>
  <c r="AA20" i="18" s="1"/>
  <c r="U19" i="18"/>
  <c r="AA19" i="18" s="1"/>
  <c r="U13" i="35"/>
  <c r="Q14" i="35"/>
  <c r="U24" i="18"/>
  <c r="AA24" i="18" s="1"/>
  <c r="U33" i="18"/>
  <c r="AA33" i="18" s="1"/>
  <c r="U26" i="18"/>
  <c r="AA26" i="18" s="1"/>
  <c r="U41" i="18"/>
  <c r="U35" i="18"/>
  <c r="AA35" i="18" s="1"/>
  <c r="U30" i="18"/>
  <c r="AA30" i="18" s="1"/>
  <c r="U31" i="18"/>
  <c r="AA31" i="18" s="1"/>
  <c r="R40" i="37"/>
  <c r="U36" i="18"/>
  <c r="AA36" i="18" s="1"/>
  <c r="U15" i="18"/>
  <c r="U16" i="18"/>
  <c r="AA16" i="18" s="1"/>
  <c r="U45" i="18"/>
  <c r="AA45" i="18" s="1"/>
  <c r="U28" i="18"/>
  <c r="AA28" i="18" s="1"/>
  <c r="U37" i="37"/>
  <c r="AA37" i="37" s="1"/>
  <c r="N40" i="37"/>
  <c r="AA53" i="39"/>
  <c r="P35" i="39"/>
  <c r="AA35" i="39" s="1"/>
  <c r="N69" i="39"/>
  <c r="O62" i="38"/>
  <c r="S69" i="39"/>
  <c r="V38" i="38"/>
  <c r="AB38" i="38" s="1"/>
  <c r="U36" i="37"/>
  <c r="AA36" i="37" s="1"/>
  <c r="U18" i="18"/>
  <c r="AA18" i="18" s="1"/>
  <c r="AB14" i="38"/>
  <c r="Q62" i="38"/>
  <c r="U13" i="33"/>
  <c r="U14" i="33" s="1"/>
  <c r="R14" i="33"/>
  <c r="AB37" i="38"/>
  <c r="P40" i="37"/>
  <c r="AB54" i="38"/>
  <c r="U22" i="39"/>
  <c r="Q69" i="39"/>
  <c r="V56" i="38"/>
  <c r="AH10" i="39"/>
  <c r="AH11" i="39" s="1"/>
  <c r="Q40" i="37"/>
  <c r="U25" i="37"/>
  <c r="P69" i="39"/>
  <c r="V62" i="38"/>
  <c r="U43" i="18"/>
  <c r="AA43" i="18" s="1"/>
  <c r="AI34" i="18" s="1"/>
  <c r="P14" i="33"/>
  <c r="Z13" i="33"/>
  <c r="Z14" i="33" s="1"/>
  <c r="AB59" i="38"/>
  <c r="V24" i="38"/>
  <c r="AB24" i="38" s="1"/>
  <c r="S62" i="38"/>
  <c r="V36" i="38"/>
  <c r="AB36" i="38" s="1"/>
  <c r="U40" i="18"/>
  <c r="AA40" i="18" s="1"/>
  <c r="U69" i="39"/>
  <c r="AA22" i="39"/>
  <c r="AB56" i="38"/>
  <c r="AI10" i="38"/>
  <c r="AI11" i="38" s="1"/>
  <c r="AA13" i="39"/>
  <c r="AA69" i="39" s="1"/>
  <c r="AB13" i="38"/>
  <c r="P50" i="18" l="1"/>
  <c r="P82" i="18" s="1"/>
  <c r="AI22" i="18"/>
  <c r="AI19" i="18"/>
  <c r="AI17" i="18"/>
  <c r="AI21" i="18"/>
  <c r="AI16" i="18"/>
  <c r="U46" i="18"/>
  <c r="AA46" i="18" s="1"/>
  <c r="AI35" i="18" s="1"/>
  <c r="N50" i="18"/>
  <c r="N82" i="18" s="1"/>
  <c r="AA15" i="18"/>
  <c r="AA41" i="18"/>
  <c r="AI38" i="18" s="1"/>
  <c r="S14" i="35"/>
  <c r="P14" i="35"/>
  <c r="Z13" i="35"/>
  <c r="Z14" i="35" s="1"/>
  <c r="U14" i="35"/>
  <c r="U40" i="37"/>
  <c r="AA25" i="37"/>
  <c r="AA40" i="37" s="1"/>
  <c r="AB62" i="38"/>
  <c r="AI18" i="18" l="1"/>
  <c r="AI39" i="18" s="1"/>
  <c r="AA50" i="18"/>
  <c r="AA82" i="18" s="1"/>
  <c r="U50" i="18"/>
  <c r="AB28" i="37"/>
  <c r="AB25" i="37"/>
  <c r="AB26" i="37"/>
  <c r="AB37" i="37"/>
  <c r="AB38" i="37"/>
  <c r="AB35" i="37"/>
  <c r="AB32" i="37"/>
  <c r="AB36" i="37"/>
  <c r="AB31" i="37"/>
  <c r="AB30" i="37"/>
  <c r="AB34" i="37"/>
  <c r="AB33" i="37"/>
  <c r="AB29" i="37"/>
  <c r="AB15" i="18"/>
  <c r="AB16" i="18"/>
  <c r="AA83" i="18" l="1"/>
  <c r="AB17" i="18"/>
  <c r="AB18" i="18" l="1"/>
  <c r="AB19" i="18" l="1"/>
  <c r="AB20" i="18" l="1"/>
  <c r="AB21" i="18" l="1"/>
  <c r="AB22" i="18"/>
  <c r="AB28" i="18"/>
  <c r="AB30" i="18"/>
  <c r="AB32" i="18"/>
  <c r="A35" i="18"/>
  <c r="A36" i="18" s="1"/>
  <c r="AB29" i="18"/>
  <c r="AB23" i="18"/>
  <c r="AB25" i="18"/>
  <c r="AB27" i="18"/>
  <c r="AB33" i="18"/>
  <c r="AB26" i="18"/>
  <c r="AB31" i="18"/>
  <c r="AB34" i="18"/>
  <c r="AB24" i="18"/>
  <c r="AB35" i="18" l="1"/>
  <c r="A37" i="18"/>
  <c r="AB37" i="18" s="1"/>
  <c r="AB36" i="18"/>
  <c r="A38" i="18" l="1"/>
  <c r="AB38" i="18" s="1"/>
  <c r="A39" i="18" l="1"/>
  <c r="AB39" i="18" l="1"/>
  <c r="A40" i="18"/>
  <c r="AB40" i="18" l="1"/>
  <c r="A41" i="18"/>
  <c r="AB41" i="18" l="1"/>
  <c r="A42" i="18"/>
  <c r="A43" i="18" l="1"/>
  <c r="A44" i="18" s="1"/>
  <c r="AB44" i="18" s="1"/>
  <c r="AB42" i="18"/>
  <c r="AB43" i="18" l="1"/>
  <c r="A45" i="18"/>
  <c r="A46" i="18" l="1"/>
  <c r="AB45" i="18"/>
  <c r="AB46" i="18" l="1"/>
  <c r="A47" i="18"/>
  <c r="A48" i="18" l="1"/>
  <c r="AB47" i="18"/>
  <c r="AB48" i="18" l="1"/>
  <c r="A49" i="18"/>
  <c r="A52" i="18" l="1"/>
  <c r="AB49" i="18"/>
  <c r="AB52" i="18" l="1"/>
  <c r="A53" i="18"/>
  <c r="A54" i="18" l="1"/>
  <c r="AB53" i="18"/>
  <c r="AB54" i="18" l="1"/>
  <c r="A55" i="18"/>
  <c r="AB55" i="18" l="1"/>
  <c r="A56" i="18"/>
  <c r="AB56" i="18" s="1"/>
  <c r="A57" i="18"/>
  <c r="AB57" i="18" l="1"/>
  <c r="A58" i="18"/>
  <c r="AB58" i="18" l="1"/>
  <c r="A59" i="18"/>
  <c r="AB59" i="18" l="1"/>
  <c r="A60" i="18"/>
  <c r="AB60" i="18" l="1"/>
  <c r="A61" i="18"/>
  <c r="AB61" i="18" l="1"/>
  <c r="A62" i="18"/>
  <c r="AB62" i="18" l="1"/>
  <c r="A63" i="18"/>
  <c r="AB63" i="18" l="1"/>
  <c r="A64" i="18"/>
  <c r="AB64" i="18" l="1"/>
  <c r="A65" i="18"/>
  <c r="AB65" i="18" l="1"/>
  <c r="A66" i="18"/>
  <c r="AB66" i="18" l="1"/>
  <c r="A67" i="18"/>
  <c r="AB67" i="18" l="1"/>
  <c r="A68" i="18"/>
  <c r="AB68" i="18" l="1"/>
  <c r="A69" i="18"/>
  <c r="AB69" i="18" l="1"/>
  <c r="A70" i="18"/>
  <c r="AB70" i="18" l="1"/>
  <c r="A71" i="18"/>
  <c r="AB71" i="18" l="1"/>
  <c r="A72" i="18"/>
  <c r="AB72" i="18" l="1"/>
  <c r="A73" i="18"/>
  <c r="A74" i="18" s="1"/>
  <c r="A75" i="18" s="1"/>
  <c r="A76" i="18" s="1"/>
  <c r="A77" i="18" l="1"/>
  <c r="A78" i="18" s="1"/>
  <c r="AB76" i="18"/>
  <c r="AB73" i="18"/>
  <c r="AB78" i="18" l="1"/>
  <c r="A79" i="18"/>
  <c r="A80" i="18" s="1"/>
  <c r="AB74" i="18"/>
  <c r="AB75" i="18" l="1"/>
  <c r="AB77" i="18" l="1"/>
  <c r="AB14" i="40"/>
  <c r="A50" i="40"/>
  <c r="A37" i="40"/>
  <c r="A34" i="40"/>
  <c r="AB34" i="40"/>
  <c r="A36" i="40"/>
  <c r="AB36" i="40"/>
  <c r="A46" i="40"/>
  <c r="AB46" i="40"/>
  <c r="A48" i="40"/>
  <c r="AB48" i="40"/>
  <c r="A40" i="40"/>
  <c r="AB40" i="40"/>
  <c r="A43" i="40"/>
  <c r="AB43" i="40"/>
  <c r="A38" i="40"/>
  <c r="AB38" i="40"/>
  <c r="A45" i="40"/>
  <c r="AB45" i="40"/>
  <c r="A23" i="40"/>
  <c r="AB23" i="40"/>
  <c r="A28" i="40"/>
  <c r="AB28" i="40"/>
  <c r="A25" i="40"/>
  <c r="AB25" i="40"/>
  <c r="A19" i="40"/>
  <c r="AB19" i="40"/>
  <c r="A24" i="40"/>
  <c r="AB24" i="40"/>
  <c r="A42" i="40"/>
  <c r="AB42" i="40"/>
  <c r="A15" i="40"/>
  <c r="AB15" i="40"/>
  <c r="A32" i="40"/>
  <c r="AB32" i="40"/>
  <c r="A30" i="40"/>
  <c r="AB30" i="40"/>
  <c r="A31" i="40"/>
  <c r="AB31" i="40"/>
  <c r="A39" i="40"/>
  <c r="AB39" i="40"/>
  <c r="A17" i="40"/>
  <c r="AB17" i="40"/>
  <c r="A21" i="40"/>
  <c r="AB21" i="40"/>
  <c r="A49" i="40"/>
  <c r="AB49" i="40"/>
  <c r="A41" i="40"/>
  <c r="AB41" i="40"/>
  <c r="A22" i="40"/>
  <c r="AB22" i="40"/>
  <c r="A26" i="40"/>
  <c r="AB26" i="40"/>
  <c r="A35" i="40"/>
  <c r="AB35" i="40"/>
  <c r="A16" i="40"/>
  <c r="AB16" i="40"/>
  <c r="A20" i="40"/>
  <c r="AB20" i="40"/>
  <c r="A44" i="40"/>
  <c r="AB44" i="40"/>
  <c r="A47" i="40"/>
  <c r="AB47" i="40"/>
  <c r="A18" i="40"/>
  <c r="AB18" i="40"/>
  <c r="A27" i="40"/>
  <c r="AB27" i="40"/>
  <c r="A14" i="40"/>
  <c r="A33" i="40"/>
  <c r="AB33" i="40"/>
</calcChain>
</file>

<file path=xl/comments1.xml><?xml version="1.0" encoding="utf-8"?>
<comments xmlns="http://schemas.openxmlformats.org/spreadsheetml/2006/main">
  <authors>
    <author>Admin</author>
    <author>user</author>
    <author>KimAnh</author>
    <author>admin</author>
  </authors>
  <commentList>
    <comment ref="H13" authorId="0" shapeId="0">
      <text>
        <r>
          <rPr>
            <b/>
            <sz val="9"/>
            <color indexed="81"/>
            <rFont val="Tahoma"/>
            <family val="2"/>
          </rPr>
          <t>Admin:</t>
        </r>
        <r>
          <rPr>
            <sz val="9"/>
            <color indexed="81"/>
            <rFont val="Tahoma"/>
            <family val="2"/>
          </rPr>
          <t xml:space="preserve">
- HS 1,50 từ 01/11/2017</t>
        </r>
      </text>
    </comment>
    <comment ref="I13" authorId="1" shapeId="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text>
        <r>
          <rPr>
            <b/>
            <sz val="9"/>
            <color indexed="81"/>
            <rFont val="Tahoma"/>
            <family val="2"/>
          </rPr>
          <t>user:</t>
        </r>
        <r>
          <rPr>
            <sz val="9"/>
            <color indexed="81"/>
            <rFont val="Tahoma"/>
            <family val="2"/>
          </rPr>
          <t xml:space="preserve">
- NL: 01/01/2020
- 6.219.384 lên 6.530.353 từ 01/01/2022</t>
        </r>
      </text>
    </comment>
    <comment ref="I15" authorId="1" shapeId="0">
      <text>
        <r>
          <rPr>
            <b/>
            <sz val="9"/>
            <color indexed="81"/>
            <rFont val="Tahoma"/>
            <family val="2"/>
          </rPr>
          <t>user:</t>
        </r>
        <r>
          <rPr>
            <sz val="9"/>
            <color indexed="81"/>
            <rFont val="Tahoma"/>
            <family val="2"/>
          </rPr>
          <t xml:space="preserve">
- NL: 01/6/2019</t>
        </r>
      </text>
    </comment>
    <comment ref="I16" authorId="1" shapeId="0">
      <text>
        <r>
          <rPr>
            <b/>
            <sz val="9"/>
            <color indexed="81"/>
            <rFont val="Tahoma"/>
            <family val="2"/>
          </rPr>
          <t>user:</t>
        </r>
        <r>
          <rPr>
            <sz val="9"/>
            <color indexed="81"/>
            <rFont val="Tahoma"/>
            <family val="2"/>
          </rPr>
          <t xml:space="preserve">
- NL: 01/02/2019
- 6.530.353 lên 6.856.871 từ 01/02/2021</t>
        </r>
      </text>
    </comment>
    <comment ref="I18" authorId="1" shapeId="0">
      <text>
        <r>
          <rPr>
            <b/>
            <sz val="9"/>
            <color indexed="81"/>
            <rFont val="Tahoma"/>
            <family val="2"/>
          </rPr>
          <t>user:</t>
        </r>
        <r>
          <rPr>
            <sz val="9"/>
            <color indexed="81"/>
            <rFont val="Tahoma"/>
            <family val="2"/>
          </rPr>
          <t xml:space="preserve">
HĐ từ 01/4/2021: 5060458</t>
        </r>
      </text>
    </comment>
    <comment ref="I19" authorId="1" shapeId="0">
      <text>
        <r>
          <rPr>
            <b/>
            <sz val="9"/>
            <color indexed="81"/>
            <rFont val="Tahoma"/>
            <family val="2"/>
          </rPr>
          <t>user:</t>
        </r>
        <r>
          <rPr>
            <sz val="9"/>
            <color indexed="81"/>
            <rFont val="Tahoma"/>
            <family val="2"/>
          </rPr>
          <t xml:space="preserve">
- 6,987,478 từ 01/7/2021</t>
        </r>
      </text>
    </comment>
    <comment ref="H21" authorId="0" shapeId="0">
      <text>
        <r>
          <rPr>
            <b/>
            <sz val="9"/>
            <color indexed="81"/>
            <rFont val="Tahoma"/>
            <family val="2"/>
          </rPr>
          <t>Admin:</t>
        </r>
        <r>
          <rPr>
            <sz val="9"/>
            <color indexed="81"/>
            <rFont val="Tahoma"/>
            <family val="2"/>
          </rPr>
          <t xml:space="preserve">
- HS 2.67 từ 01/07/2016</t>
        </r>
      </text>
    </comment>
    <comment ref="I21" authorId="1" shapeId="0">
      <text>
        <r>
          <rPr>
            <b/>
            <sz val="9"/>
            <color indexed="81"/>
            <rFont val="Tahoma"/>
            <family val="2"/>
          </rPr>
          <t>user:</t>
        </r>
        <r>
          <rPr>
            <sz val="9"/>
            <color indexed="81"/>
            <rFont val="Tahoma"/>
            <family val="2"/>
          </rPr>
          <t xml:space="preserve">
- NL: 01/7/2019
- 5.858.113 lên 6.151.018 Nâng lương trước hạn từ 01/7/2021</t>
        </r>
      </text>
    </comment>
    <comment ref="T21" authorId="1" shapeId="0">
      <text>
        <r>
          <rPr>
            <b/>
            <sz val="8"/>
            <color indexed="81"/>
            <rFont val="Tahoma"/>
            <family val="2"/>
          </rPr>
          <t>user:</t>
        </r>
        <r>
          <rPr>
            <sz val="8"/>
            <color indexed="81"/>
            <rFont val="Tahoma"/>
            <family val="2"/>
          </rPr>
          <t xml:space="preserve">
Tham gia BHTN từ 01/09/2013</t>
        </r>
      </text>
    </comment>
    <comment ref="H22" authorId="2"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2" authorId="1" shapeId="0">
      <text>
        <r>
          <rPr>
            <b/>
            <sz val="9"/>
            <color indexed="81"/>
            <rFont val="Tahoma"/>
            <family val="2"/>
          </rPr>
          <t>user:</t>
        </r>
        <r>
          <rPr>
            <sz val="9"/>
            <color indexed="81"/>
            <rFont val="Tahoma"/>
            <family val="2"/>
          </rPr>
          <t xml:space="preserve">
- NL: 01/01/2020
- 5.474.872 lên 5.748.615 nâng lương trước hạn từ 01/01/2021</t>
        </r>
      </text>
    </comment>
    <comment ref="H23" authorId="2"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3" authorId="1" shapeId="0">
      <text>
        <r>
          <rPr>
            <b/>
            <sz val="9"/>
            <color indexed="81"/>
            <rFont val="Tahoma"/>
            <family val="2"/>
          </rPr>
          <t>user:</t>
        </r>
        <r>
          <rPr>
            <sz val="9"/>
            <color indexed="81"/>
            <rFont val="Tahoma"/>
            <family val="2"/>
          </rPr>
          <t xml:space="preserve">
- 01/01/2020</t>
        </r>
      </text>
    </comment>
    <comment ref="H24" authorId="0" shapeId="0">
      <text>
        <r>
          <rPr>
            <b/>
            <sz val="9"/>
            <color indexed="81"/>
            <rFont val="Tahoma"/>
            <family val="2"/>
          </rPr>
          <t>Admin:</t>
        </r>
        <r>
          <rPr>
            <sz val="9"/>
            <color indexed="81"/>
            <rFont val="Tahoma"/>
            <family val="2"/>
          </rPr>
          <t xml:space="preserve">
- HS 2.10 từ 01/06/2016
- HS 2,41 từ 01/6/2019
</t>
        </r>
      </text>
    </comment>
    <comment ref="I24" authorId="1" shapeId="0">
      <text>
        <r>
          <rPr>
            <b/>
            <sz val="9"/>
            <color indexed="81"/>
            <rFont val="Tahoma"/>
            <family val="2"/>
          </rPr>
          <t>user:</t>
        </r>
        <r>
          <rPr>
            <sz val="9"/>
            <color indexed="81"/>
            <rFont val="Tahoma"/>
            <family val="2"/>
          </rPr>
          <t xml:space="preserve">
- NL: 01/06/2019
- 4.965.870 từ 01/6/2021</t>
        </r>
      </text>
    </comment>
    <comment ref="I25"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I26" authorId="1" shapeId="0">
      <text>
        <r>
          <rPr>
            <b/>
            <sz val="9"/>
            <color indexed="81"/>
            <rFont val="Tahoma"/>
            <family val="2"/>
          </rPr>
          <t>user:</t>
        </r>
        <r>
          <rPr>
            <sz val="9"/>
            <color indexed="81"/>
            <rFont val="Tahoma"/>
            <family val="2"/>
          </rPr>
          <t xml:space="preserve">
- NL: 01/7/2019
- 7.559.700 từ 01/7/2021</t>
        </r>
      </text>
    </comment>
    <comment ref="I27" authorId="1" shapeId="0">
      <text>
        <r>
          <rPr>
            <b/>
            <sz val="9"/>
            <color indexed="81"/>
            <rFont val="Tahoma"/>
            <family val="2"/>
          </rPr>
          <t>user:</t>
        </r>
        <r>
          <rPr>
            <sz val="9"/>
            <color indexed="81"/>
            <rFont val="Tahoma"/>
            <family val="2"/>
          </rPr>
          <t xml:space="preserve">
- NL: 01/7/2019
- 7199714 từ 01/7/2021</t>
        </r>
      </text>
    </comment>
    <comment ref="I28" authorId="1" shapeId="0">
      <text>
        <r>
          <rPr>
            <b/>
            <sz val="9"/>
            <color indexed="81"/>
            <rFont val="Tahoma"/>
            <family val="2"/>
          </rPr>
          <t>user:</t>
        </r>
        <r>
          <rPr>
            <sz val="9"/>
            <color indexed="81"/>
            <rFont val="Tahoma"/>
            <family val="2"/>
          </rPr>
          <t xml:space="preserve">
- NL: 01/01/2020
- 4.420.000 lên 4.641.000 từ 01/01/2022</t>
        </r>
      </text>
    </comment>
    <comment ref="H29" authorId="2"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29" authorId="1" shapeId="0">
      <text>
        <r>
          <rPr>
            <b/>
            <sz val="9"/>
            <color indexed="81"/>
            <rFont val="Tahoma"/>
            <family val="2"/>
          </rPr>
          <t>user:</t>
        </r>
        <r>
          <rPr>
            <sz val="9"/>
            <color indexed="81"/>
            <rFont val="Tahoma"/>
            <family val="2"/>
          </rPr>
          <t xml:space="preserve">
NL: 01/01/2020
- 5.474.872 lên 5.748.615 từ 01/01/2022</t>
        </r>
      </text>
    </comment>
    <comment ref="H30" authorId="1"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30" authorId="1" shapeId="0">
      <text>
        <r>
          <rPr>
            <b/>
            <sz val="9"/>
            <color indexed="81"/>
            <rFont val="Tahoma"/>
            <family val="2"/>
          </rPr>
          <t>user:</t>
        </r>
        <r>
          <rPr>
            <sz val="9"/>
            <color indexed="81"/>
            <rFont val="Tahoma"/>
            <family val="2"/>
          </rPr>
          <t xml:space="preserve">
- NL: 01/01/2019
- 5.474.872 từ 01/01/2021</t>
        </r>
      </text>
    </comment>
    <comment ref="H31" authorId="2"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31" authorId="1" shapeId="0">
      <text>
        <r>
          <rPr>
            <b/>
            <sz val="9"/>
            <color indexed="81"/>
            <rFont val="Tahoma"/>
            <family val="2"/>
          </rPr>
          <t>user:</t>
        </r>
        <r>
          <rPr>
            <sz val="9"/>
            <color indexed="81"/>
            <rFont val="Tahoma"/>
            <family val="2"/>
          </rPr>
          <t xml:space="preserve">
- NL: 01/11/2017</t>
        </r>
      </text>
    </comment>
    <comment ref="T31" authorId="1" shapeId="0">
      <text>
        <r>
          <rPr>
            <b/>
            <sz val="8"/>
            <color indexed="81"/>
            <rFont val="Tahoma"/>
            <family val="2"/>
          </rPr>
          <t>user:</t>
        </r>
        <r>
          <rPr>
            <sz val="8"/>
            <color indexed="81"/>
            <rFont val="Tahoma"/>
            <family val="2"/>
          </rPr>
          <t xml:space="preserve">
Tham gia BHTN từ 01/09/2013</t>
        </r>
      </text>
    </comment>
    <comment ref="I32" authorId="1" shapeId="0">
      <text>
        <r>
          <rPr>
            <b/>
            <sz val="9"/>
            <color indexed="81"/>
            <rFont val="Tahoma"/>
            <family val="2"/>
          </rPr>
          <t>user:</t>
        </r>
        <r>
          <rPr>
            <sz val="9"/>
            <color indexed="81"/>
            <rFont val="Tahoma"/>
            <family val="2"/>
          </rPr>
          <t xml:space="preserve">
- HĐ Từ 01/06/2020</t>
        </r>
      </text>
    </comment>
    <comment ref="L34" authorId="1" shapeId="0">
      <text>
        <r>
          <rPr>
            <b/>
            <sz val="9"/>
            <color indexed="81"/>
            <rFont val="Tahoma"/>
            <family val="2"/>
          </rPr>
          <t>user:</t>
        </r>
        <r>
          <rPr>
            <sz val="9"/>
            <color indexed="81"/>
            <rFont val="Tahoma"/>
            <family val="2"/>
          </rPr>
          <t xml:space="preserve">
- NL VK: 01/7/2021</t>
        </r>
      </text>
    </comment>
    <comment ref="I36" authorId="1" shapeId="0">
      <text>
        <r>
          <rPr>
            <b/>
            <sz val="9"/>
            <color indexed="81"/>
            <rFont val="Tahoma"/>
            <family val="2"/>
          </rPr>
          <t>user:</t>
        </r>
        <r>
          <rPr>
            <sz val="9"/>
            <color indexed="81"/>
            <rFont val="Tahoma"/>
            <family val="2"/>
          </rPr>
          <t xml:space="preserve">
- NL: 01/01/2020
- 6.036.046 lên 6.337.848 từ 01/01/2022</t>
        </r>
      </text>
    </comment>
    <comment ref="H37" authorId="2"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7" authorId="1" shapeId="0">
      <text>
        <r>
          <rPr>
            <b/>
            <sz val="9"/>
            <color indexed="81"/>
            <rFont val="Tahoma"/>
            <family val="2"/>
          </rPr>
          <t>user:</t>
        </r>
        <r>
          <rPr>
            <sz val="9"/>
            <color indexed="81"/>
            <rFont val="Tahoma"/>
            <family val="2"/>
          </rPr>
          <t xml:space="preserve">
- NL: 01/6/2018</t>
        </r>
      </text>
    </comment>
    <comment ref="I39" authorId="1" shapeId="0">
      <text>
        <r>
          <rPr>
            <b/>
            <sz val="9"/>
            <color indexed="81"/>
            <rFont val="Tahoma"/>
            <family val="2"/>
          </rPr>
          <t>user:</t>
        </r>
        <r>
          <rPr>
            <sz val="9"/>
            <color indexed="81"/>
            <rFont val="Tahoma"/>
            <family val="2"/>
          </rPr>
          <t xml:space="preserve">
- 5.060.458 từ 01/5/2021</t>
        </r>
      </text>
    </comment>
    <comment ref="H40" authorId="2" shapeId="0">
      <text>
        <r>
          <rPr>
            <b/>
            <sz val="8"/>
            <color indexed="81"/>
            <rFont val="Tahoma"/>
            <family val="2"/>
          </rPr>
          <t>KimAnh:</t>
        </r>
        <r>
          <rPr>
            <sz val="8"/>
            <color indexed="81"/>
            <rFont val="Tahoma"/>
            <family val="2"/>
          </rPr>
          <t xml:space="preserve">
HĐ T11/2010
Lên lương T11/2013
+ HS 3,00 từ T11/2016</t>
        </r>
      </text>
    </comment>
    <comment ref="I40" authorId="1" shapeId="0">
      <text>
        <r>
          <rPr>
            <b/>
            <sz val="9"/>
            <color indexed="81"/>
            <rFont val="Tahoma"/>
            <family val="2"/>
          </rPr>
          <t>user:</t>
        </r>
        <r>
          <rPr>
            <sz val="9"/>
            <color indexed="81"/>
            <rFont val="Tahoma"/>
            <family val="2"/>
          </rPr>
          <t xml:space="preserve">
- NL: 01/11/2019
- 6.458.569 lên 6.781.498 nâng lương trước hạn từ 01/11/2021.</t>
        </r>
      </text>
    </comment>
    <comment ref="H42" authorId="1"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42"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H43" authorId="3" shapeId="0">
      <text>
        <r>
          <rPr>
            <b/>
            <sz val="8"/>
            <color indexed="81"/>
            <rFont val="Tahoma"/>
            <family val="2"/>
          </rPr>
          <t>admin:</t>
        </r>
        <r>
          <rPr>
            <sz val="8"/>
            <color indexed="81"/>
            <rFont val="Tahoma"/>
            <family val="2"/>
          </rPr>
          <t xml:space="preserve">
HĐLĐ: 01/9/2014
- HS 2,41 từ 01/9/2017</t>
        </r>
      </text>
    </comment>
    <comment ref="I43" authorId="1" shapeId="0">
      <text>
        <r>
          <rPr>
            <b/>
            <sz val="9"/>
            <color indexed="81"/>
            <rFont val="Tahoma"/>
            <family val="2"/>
          </rPr>
          <t>user:</t>
        </r>
        <r>
          <rPr>
            <sz val="9"/>
            <color indexed="81"/>
            <rFont val="Tahoma"/>
            <family val="2"/>
          </rPr>
          <t xml:space="preserve">
- NL: 01/01/2020</t>
        </r>
      </text>
    </comment>
    <comment ref="H46" authorId="0" shapeId="0">
      <text>
        <r>
          <rPr>
            <b/>
            <sz val="9"/>
            <color indexed="81"/>
            <rFont val="Tahoma"/>
            <family val="2"/>
          </rPr>
          <t>Admin:</t>
        </r>
        <r>
          <rPr>
            <sz val="9"/>
            <color indexed="81"/>
            <rFont val="Tahoma"/>
            <family val="2"/>
          </rPr>
          <t xml:space="preserve">
- HS 1.86 từ 01/06/2016
- HS 2,41 từ 01/6/2019</t>
        </r>
      </text>
    </comment>
    <comment ref="I46" authorId="1" shapeId="0">
      <text>
        <r>
          <rPr>
            <b/>
            <sz val="9"/>
            <color indexed="81"/>
            <rFont val="Tahoma"/>
            <family val="2"/>
          </rPr>
          <t>user:</t>
        </r>
        <r>
          <rPr>
            <sz val="9"/>
            <color indexed="81"/>
            <rFont val="Tahoma"/>
            <family val="2"/>
          </rPr>
          <t xml:space="preserve">
- NL: 01/01/2020</t>
        </r>
      </text>
    </comment>
    <comment ref="H47" authorId="3" shapeId="0">
      <text>
        <r>
          <rPr>
            <b/>
            <sz val="8"/>
            <color indexed="81"/>
            <rFont val="Tahoma"/>
            <family val="2"/>
          </rPr>
          <t>admin:</t>
        </r>
        <r>
          <rPr>
            <sz val="8"/>
            <color indexed="81"/>
            <rFont val="Tahoma"/>
            <family val="2"/>
          </rPr>
          <t xml:space="preserve">
+ HĐ LẦn đầu từ 01/04/2014 (HS 2,34)
+ HS 2,67 từ 01/4/2017</t>
        </r>
      </text>
    </comment>
    <comment ref="I47" authorId="1" shapeId="0">
      <text>
        <r>
          <rPr>
            <b/>
            <sz val="9"/>
            <color indexed="81"/>
            <rFont val="Tahoma"/>
            <family val="2"/>
          </rPr>
          <t>user:</t>
        </r>
        <r>
          <rPr>
            <sz val="9"/>
            <color indexed="81"/>
            <rFont val="Tahoma"/>
            <family val="2"/>
          </rPr>
          <t xml:space="preserve">
- NL: 01/4/2017</t>
        </r>
      </text>
    </comment>
    <comment ref="D48" authorId="0" shapeId="0">
      <text>
        <r>
          <rPr>
            <b/>
            <sz val="9"/>
            <color indexed="81"/>
            <rFont val="Tahoma"/>
            <family val="2"/>
          </rPr>
          <t>Admin:</t>
        </r>
        <r>
          <rPr>
            <sz val="9"/>
            <color indexed="81"/>
            <rFont val="Tahoma"/>
            <family val="2"/>
          </rPr>
          <t xml:space="preserve">
- Chuyển về khối chuyên nghiệp từ ngày 01/7/2017</t>
        </r>
      </text>
    </comment>
    <comment ref="H48" authorId="0" shapeId="0">
      <text>
        <r>
          <rPr>
            <b/>
            <sz val="9"/>
            <color indexed="81"/>
            <rFont val="Tahoma"/>
            <family val="2"/>
          </rPr>
          <t>Admin:</t>
        </r>
        <r>
          <rPr>
            <sz val="9"/>
            <color indexed="81"/>
            <rFont val="Tahoma"/>
            <family val="2"/>
          </rPr>
          <t xml:space="preserve">
+ HS 2.41 hưởng từ 01/01/2014
- HS 2,72 từ 01/01/2017</t>
        </r>
      </text>
    </comment>
    <comment ref="I48" authorId="1" shapeId="0">
      <text>
        <r>
          <rPr>
            <b/>
            <sz val="9"/>
            <color indexed="81"/>
            <rFont val="Tahoma"/>
            <family val="2"/>
          </rPr>
          <t>user:</t>
        </r>
        <r>
          <rPr>
            <sz val="9"/>
            <color indexed="81"/>
            <rFont val="Tahoma"/>
            <family val="2"/>
          </rPr>
          <t xml:space="preserve">
- NL: 01/01/2020</t>
        </r>
      </text>
    </comment>
    <comment ref="H49" authorId="2"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text>
        <r>
          <rPr>
            <b/>
            <sz val="9"/>
            <color indexed="81"/>
            <rFont val="Tahoma"/>
            <family val="2"/>
          </rPr>
          <t>user:</t>
        </r>
        <r>
          <rPr>
            <sz val="9"/>
            <color indexed="81"/>
            <rFont val="Tahoma"/>
            <family val="2"/>
          </rPr>
          <t xml:space="preserve">
- NL: 01/01/2020</t>
        </r>
      </text>
    </comment>
    <comment ref="I50" authorId="1" shapeId="0">
      <text>
        <r>
          <rPr>
            <b/>
            <sz val="9"/>
            <color indexed="81"/>
            <rFont val="Tahoma"/>
            <family val="2"/>
          </rPr>
          <t>user:</t>
        </r>
        <r>
          <rPr>
            <sz val="9"/>
            <color indexed="81"/>
            <rFont val="Tahoma"/>
            <family val="2"/>
          </rPr>
          <t xml:space="preserve">
- 5.060.458 từ 01/04/2022</t>
        </r>
      </text>
    </comment>
    <comment ref="H51" authorId="2"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1" authorId="1" shapeId="0">
      <text>
        <r>
          <rPr>
            <b/>
            <sz val="9"/>
            <color indexed="81"/>
            <rFont val="Tahoma"/>
            <family val="2"/>
          </rPr>
          <t>user:</t>
        </r>
        <r>
          <rPr>
            <sz val="9"/>
            <color indexed="81"/>
            <rFont val="Tahoma"/>
            <family val="2"/>
          </rPr>
          <t xml:space="preserve">
- NL: 01/9/2018</t>
        </r>
      </text>
    </comment>
    <comment ref="T51" authorId="1" shapeId="0">
      <text>
        <r>
          <rPr>
            <b/>
            <sz val="8"/>
            <color indexed="81"/>
            <rFont val="Tahoma"/>
            <family val="2"/>
          </rPr>
          <t>user:</t>
        </r>
        <r>
          <rPr>
            <sz val="8"/>
            <color indexed="81"/>
            <rFont val="Tahoma"/>
            <family val="2"/>
          </rPr>
          <t xml:space="preserve">
Tham gia BHTN từ 01/09/2013</t>
        </r>
      </text>
    </comment>
    <comment ref="H52" authorId="2"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52" authorId="1" shapeId="0">
      <text>
        <r>
          <rPr>
            <b/>
            <sz val="9"/>
            <color indexed="81"/>
            <rFont val="Tahoma"/>
            <family val="2"/>
          </rPr>
          <t>user:</t>
        </r>
        <r>
          <rPr>
            <sz val="9"/>
            <color indexed="81"/>
            <rFont val="Tahoma"/>
            <family val="2"/>
          </rPr>
          <t xml:space="preserve">
- NL: 01/12/2017
- NL: 01/12/2020 (Từ 5.858.113 lên 6.151.018)</t>
        </r>
      </text>
    </comment>
    <comment ref="H54" authorId="0" shapeId="0">
      <text>
        <r>
          <rPr>
            <b/>
            <sz val="9"/>
            <color indexed="81"/>
            <rFont val="Tahoma"/>
            <family val="2"/>
          </rPr>
          <t>Admin:</t>
        </r>
        <r>
          <rPr>
            <sz val="9"/>
            <color indexed="81"/>
            <rFont val="Tahoma"/>
            <family val="2"/>
          </rPr>
          <t xml:space="preserve">
- HĐLđ từ 01/03/2017
- 1,50 từ 01/03/2017</t>
        </r>
      </text>
    </comment>
    <comment ref="I54" authorId="1" shapeId="0">
      <text>
        <r>
          <rPr>
            <b/>
            <sz val="9"/>
            <color indexed="81"/>
            <rFont val="Tahoma"/>
            <family val="2"/>
          </rPr>
          <t>user:</t>
        </r>
        <r>
          <rPr>
            <sz val="9"/>
            <color indexed="81"/>
            <rFont val="Tahoma"/>
            <family val="2"/>
          </rPr>
          <t xml:space="preserve">
- NL: 01/03/2019
- Từ 4.641.000 lên 4.873.050 từ 01/03/2021</t>
        </r>
      </text>
    </comment>
    <comment ref="H55" authorId="0" shapeId="0">
      <text>
        <r>
          <rPr>
            <b/>
            <sz val="9"/>
            <color indexed="81"/>
            <rFont val="Tahoma"/>
            <family val="2"/>
          </rPr>
          <t>Admin:</t>
        </r>
        <r>
          <rPr>
            <sz val="9"/>
            <color indexed="81"/>
            <rFont val="Tahoma"/>
            <family val="2"/>
          </rPr>
          <t xml:space="preserve">
+ HS 2,34 từ 01/11/2016
+ HS 2,67 từ 01/11/2018 (NL trước hạn)</t>
        </r>
      </text>
    </comment>
    <comment ref="I55" authorId="1" shapeId="0">
      <text>
        <r>
          <rPr>
            <b/>
            <sz val="9"/>
            <color indexed="81"/>
            <rFont val="Tahoma"/>
            <family val="2"/>
          </rPr>
          <t>user:</t>
        </r>
        <r>
          <rPr>
            <sz val="9"/>
            <color indexed="81"/>
            <rFont val="Tahoma"/>
            <family val="2"/>
          </rPr>
          <t xml:space="preserve">
- NL: 01/11/2018
- Từ 5.313.481 lên 5.579.155 từ 01/11/2021</t>
        </r>
      </text>
    </comment>
    <comment ref="H56" authorId="3" shapeId="0">
      <text>
        <r>
          <rPr>
            <b/>
            <sz val="8"/>
            <color indexed="81"/>
            <rFont val="Tahoma"/>
            <family val="2"/>
          </rPr>
          <t>admin:</t>
        </r>
        <r>
          <rPr>
            <sz val="8"/>
            <color indexed="81"/>
            <rFont val="Tahoma"/>
            <family val="2"/>
          </rPr>
          <t xml:space="preserve">
HĐ Lần đầu từ 01/06/2014 (HS 2,34)
+ HS 2,67 từ 01/06/2017</t>
        </r>
      </text>
    </comment>
    <comment ref="I56" authorId="1" shapeId="0">
      <text>
        <r>
          <rPr>
            <b/>
            <sz val="9"/>
            <color indexed="81"/>
            <rFont val="Tahoma"/>
            <family val="2"/>
          </rPr>
          <t>user:</t>
        </r>
        <r>
          <rPr>
            <sz val="9"/>
            <color indexed="81"/>
            <rFont val="Tahoma"/>
            <family val="2"/>
          </rPr>
          <t xml:space="preserve">
- NL: 01/6/2017</t>
        </r>
      </text>
    </comment>
    <comment ref="H58" authorId="3" shapeId="0">
      <text>
        <r>
          <rPr>
            <b/>
            <sz val="8"/>
            <color indexed="81"/>
            <rFont val="Tahoma"/>
            <family val="2"/>
          </rPr>
          <t>admin:</t>
        </r>
        <r>
          <rPr>
            <sz val="8"/>
            <color indexed="81"/>
            <rFont val="Tahoma"/>
            <family val="2"/>
          </rPr>
          <t xml:space="preserve">
HĐ Lần đầu 01/04/2014 (HS 2,34)
+ HS 2,67 từ 01/4/2017</t>
        </r>
      </text>
    </comment>
    <comment ref="I58" authorId="1" shapeId="0">
      <text>
        <r>
          <rPr>
            <b/>
            <sz val="9"/>
            <color indexed="81"/>
            <rFont val="Tahoma"/>
            <family val="2"/>
          </rPr>
          <t>user:</t>
        </r>
        <r>
          <rPr>
            <sz val="9"/>
            <color indexed="81"/>
            <rFont val="Tahoma"/>
            <family val="2"/>
          </rPr>
          <t xml:space="preserve">
- NL: 01/4/2017</t>
        </r>
      </text>
    </comment>
    <comment ref="K59" authorId="1" shapeId="0">
      <text>
        <r>
          <rPr>
            <b/>
            <sz val="9"/>
            <color indexed="81"/>
            <rFont val="Tahoma"/>
            <family val="2"/>
          </rPr>
          <t>user:</t>
        </r>
        <r>
          <rPr>
            <sz val="9"/>
            <color indexed="81"/>
            <rFont val="Tahoma"/>
            <family val="2"/>
          </rPr>
          <t xml:space="preserve">
- 8% từ 01/11/2020
- 9% từ 01/11/2021</t>
        </r>
      </text>
    </comment>
    <comment ref="L59" authorId="1" shapeId="0">
      <text>
        <r>
          <rPr>
            <b/>
            <sz val="9"/>
            <color indexed="81"/>
            <rFont val="Tahoma"/>
            <family val="2"/>
          </rPr>
          <t>user:</t>
        </r>
        <r>
          <rPr>
            <sz val="9"/>
            <color indexed="81"/>
            <rFont val="Tahoma"/>
            <family val="2"/>
          </rPr>
          <t xml:space="preserve">
- NL: 01/11/2017</t>
        </r>
      </text>
    </comment>
  </commentList>
</comments>
</file>

<file path=xl/comments2.xml><?xml version="1.0" encoding="utf-8"?>
<comments xmlns="http://schemas.openxmlformats.org/spreadsheetml/2006/main">
  <authors>
    <author>Admin</author>
    <author>user</author>
    <author>KimAnh</author>
    <author>admin</author>
  </authors>
  <commentList>
    <comment ref="H13" authorId="0" shapeId="0">
      <text>
        <r>
          <rPr>
            <b/>
            <sz val="9"/>
            <color indexed="81"/>
            <rFont val="Tahoma"/>
            <family val="2"/>
          </rPr>
          <t>Admin:</t>
        </r>
        <r>
          <rPr>
            <sz val="9"/>
            <color indexed="81"/>
            <rFont val="Tahoma"/>
            <family val="2"/>
          </rPr>
          <t xml:space="preserve">
- HS 1,50 từ 01/11/2017</t>
        </r>
      </text>
    </comment>
    <comment ref="I13" authorId="1" shapeId="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text>
        <r>
          <rPr>
            <b/>
            <sz val="9"/>
            <color indexed="81"/>
            <rFont val="Tahoma"/>
            <family val="2"/>
          </rPr>
          <t>user:</t>
        </r>
        <r>
          <rPr>
            <sz val="9"/>
            <color indexed="81"/>
            <rFont val="Tahoma"/>
            <family val="2"/>
          </rPr>
          <t xml:space="preserve">
- NL: 01/01/2020
- 6.219.384 lên 6.530.353 từ 01/01/2022</t>
        </r>
      </text>
    </comment>
    <comment ref="I15" authorId="1" shapeId="0">
      <text>
        <r>
          <rPr>
            <b/>
            <sz val="9"/>
            <color indexed="81"/>
            <rFont val="Tahoma"/>
            <family val="2"/>
          </rPr>
          <t>user:</t>
        </r>
        <r>
          <rPr>
            <sz val="9"/>
            <color indexed="81"/>
            <rFont val="Tahoma"/>
            <family val="2"/>
          </rPr>
          <t xml:space="preserve">
- NL: 01/6/2019
- 5.313.481 lên 5.579.155 từ 01/06/2022</t>
        </r>
      </text>
    </comment>
    <comment ref="I16" authorId="1" shapeId="0">
      <text>
        <r>
          <rPr>
            <b/>
            <sz val="9"/>
            <color indexed="81"/>
            <rFont val="Tahoma"/>
            <family val="2"/>
          </rPr>
          <t>user:</t>
        </r>
        <r>
          <rPr>
            <sz val="9"/>
            <color indexed="81"/>
            <rFont val="Tahoma"/>
            <family val="2"/>
          </rPr>
          <t xml:space="preserve">
- NL: 01/02/2019
- 6.530.353 lên 6.856.871 từ 01/02/2021</t>
        </r>
      </text>
    </comment>
    <comment ref="I17" authorId="1" shapeId="0">
      <text>
        <r>
          <rPr>
            <b/>
            <sz val="9"/>
            <color indexed="81"/>
            <rFont val="Tahoma"/>
            <family val="2"/>
          </rPr>
          <t>user:</t>
        </r>
        <r>
          <rPr>
            <sz val="9"/>
            <color indexed="81"/>
            <rFont val="Tahoma"/>
            <family val="2"/>
          </rPr>
          <t xml:space="preserve">
HĐ từ 01/4/2021: 5060458</t>
        </r>
      </text>
    </comment>
    <comment ref="I18" authorId="1" shapeId="0">
      <text>
        <r>
          <rPr>
            <b/>
            <sz val="9"/>
            <color indexed="81"/>
            <rFont val="Tahoma"/>
            <family val="2"/>
          </rPr>
          <t>user:</t>
        </r>
        <r>
          <rPr>
            <sz val="9"/>
            <color indexed="81"/>
            <rFont val="Tahoma"/>
            <family val="2"/>
          </rPr>
          <t xml:space="preserve">
- 6,987,478 từ 01/7/2021</t>
        </r>
      </text>
    </comment>
    <comment ref="H20" authorId="0" shapeId="0">
      <text>
        <r>
          <rPr>
            <b/>
            <sz val="9"/>
            <color indexed="81"/>
            <rFont val="Tahoma"/>
            <family val="2"/>
          </rPr>
          <t>Admin:</t>
        </r>
        <r>
          <rPr>
            <sz val="9"/>
            <color indexed="81"/>
            <rFont val="Tahoma"/>
            <family val="2"/>
          </rPr>
          <t xml:space="preserve">
- HS 2.67 từ 01/07/2016</t>
        </r>
      </text>
    </comment>
    <comment ref="I20" authorId="1" shapeId="0">
      <text>
        <r>
          <rPr>
            <b/>
            <sz val="9"/>
            <color indexed="81"/>
            <rFont val="Tahoma"/>
            <family val="2"/>
          </rPr>
          <t>user:</t>
        </r>
        <r>
          <rPr>
            <sz val="9"/>
            <color indexed="81"/>
            <rFont val="Tahoma"/>
            <family val="2"/>
          </rPr>
          <t xml:space="preserve">
- NL: 01/7/2019
- 5.858.113 lên 6.151.018 Nâng lương trước hạn từ 01/7/2021</t>
        </r>
      </text>
    </comment>
    <comment ref="S20" authorId="1" shapeId="0">
      <text>
        <r>
          <rPr>
            <b/>
            <sz val="8"/>
            <color indexed="81"/>
            <rFont val="Tahoma"/>
            <family val="2"/>
          </rPr>
          <t>user:</t>
        </r>
        <r>
          <rPr>
            <sz val="8"/>
            <color indexed="81"/>
            <rFont val="Tahoma"/>
            <family val="2"/>
          </rPr>
          <t xml:space="preserve">
Tham gia BHTN từ 01/09/2013</t>
        </r>
      </text>
    </comment>
    <comment ref="H21" authorId="2"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1" authorId="1" shapeId="0">
      <text>
        <r>
          <rPr>
            <b/>
            <sz val="9"/>
            <color indexed="81"/>
            <rFont val="Tahoma"/>
            <family val="2"/>
          </rPr>
          <t>user:</t>
        </r>
        <r>
          <rPr>
            <sz val="9"/>
            <color indexed="81"/>
            <rFont val="Tahoma"/>
            <family val="2"/>
          </rPr>
          <t xml:space="preserve">
- NL: 01/01/2020
- 5.474.872 lên 5.748.615 nâng lương trước hạn từ 01/01/2021</t>
        </r>
      </text>
    </comment>
    <comment ref="H22" authorId="2"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2" authorId="1" shapeId="0">
      <text>
        <r>
          <rPr>
            <b/>
            <sz val="9"/>
            <color indexed="81"/>
            <rFont val="Tahoma"/>
            <family val="2"/>
          </rPr>
          <t>user:</t>
        </r>
        <r>
          <rPr>
            <sz val="9"/>
            <color indexed="81"/>
            <rFont val="Tahoma"/>
            <family val="2"/>
          </rPr>
          <t xml:space="preserve">
- 01/01/2020</t>
        </r>
      </text>
    </comment>
    <comment ref="H23" authorId="0" shapeId="0">
      <text>
        <r>
          <rPr>
            <b/>
            <sz val="9"/>
            <color indexed="81"/>
            <rFont val="Tahoma"/>
            <family val="2"/>
          </rPr>
          <t>Admin:</t>
        </r>
        <r>
          <rPr>
            <sz val="9"/>
            <color indexed="81"/>
            <rFont val="Tahoma"/>
            <family val="2"/>
          </rPr>
          <t xml:space="preserve">
- HS 2.10 từ 01/06/2016
- HS 2,41 từ 01/6/2019
</t>
        </r>
      </text>
    </comment>
    <comment ref="I23" authorId="1" shapeId="0">
      <text>
        <r>
          <rPr>
            <b/>
            <sz val="9"/>
            <color indexed="81"/>
            <rFont val="Tahoma"/>
            <family val="2"/>
          </rPr>
          <t>user:</t>
        </r>
        <r>
          <rPr>
            <sz val="9"/>
            <color indexed="81"/>
            <rFont val="Tahoma"/>
            <family val="2"/>
          </rPr>
          <t xml:space="preserve">
- NL: 01/06/2019
- 4.965.870 từ 01/6/2021</t>
        </r>
      </text>
    </comment>
    <comment ref="I24"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I25" authorId="1" shapeId="0">
      <text>
        <r>
          <rPr>
            <b/>
            <sz val="9"/>
            <color indexed="81"/>
            <rFont val="Tahoma"/>
            <family val="2"/>
          </rPr>
          <t>user:</t>
        </r>
        <r>
          <rPr>
            <sz val="9"/>
            <color indexed="81"/>
            <rFont val="Tahoma"/>
            <family val="2"/>
          </rPr>
          <t xml:space="preserve">
- NL: 01/7/2019
- 7.559.700 từ 01/7/2021</t>
        </r>
      </text>
    </comment>
    <comment ref="I26" authorId="1" shapeId="0">
      <text>
        <r>
          <rPr>
            <b/>
            <sz val="9"/>
            <color indexed="81"/>
            <rFont val="Tahoma"/>
            <family val="2"/>
          </rPr>
          <t>user:</t>
        </r>
        <r>
          <rPr>
            <sz val="9"/>
            <color indexed="81"/>
            <rFont val="Tahoma"/>
            <family val="2"/>
          </rPr>
          <t xml:space="preserve">
- NL: 01/7/2019
- 7199714 từ 01/7/2021</t>
        </r>
      </text>
    </comment>
    <comment ref="I27" authorId="1" shapeId="0">
      <text>
        <r>
          <rPr>
            <b/>
            <sz val="9"/>
            <color indexed="81"/>
            <rFont val="Tahoma"/>
            <family val="2"/>
          </rPr>
          <t>user:</t>
        </r>
        <r>
          <rPr>
            <sz val="9"/>
            <color indexed="81"/>
            <rFont val="Tahoma"/>
            <family val="2"/>
          </rPr>
          <t xml:space="preserve">
- NL: 01/01/2020
- 4.420.000 lên 4.641.000 từ 01/01/2022</t>
        </r>
      </text>
    </comment>
    <comment ref="H28" authorId="1"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28" authorId="1" shapeId="0">
      <text>
        <r>
          <rPr>
            <b/>
            <sz val="9"/>
            <color indexed="81"/>
            <rFont val="Tahoma"/>
            <family val="2"/>
          </rPr>
          <t>user:</t>
        </r>
        <r>
          <rPr>
            <sz val="9"/>
            <color indexed="81"/>
            <rFont val="Tahoma"/>
            <family val="2"/>
          </rPr>
          <t xml:space="preserve">
- NL: 01/01/2019
- 5.474.872 từ 01/01/2021</t>
        </r>
      </text>
    </comment>
    <comment ref="H29" authorId="2"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9" authorId="1" shapeId="0">
      <text>
        <r>
          <rPr>
            <b/>
            <sz val="9"/>
            <color indexed="81"/>
            <rFont val="Tahoma"/>
            <family val="2"/>
          </rPr>
          <t>user:</t>
        </r>
        <r>
          <rPr>
            <sz val="9"/>
            <color indexed="81"/>
            <rFont val="Tahoma"/>
            <family val="2"/>
          </rPr>
          <t xml:space="preserve">
- NL: 01/11/2017</t>
        </r>
      </text>
    </comment>
    <comment ref="S29" authorId="1" shapeId="0">
      <text>
        <r>
          <rPr>
            <b/>
            <sz val="8"/>
            <color indexed="81"/>
            <rFont val="Tahoma"/>
            <family val="2"/>
          </rPr>
          <t>user:</t>
        </r>
        <r>
          <rPr>
            <sz val="8"/>
            <color indexed="81"/>
            <rFont val="Tahoma"/>
            <family val="2"/>
          </rPr>
          <t xml:space="preserve">
Tham gia BHTN từ 01/09/2013</t>
        </r>
      </text>
    </comment>
    <comment ref="I30" authorId="1" shapeId="0">
      <text>
        <r>
          <rPr>
            <b/>
            <sz val="9"/>
            <color indexed="81"/>
            <rFont val="Tahoma"/>
            <family val="2"/>
          </rPr>
          <t>user:</t>
        </r>
        <r>
          <rPr>
            <sz val="9"/>
            <color indexed="81"/>
            <rFont val="Tahoma"/>
            <family val="2"/>
          </rPr>
          <t xml:space="preserve">
- HĐ Từ 01/06/2020
- 4.420.000 lên 4.641.000 từ 01/06/2022</t>
        </r>
      </text>
    </comment>
    <comment ref="J32" authorId="1" shapeId="0">
      <text>
        <r>
          <rPr>
            <b/>
            <sz val="9"/>
            <color indexed="81"/>
            <rFont val="Tahoma"/>
            <family val="2"/>
          </rPr>
          <t>user:</t>
        </r>
        <r>
          <rPr>
            <sz val="9"/>
            <color indexed="81"/>
            <rFont val="Tahoma"/>
            <family val="2"/>
          </rPr>
          <t xml:space="preserve">
- 56% từ 01/7/2022</t>
        </r>
      </text>
    </comment>
    <comment ref="K32" authorId="1" shapeId="0">
      <text>
        <r>
          <rPr>
            <b/>
            <sz val="9"/>
            <color indexed="81"/>
            <rFont val="Tahoma"/>
            <family val="2"/>
          </rPr>
          <t>user:</t>
        </r>
        <r>
          <rPr>
            <sz val="9"/>
            <color indexed="81"/>
            <rFont val="Tahoma"/>
            <family val="2"/>
          </rPr>
          <t xml:space="preserve">
- NL VK: 01/7/2021</t>
        </r>
      </text>
    </comment>
    <comment ref="I35" authorId="1" shapeId="0">
      <text>
        <r>
          <rPr>
            <b/>
            <sz val="9"/>
            <color indexed="81"/>
            <rFont val="Tahoma"/>
            <family val="2"/>
          </rPr>
          <t>user:</t>
        </r>
        <r>
          <rPr>
            <sz val="9"/>
            <color indexed="81"/>
            <rFont val="Tahoma"/>
            <family val="2"/>
          </rPr>
          <t xml:space="preserve">
- NL: 01/01/2020
- 6.036.046 lên 6.337.848 từ 01/01/2022</t>
        </r>
      </text>
    </comment>
    <comment ref="H36" authorId="2"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6" authorId="1" shapeId="0">
      <text>
        <r>
          <rPr>
            <b/>
            <sz val="9"/>
            <color indexed="81"/>
            <rFont val="Tahoma"/>
            <family val="2"/>
          </rPr>
          <t>user:</t>
        </r>
        <r>
          <rPr>
            <sz val="9"/>
            <color indexed="81"/>
            <rFont val="Tahoma"/>
            <family val="2"/>
          </rPr>
          <t xml:space="preserve">
- NL: 01/6/2018</t>
        </r>
      </text>
    </comment>
    <comment ref="I38" authorId="1" shapeId="0">
      <text>
        <r>
          <rPr>
            <b/>
            <sz val="9"/>
            <color indexed="81"/>
            <rFont val="Tahoma"/>
            <family val="2"/>
          </rPr>
          <t>user:</t>
        </r>
        <r>
          <rPr>
            <sz val="9"/>
            <color indexed="81"/>
            <rFont val="Tahoma"/>
            <family val="2"/>
          </rPr>
          <t xml:space="preserve">
- 5.060.458 từ 01/5/2021</t>
        </r>
      </text>
    </comment>
    <comment ref="H39" authorId="2" shapeId="0">
      <text>
        <r>
          <rPr>
            <b/>
            <sz val="8"/>
            <color indexed="81"/>
            <rFont val="Tahoma"/>
            <family val="2"/>
          </rPr>
          <t>KimAnh:</t>
        </r>
        <r>
          <rPr>
            <sz val="8"/>
            <color indexed="81"/>
            <rFont val="Tahoma"/>
            <family val="2"/>
          </rPr>
          <t xml:space="preserve">
HĐ T11/2010
Lên lương T11/2013
+ HS 3,00 từ T11/2016</t>
        </r>
      </text>
    </comment>
    <comment ref="I39" authorId="1" shapeId="0">
      <text>
        <r>
          <rPr>
            <b/>
            <sz val="9"/>
            <color indexed="81"/>
            <rFont val="Tahoma"/>
            <family val="2"/>
          </rPr>
          <t>user:</t>
        </r>
        <r>
          <rPr>
            <sz val="9"/>
            <color indexed="81"/>
            <rFont val="Tahoma"/>
            <family val="2"/>
          </rPr>
          <t xml:space="preserve">
- NL: 01/11/2019
- 6.458.569 lên 6.781.498 nâng lương trước hạn từ 01/11/2021.</t>
        </r>
      </text>
    </comment>
    <comment ref="H41" authorId="1"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41"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H42" authorId="3" shapeId="0">
      <text>
        <r>
          <rPr>
            <b/>
            <sz val="8"/>
            <color indexed="81"/>
            <rFont val="Tahoma"/>
            <family val="2"/>
          </rPr>
          <t>admin:</t>
        </r>
        <r>
          <rPr>
            <sz val="8"/>
            <color indexed="81"/>
            <rFont val="Tahoma"/>
            <family val="2"/>
          </rPr>
          <t xml:space="preserve">
HĐLĐ: 01/9/2014
- HS 2,41 từ 01/9/2017</t>
        </r>
      </text>
    </comment>
    <comment ref="I42" authorId="1" shapeId="0">
      <text>
        <r>
          <rPr>
            <b/>
            <sz val="9"/>
            <color indexed="81"/>
            <rFont val="Tahoma"/>
            <family val="2"/>
          </rPr>
          <t>user:</t>
        </r>
        <r>
          <rPr>
            <sz val="9"/>
            <color indexed="81"/>
            <rFont val="Tahoma"/>
            <family val="2"/>
          </rPr>
          <t xml:space="preserve">
- NL: 01/01/2020</t>
        </r>
      </text>
    </comment>
    <comment ref="H45" authorId="2"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45" authorId="1" shapeId="0">
      <text>
        <r>
          <rPr>
            <b/>
            <sz val="9"/>
            <color indexed="81"/>
            <rFont val="Tahoma"/>
            <family val="2"/>
          </rPr>
          <t>user:</t>
        </r>
        <r>
          <rPr>
            <sz val="9"/>
            <color indexed="81"/>
            <rFont val="Tahoma"/>
            <family val="2"/>
          </rPr>
          <t xml:space="preserve">
NL: 01/01/2020
- 5.474.872 lên 5.748.615 từ 01/01/2022</t>
        </r>
      </text>
    </comment>
    <comment ref="H46" authorId="0" shapeId="0">
      <text>
        <r>
          <rPr>
            <b/>
            <sz val="9"/>
            <color indexed="81"/>
            <rFont val="Tahoma"/>
            <family val="2"/>
          </rPr>
          <t>Admin:</t>
        </r>
        <r>
          <rPr>
            <sz val="9"/>
            <color indexed="81"/>
            <rFont val="Tahoma"/>
            <family val="2"/>
          </rPr>
          <t xml:space="preserve">
- HS 1.86 từ 01/06/2016
- HS 2,41 từ 01/6/2019</t>
        </r>
      </text>
    </comment>
    <comment ref="I46" authorId="1" shapeId="0">
      <text>
        <r>
          <rPr>
            <b/>
            <sz val="9"/>
            <color indexed="81"/>
            <rFont val="Tahoma"/>
            <family val="2"/>
          </rPr>
          <t>user:</t>
        </r>
        <r>
          <rPr>
            <sz val="9"/>
            <color indexed="81"/>
            <rFont val="Tahoma"/>
            <family val="2"/>
          </rPr>
          <t xml:space="preserve">
- NL: 01/01/2020</t>
        </r>
      </text>
    </comment>
    <comment ref="H47" authorId="3" shapeId="0">
      <text>
        <r>
          <rPr>
            <b/>
            <sz val="8"/>
            <color indexed="81"/>
            <rFont val="Tahoma"/>
            <family val="2"/>
          </rPr>
          <t>admin:</t>
        </r>
        <r>
          <rPr>
            <sz val="8"/>
            <color indexed="81"/>
            <rFont val="Tahoma"/>
            <family val="2"/>
          </rPr>
          <t xml:space="preserve">
+ HĐ LẦn đầu từ 01/04/2014 (HS 2,34)
+ HS 2,67 từ 01/4/2017</t>
        </r>
      </text>
    </comment>
    <comment ref="I47" authorId="1" shapeId="0">
      <text>
        <r>
          <rPr>
            <b/>
            <sz val="9"/>
            <color indexed="81"/>
            <rFont val="Tahoma"/>
            <family val="2"/>
          </rPr>
          <t>user:</t>
        </r>
        <r>
          <rPr>
            <sz val="9"/>
            <color indexed="81"/>
            <rFont val="Tahoma"/>
            <family val="2"/>
          </rPr>
          <t xml:space="preserve">
- NL: 01/4/2017</t>
        </r>
      </text>
    </comment>
    <comment ref="D48" authorId="0" shapeId="0">
      <text>
        <r>
          <rPr>
            <b/>
            <sz val="9"/>
            <color indexed="81"/>
            <rFont val="Tahoma"/>
            <family val="2"/>
          </rPr>
          <t>Admin:</t>
        </r>
        <r>
          <rPr>
            <sz val="9"/>
            <color indexed="81"/>
            <rFont val="Tahoma"/>
            <family val="2"/>
          </rPr>
          <t xml:space="preserve">
- Chuyển về khối chuyên nghiệp từ ngày 01/7/2017</t>
        </r>
      </text>
    </comment>
    <comment ref="H48" authorId="0" shapeId="0">
      <text>
        <r>
          <rPr>
            <b/>
            <sz val="9"/>
            <color indexed="81"/>
            <rFont val="Tahoma"/>
            <family val="2"/>
          </rPr>
          <t>Admin:</t>
        </r>
        <r>
          <rPr>
            <sz val="9"/>
            <color indexed="81"/>
            <rFont val="Tahoma"/>
            <family val="2"/>
          </rPr>
          <t xml:space="preserve">
+ HS 2.41 hưởng từ 01/01/2014
- HS 2,72 từ 01/01/2017</t>
        </r>
      </text>
    </comment>
    <comment ref="I48" authorId="1" shapeId="0">
      <text>
        <r>
          <rPr>
            <b/>
            <sz val="9"/>
            <color indexed="81"/>
            <rFont val="Tahoma"/>
            <family val="2"/>
          </rPr>
          <t>user:</t>
        </r>
        <r>
          <rPr>
            <sz val="9"/>
            <color indexed="81"/>
            <rFont val="Tahoma"/>
            <family val="2"/>
          </rPr>
          <t xml:space="preserve">
- NL: 01/01/2020</t>
        </r>
      </text>
    </comment>
    <comment ref="H49" authorId="2"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text>
        <r>
          <rPr>
            <b/>
            <sz val="9"/>
            <color indexed="81"/>
            <rFont val="Tahoma"/>
            <family val="2"/>
          </rPr>
          <t>user:</t>
        </r>
        <r>
          <rPr>
            <sz val="9"/>
            <color indexed="81"/>
            <rFont val="Tahoma"/>
            <family val="2"/>
          </rPr>
          <t xml:space="preserve">
- NL: 01/01/2020</t>
        </r>
      </text>
    </comment>
    <comment ref="H50" authorId="2"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0" authorId="1" shapeId="0">
      <text>
        <r>
          <rPr>
            <b/>
            <sz val="9"/>
            <color indexed="81"/>
            <rFont val="Tahoma"/>
            <family val="2"/>
          </rPr>
          <t>user:</t>
        </r>
        <r>
          <rPr>
            <sz val="9"/>
            <color indexed="81"/>
            <rFont val="Tahoma"/>
            <family val="2"/>
          </rPr>
          <t xml:space="preserve">
- NL: 01/9/2018</t>
        </r>
      </text>
    </comment>
    <comment ref="S50" authorId="1" shapeId="0">
      <text>
        <r>
          <rPr>
            <b/>
            <sz val="8"/>
            <color indexed="81"/>
            <rFont val="Tahoma"/>
            <family val="2"/>
          </rPr>
          <t>user:</t>
        </r>
        <r>
          <rPr>
            <sz val="8"/>
            <color indexed="81"/>
            <rFont val="Tahoma"/>
            <family val="2"/>
          </rPr>
          <t xml:space="preserve">
Tham gia BHTN từ 01/09/2013</t>
        </r>
      </text>
    </comment>
    <comment ref="H51" authorId="2"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51" authorId="1" shapeId="0">
      <text>
        <r>
          <rPr>
            <b/>
            <sz val="9"/>
            <color indexed="81"/>
            <rFont val="Tahoma"/>
            <family val="2"/>
          </rPr>
          <t>user:</t>
        </r>
        <r>
          <rPr>
            <sz val="9"/>
            <color indexed="81"/>
            <rFont val="Tahoma"/>
            <family val="2"/>
          </rPr>
          <t xml:space="preserve">
- NL: 01/12/2017
- NL: 01/12/2020 (Từ 5.858.113 lên 6.151.018)</t>
        </r>
      </text>
    </comment>
    <comment ref="H53" authorId="0" shapeId="0">
      <text>
        <r>
          <rPr>
            <b/>
            <sz val="9"/>
            <color indexed="81"/>
            <rFont val="Tahoma"/>
            <family val="2"/>
          </rPr>
          <t>Admin:</t>
        </r>
        <r>
          <rPr>
            <sz val="9"/>
            <color indexed="81"/>
            <rFont val="Tahoma"/>
            <family val="2"/>
          </rPr>
          <t xml:space="preserve">
- HĐLđ từ 01/03/2017
- 1,50 từ 01/03/2017</t>
        </r>
      </text>
    </comment>
    <comment ref="I53" authorId="1" shapeId="0">
      <text>
        <r>
          <rPr>
            <b/>
            <sz val="9"/>
            <color indexed="81"/>
            <rFont val="Tahoma"/>
            <family val="2"/>
          </rPr>
          <t>user:</t>
        </r>
        <r>
          <rPr>
            <sz val="9"/>
            <color indexed="81"/>
            <rFont val="Tahoma"/>
            <family val="2"/>
          </rPr>
          <t xml:space="preserve">
- NL: 01/03/2019
- Từ 4.641.000 lên 4.873.050 từ 01/03/2021</t>
        </r>
      </text>
    </comment>
    <comment ref="H54" authorId="0" shapeId="0">
      <text>
        <r>
          <rPr>
            <b/>
            <sz val="9"/>
            <color indexed="81"/>
            <rFont val="Tahoma"/>
            <family val="2"/>
          </rPr>
          <t>Admin:</t>
        </r>
        <r>
          <rPr>
            <sz val="9"/>
            <color indexed="81"/>
            <rFont val="Tahoma"/>
            <family val="2"/>
          </rPr>
          <t xml:space="preserve">
+ HS 2,34 từ 01/11/2016
+ HS 2,67 từ 01/11/2018 (NL trước hạn)</t>
        </r>
      </text>
    </comment>
    <comment ref="I54" authorId="1" shapeId="0">
      <text>
        <r>
          <rPr>
            <b/>
            <sz val="9"/>
            <color indexed="81"/>
            <rFont val="Tahoma"/>
            <family val="2"/>
          </rPr>
          <t>user:</t>
        </r>
        <r>
          <rPr>
            <sz val="9"/>
            <color indexed="81"/>
            <rFont val="Tahoma"/>
            <family val="2"/>
          </rPr>
          <t xml:space="preserve">
- NL: 01/11/2018
- Từ 5.313.481 lên 5.579.155 từ 01/11/2021</t>
        </r>
      </text>
    </comment>
    <comment ref="H55" authorId="3" shapeId="0">
      <text>
        <r>
          <rPr>
            <b/>
            <sz val="8"/>
            <color indexed="81"/>
            <rFont val="Tahoma"/>
            <family val="2"/>
          </rPr>
          <t>admin:</t>
        </r>
        <r>
          <rPr>
            <sz val="8"/>
            <color indexed="81"/>
            <rFont val="Tahoma"/>
            <family val="2"/>
          </rPr>
          <t xml:space="preserve">
HĐ Lần đầu từ 01/06/2014 (HS 2,34)
+ HS 2,67 từ 01/06/2017</t>
        </r>
      </text>
    </comment>
    <comment ref="I55" authorId="1" shapeId="0">
      <text>
        <r>
          <rPr>
            <b/>
            <sz val="9"/>
            <color indexed="81"/>
            <rFont val="Tahoma"/>
            <family val="2"/>
          </rPr>
          <t>user:</t>
        </r>
        <r>
          <rPr>
            <sz val="9"/>
            <color indexed="81"/>
            <rFont val="Tahoma"/>
            <family val="2"/>
          </rPr>
          <t xml:space="preserve">
- NL: 01/6/2017</t>
        </r>
      </text>
    </comment>
    <comment ref="H57" authorId="3" shapeId="0">
      <text>
        <r>
          <rPr>
            <b/>
            <sz val="8"/>
            <color indexed="81"/>
            <rFont val="Tahoma"/>
            <family val="2"/>
          </rPr>
          <t>admin:</t>
        </r>
        <r>
          <rPr>
            <sz val="8"/>
            <color indexed="81"/>
            <rFont val="Tahoma"/>
            <family val="2"/>
          </rPr>
          <t xml:space="preserve">
HĐ Lần đầu 01/04/2014 (HS 2,34)
+ HS 2,67 từ 01/4/2017</t>
        </r>
      </text>
    </comment>
    <comment ref="I57" authorId="1" shapeId="0">
      <text>
        <r>
          <rPr>
            <b/>
            <sz val="9"/>
            <color indexed="81"/>
            <rFont val="Tahoma"/>
            <family val="2"/>
          </rPr>
          <t>user:</t>
        </r>
        <r>
          <rPr>
            <sz val="9"/>
            <color indexed="81"/>
            <rFont val="Tahoma"/>
            <family val="2"/>
          </rPr>
          <t xml:space="preserve">
- NL: 01/4/2017</t>
        </r>
      </text>
    </comment>
    <comment ref="J58" authorId="1" shapeId="0">
      <text>
        <r>
          <rPr>
            <b/>
            <sz val="9"/>
            <color indexed="81"/>
            <rFont val="Tahoma"/>
            <family val="2"/>
          </rPr>
          <t>user:</t>
        </r>
        <r>
          <rPr>
            <sz val="9"/>
            <color indexed="81"/>
            <rFont val="Tahoma"/>
            <family val="2"/>
          </rPr>
          <t xml:space="preserve">
- 8% từ 01/11/2020
- 9% từ 01/11/2021</t>
        </r>
      </text>
    </comment>
    <comment ref="K58" authorId="1" shapeId="0">
      <text>
        <r>
          <rPr>
            <b/>
            <sz val="9"/>
            <color indexed="81"/>
            <rFont val="Tahoma"/>
            <family val="2"/>
          </rPr>
          <t>user:</t>
        </r>
        <r>
          <rPr>
            <sz val="9"/>
            <color indexed="81"/>
            <rFont val="Tahoma"/>
            <family val="2"/>
          </rPr>
          <t xml:space="preserve">
- NL: 01/11/2017</t>
        </r>
      </text>
    </comment>
  </commentList>
</comments>
</file>

<file path=xl/comments3.xml><?xml version="1.0" encoding="utf-8"?>
<comments xmlns="http://schemas.openxmlformats.org/spreadsheetml/2006/main">
  <authors>
    <author>Windows User</author>
    <author>Admin</author>
    <author>user</author>
    <author>KimAnh</author>
    <author>admin</author>
  </authors>
  <commentList>
    <comment ref="I14" authorId="0" shapeId="0">
      <text>
        <r>
          <rPr>
            <b/>
            <sz val="9"/>
            <color indexed="81"/>
            <rFont val="Tahoma"/>
            <family val="2"/>
          </rPr>
          <t>Windows User:</t>
        </r>
        <r>
          <rPr>
            <sz val="9"/>
            <color indexed="81"/>
            <rFont val="Tahoma"/>
            <family val="2"/>
          </rPr>
          <t xml:space="preserve">
- 7.515.057 từ 01/4/2023 (Thay đổi thang bảng lương)</t>
        </r>
      </text>
    </comment>
    <comment ref="H15" authorId="1" shapeId="0">
      <text>
        <r>
          <rPr>
            <b/>
            <sz val="9"/>
            <color indexed="81"/>
            <rFont val="Tahoma"/>
            <family val="2"/>
          </rPr>
          <t>Admin:</t>
        </r>
        <r>
          <rPr>
            <sz val="9"/>
            <color indexed="81"/>
            <rFont val="Tahoma"/>
            <family val="2"/>
          </rPr>
          <t xml:space="preserve">
- HS 2.67 từ 01/07/2016</t>
        </r>
      </text>
    </comment>
    <comment ref="I15"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t>
        </r>
      </text>
    </comment>
    <comment ref="S15" authorId="2" shapeId="0">
      <text>
        <r>
          <rPr>
            <b/>
            <sz val="8"/>
            <color indexed="81"/>
            <rFont val="Tahoma"/>
            <family val="2"/>
          </rPr>
          <t>user:</t>
        </r>
        <r>
          <rPr>
            <sz val="8"/>
            <color indexed="81"/>
            <rFont val="Tahoma"/>
            <family val="2"/>
          </rPr>
          <t xml:space="preserve">
Tham gia BHTN từ 01/09/2013</t>
        </r>
      </text>
    </comment>
    <comment ref="H16" authorId="3"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6"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7" authorId="1" shapeId="0">
      <text>
        <r>
          <rPr>
            <b/>
            <sz val="9"/>
            <color indexed="81"/>
            <rFont val="Tahoma"/>
            <family val="2"/>
          </rPr>
          <t>Admin:</t>
        </r>
        <r>
          <rPr>
            <sz val="9"/>
            <color indexed="81"/>
            <rFont val="Tahoma"/>
            <family val="2"/>
          </rPr>
          <t xml:space="preserve">
- HS 2.10 từ 01/06/2016
- HS 2,41 từ 01/6/2019
</t>
        </r>
      </text>
    </comment>
    <comment ref="I17"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H18" authorId="2"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8"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H19" authorId="3"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19" authorId="2" shapeId="0">
      <text>
        <r>
          <rPr>
            <b/>
            <sz val="9"/>
            <color indexed="81"/>
            <rFont val="Tahoma"/>
            <family val="2"/>
          </rPr>
          <t>user:</t>
        </r>
        <r>
          <rPr>
            <sz val="9"/>
            <color indexed="81"/>
            <rFont val="Tahoma"/>
            <family val="2"/>
          </rPr>
          <t xml:space="preserve">
- NL: 01/11/2017
- NL: 5.257.980 lên 5.520.879 từ 01/11/2022</t>
        </r>
      </text>
    </comment>
    <comment ref="S19" authorId="2" shapeId="0">
      <text>
        <r>
          <rPr>
            <b/>
            <sz val="8"/>
            <color indexed="81"/>
            <rFont val="Tahoma"/>
            <family val="2"/>
          </rPr>
          <t>user:</t>
        </r>
        <r>
          <rPr>
            <sz val="8"/>
            <color indexed="81"/>
            <rFont val="Tahoma"/>
            <family val="2"/>
          </rPr>
          <t xml:space="preserve">
Tham gia BHTN từ 01/09/2013</t>
        </r>
      </text>
    </comment>
    <comment ref="C20" authorId="0" shapeId="0">
      <text>
        <r>
          <rPr>
            <b/>
            <sz val="9"/>
            <color indexed="81"/>
            <rFont val="Tahoma"/>
            <family val="2"/>
          </rPr>
          <t>Windows User:</t>
        </r>
        <r>
          <rPr>
            <sz val="9"/>
            <color indexed="81"/>
            <rFont val="Tahoma"/>
            <family val="2"/>
          </rPr>
          <t xml:space="preserve">
Chuyển từ Phòng TC sang phòng QT ngày 01/8/2023
</t>
        </r>
      </text>
    </comment>
    <comment ref="I20"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1" authorId="3"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1"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2" authorId="0" shapeId="0">
      <text>
        <r>
          <rPr>
            <b/>
            <sz val="9"/>
            <color indexed="81"/>
            <rFont val="Tahoma"/>
            <family val="2"/>
          </rPr>
          <t>Windows User:</t>
        </r>
        <r>
          <rPr>
            <sz val="9"/>
            <color indexed="81"/>
            <rFont val="Tahoma"/>
            <family val="2"/>
          </rPr>
          <t xml:space="preserve">
- 5.733.201 từ 01/8/2023</t>
        </r>
      </text>
    </comment>
    <comment ref="I23" authorId="2" shapeId="0">
      <text>
        <r>
          <rPr>
            <b/>
            <sz val="9"/>
            <color indexed="81"/>
            <rFont val="Tahoma"/>
            <family val="2"/>
          </rPr>
          <t>user:</t>
        </r>
        <r>
          <rPr>
            <sz val="9"/>
            <color indexed="81"/>
            <rFont val="Tahoma"/>
            <family val="2"/>
          </rPr>
          <t xml:space="preserve">
- 5.060.458 từ 01/5/2021</t>
        </r>
      </text>
    </comment>
    <comment ref="I24" authorId="2" shapeId="0">
      <text>
        <r>
          <rPr>
            <b/>
            <sz val="9"/>
            <color indexed="81"/>
            <rFont val="Tahoma"/>
            <family val="2"/>
          </rPr>
          <t>user:</t>
        </r>
        <r>
          <rPr>
            <sz val="9"/>
            <color indexed="81"/>
            <rFont val="Tahoma"/>
            <family val="2"/>
          </rPr>
          <t xml:space="preserve">
- HĐLĐ từ 01/07/2022 (5.060.458)</t>
        </r>
      </text>
    </comment>
    <comment ref="H25" authorId="3" shapeId="0">
      <text>
        <r>
          <rPr>
            <b/>
            <sz val="8"/>
            <color indexed="81"/>
            <rFont val="Tahoma"/>
            <family val="2"/>
          </rPr>
          <t>KimAnh:</t>
        </r>
        <r>
          <rPr>
            <sz val="8"/>
            <color indexed="81"/>
            <rFont val="Tahoma"/>
            <family val="2"/>
          </rPr>
          <t xml:space="preserve">
HĐ T11/2010
Lên lương T11/2013
+ HS 3,00 từ T11/2016</t>
        </r>
      </text>
    </comment>
    <comment ref="I25"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t>
        </r>
      </text>
    </comment>
    <comment ref="I26" authorId="0" shapeId="0">
      <text>
        <r>
          <rPr>
            <b/>
            <sz val="9"/>
            <color indexed="81"/>
            <rFont val="Tahoma"/>
            <family val="2"/>
          </rPr>
          <t>Windows User:</t>
        </r>
        <r>
          <rPr>
            <sz val="9"/>
            <color indexed="81"/>
            <rFont val="Tahoma"/>
            <family val="2"/>
          </rPr>
          <t xml:space="preserve">
- 5.733.201 từ 01/07/2023</t>
        </r>
      </text>
    </comment>
    <comment ref="H27" authorId="2"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27"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8" authorId="4" shapeId="0">
      <text>
        <r>
          <rPr>
            <b/>
            <sz val="8"/>
            <color indexed="81"/>
            <rFont val="Tahoma"/>
            <family val="2"/>
          </rPr>
          <t>admin:</t>
        </r>
        <r>
          <rPr>
            <sz val="8"/>
            <color indexed="81"/>
            <rFont val="Tahoma"/>
            <family val="2"/>
          </rPr>
          <t xml:space="preserve">
HĐLĐ: 01/9/2014
- HS 2,41 từ 01/9/2017</t>
        </r>
      </text>
    </comment>
    <comment ref="I28"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29" authorId="0" shapeId="0">
      <text>
        <r>
          <rPr>
            <b/>
            <sz val="9"/>
            <color indexed="81"/>
            <rFont val="Tahoma"/>
            <family val="2"/>
          </rPr>
          <t>Windows User:</t>
        </r>
        <r>
          <rPr>
            <sz val="9"/>
            <color indexed="81"/>
            <rFont val="Tahoma"/>
            <family val="2"/>
          </rPr>
          <t xml:space="preserve">
- Về phòng Thanh tra từ 01/4/2023</t>
        </r>
      </text>
    </comment>
    <comment ref="I29" authorId="2" shapeId="0">
      <text>
        <r>
          <rPr>
            <b/>
            <sz val="9"/>
            <color indexed="81"/>
            <rFont val="Tahoma"/>
            <family val="2"/>
          </rPr>
          <t>user:</t>
        </r>
        <r>
          <rPr>
            <sz val="9"/>
            <color indexed="81"/>
            <rFont val="Tahoma"/>
            <family val="2"/>
          </rPr>
          <t xml:space="preserve">
HĐ từ 01/4/2021: 5060458</t>
        </r>
      </text>
    </comment>
    <comment ref="I30" authorId="0" shapeId="0">
      <text>
        <r>
          <rPr>
            <b/>
            <sz val="9"/>
            <color indexed="81"/>
            <rFont val="Tahoma"/>
            <family val="2"/>
          </rPr>
          <t>Windows User:</t>
        </r>
        <r>
          <rPr>
            <sz val="9"/>
            <color indexed="81"/>
            <rFont val="Tahoma"/>
            <family val="2"/>
          </rPr>
          <t xml:space="preserve">
- 5.733.201 từ ngày 01/12/2023</t>
        </r>
      </text>
    </comment>
    <comment ref="H31" authorId="3"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1" authorId="2" shapeId="0">
      <text>
        <r>
          <rPr>
            <b/>
            <sz val="9"/>
            <color indexed="81"/>
            <rFont val="Tahoma"/>
            <family val="2"/>
          </rPr>
          <t>user:</t>
        </r>
        <r>
          <rPr>
            <sz val="9"/>
            <color indexed="81"/>
            <rFont val="Tahoma"/>
            <family val="2"/>
          </rPr>
          <t xml:space="preserve">
NL: 01/01/2020
- 5.474.872 lên 5.748.615 từ 01/01/2022</t>
        </r>
      </text>
    </comment>
    <comment ref="I32" authorId="0" shapeId="0">
      <text>
        <r>
          <rPr>
            <b/>
            <sz val="9"/>
            <color indexed="81"/>
            <rFont val="Tahoma"/>
            <family val="2"/>
          </rPr>
          <t>Windows User:</t>
        </r>
        <r>
          <rPr>
            <sz val="9"/>
            <color indexed="81"/>
            <rFont val="Tahoma"/>
            <family val="2"/>
          </rPr>
          <t xml:space="preserve">
- Bậc 1: 5.007.600đ từ 01/9/2022</t>
        </r>
      </text>
    </comment>
    <comment ref="H33" authorId="1" shapeId="0">
      <text>
        <r>
          <rPr>
            <b/>
            <sz val="9"/>
            <color indexed="81"/>
            <rFont val="Tahoma"/>
            <family val="2"/>
          </rPr>
          <t>Admin:</t>
        </r>
        <r>
          <rPr>
            <sz val="9"/>
            <color indexed="81"/>
            <rFont val="Tahoma"/>
            <family val="2"/>
          </rPr>
          <t xml:space="preserve">
- HS 1.86 từ 01/06/2016
- HS 2,41 từ 01/6/2019</t>
        </r>
      </text>
    </comment>
    <comment ref="I33"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4" authorId="4" shapeId="0">
      <text>
        <r>
          <rPr>
            <b/>
            <sz val="8"/>
            <color indexed="81"/>
            <rFont val="Tahoma"/>
            <family val="2"/>
          </rPr>
          <t>admin:</t>
        </r>
        <r>
          <rPr>
            <sz val="8"/>
            <color indexed="81"/>
            <rFont val="Tahoma"/>
            <family val="2"/>
          </rPr>
          <t xml:space="preserve">
+ HĐ LẦn đầu từ 01/04/2014 (HS 2,34)
+ HS 2,67 từ 01/4/2017</t>
        </r>
      </text>
    </comment>
    <comment ref="I34"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5" authorId="1" shapeId="0">
      <text>
        <r>
          <rPr>
            <b/>
            <sz val="9"/>
            <color indexed="81"/>
            <rFont val="Tahoma"/>
            <family val="2"/>
          </rPr>
          <t>Admin:</t>
        </r>
        <r>
          <rPr>
            <sz val="9"/>
            <color indexed="81"/>
            <rFont val="Tahoma"/>
            <family val="2"/>
          </rPr>
          <t xml:space="preserve">
- Chuyển về khối chuyên nghiệp từ ngày 01/7/2017</t>
        </r>
      </text>
    </comment>
    <comment ref="H35" authorId="1" shapeId="0">
      <text>
        <r>
          <rPr>
            <b/>
            <sz val="9"/>
            <color indexed="81"/>
            <rFont val="Tahoma"/>
            <family val="2"/>
          </rPr>
          <t>Admin:</t>
        </r>
        <r>
          <rPr>
            <sz val="9"/>
            <color indexed="81"/>
            <rFont val="Tahoma"/>
            <family val="2"/>
          </rPr>
          <t xml:space="preserve">
+ HS 2.41 hưởng từ 01/01/2014
- HS 2,72 từ 01/01/2017</t>
        </r>
      </text>
    </comment>
    <comment ref="I35"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6" authorId="3"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6"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7" authorId="0" shapeId="0">
      <text>
        <r>
          <rPr>
            <b/>
            <sz val="9"/>
            <color indexed="81"/>
            <rFont val="Tahoma"/>
            <family val="2"/>
          </rPr>
          <t>Windows User:</t>
        </r>
        <r>
          <rPr>
            <sz val="9"/>
            <color indexed="81"/>
            <rFont val="Tahoma"/>
            <family val="2"/>
          </rPr>
          <t xml:space="preserve">
- 5,358,132 từ 01/11/2023</t>
        </r>
      </text>
    </comment>
    <comment ref="H38" authorId="3"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8"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S38" authorId="2" shapeId="0">
      <text>
        <r>
          <rPr>
            <b/>
            <sz val="8"/>
            <color indexed="81"/>
            <rFont val="Tahoma"/>
            <family val="2"/>
          </rPr>
          <t>user:</t>
        </r>
        <r>
          <rPr>
            <sz val="8"/>
            <color indexed="81"/>
            <rFont val="Tahoma"/>
            <family val="2"/>
          </rPr>
          <t xml:space="preserve">
Tham gia BHTN từ 01/09/2013</t>
        </r>
      </text>
    </comment>
    <comment ref="H39" authorId="3"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39"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0" authorId="0" shapeId="0">
      <text>
        <r>
          <rPr>
            <b/>
            <sz val="9"/>
            <color indexed="81"/>
            <rFont val="Tahoma"/>
            <family val="2"/>
          </rPr>
          <t>Windows User:</t>
        </r>
        <r>
          <rPr>
            <sz val="9"/>
            <color indexed="81"/>
            <rFont val="Tahoma"/>
            <family val="2"/>
          </rPr>
          <t xml:space="preserve">
- 5.733.201 từ 01/11/2023</t>
        </r>
      </text>
    </comment>
    <comment ref="H41" authorId="1" shapeId="0">
      <text>
        <r>
          <rPr>
            <b/>
            <sz val="9"/>
            <color indexed="81"/>
            <rFont val="Tahoma"/>
            <family val="2"/>
          </rPr>
          <t>Admin:</t>
        </r>
        <r>
          <rPr>
            <sz val="9"/>
            <color indexed="81"/>
            <rFont val="Tahoma"/>
            <family val="2"/>
          </rPr>
          <t xml:space="preserve">
- HĐLđ từ 01/03/2017
- 1,50 từ 01/03/2017</t>
        </r>
      </text>
    </comment>
    <comment ref="I41"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2" authorId="2" shapeId="0">
      <text>
        <r>
          <rPr>
            <b/>
            <sz val="9"/>
            <color indexed="81"/>
            <rFont val="Tahoma"/>
            <family val="2"/>
          </rPr>
          <t>user:</t>
        </r>
        <r>
          <rPr>
            <sz val="9"/>
            <color indexed="81"/>
            <rFont val="Tahoma"/>
            <family val="2"/>
          </rPr>
          <t xml:space="preserve">
- 4.729.400 từ 01/07/2022</t>
        </r>
      </text>
    </comment>
    <comment ref="H43" authorId="4" shapeId="0">
      <text>
        <r>
          <rPr>
            <b/>
            <sz val="8"/>
            <color indexed="81"/>
            <rFont val="Tahoma"/>
            <family val="2"/>
          </rPr>
          <t>admin:</t>
        </r>
        <r>
          <rPr>
            <sz val="8"/>
            <color indexed="81"/>
            <rFont val="Tahoma"/>
            <family val="2"/>
          </rPr>
          <t xml:space="preserve">
HĐ Lần đầu từ 01/06/2014 (HS 2,34)
+ HS 2,67 từ 01/06/2017</t>
        </r>
      </text>
    </comment>
    <comment ref="I43"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4" authorId="0" shapeId="0">
      <text>
        <r>
          <rPr>
            <b/>
            <sz val="9"/>
            <color indexed="81"/>
            <rFont val="Tahoma"/>
            <family val="2"/>
          </rPr>
          <t>Windows User:</t>
        </r>
        <r>
          <rPr>
            <sz val="9"/>
            <color indexed="81"/>
            <rFont val="Tahoma"/>
            <family val="2"/>
          </rPr>
          <t xml:space="preserve">
- 5.007.600 lên 5.257.980 từ 01/12/2022</t>
        </r>
      </text>
    </comment>
    <comment ref="H45" authorId="4" shapeId="0">
      <text>
        <r>
          <rPr>
            <b/>
            <sz val="8"/>
            <color indexed="81"/>
            <rFont val="Tahoma"/>
            <family val="2"/>
          </rPr>
          <t>admin:</t>
        </r>
        <r>
          <rPr>
            <sz val="8"/>
            <color indexed="81"/>
            <rFont val="Tahoma"/>
            <family val="2"/>
          </rPr>
          <t xml:space="preserve">
HĐ Lần đầu 01/04/2014 (HS 2,34)
+ HS 2,67 từ 01/4/2017</t>
        </r>
      </text>
    </comment>
    <comment ref="I45" authorId="2" shapeId="0">
      <text>
        <r>
          <rPr>
            <b/>
            <sz val="9"/>
            <color indexed="81"/>
            <rFont val="Tahoma"/>
            <family val="2"/>
          </rPr>
          <t>user:</t>
        </r>
        <r>
          <rPr>
            <sz val="9"/>
            <color indexed="81"/>
            <rFont val="Tahoma"/>
            <family val="2"/>
          </rPr>
          <t xml:space="preserve">
- NL: 01/4/2017
- 6.563.942 mốc nâng lương từ 01/04/2023</t>
        </r>
      </text>
    </comment>
    <comment ref="J46" authorId="2" shapeId="0">
      <text>
        <r>
          <rPr>
            <b/>
            <sz val="9"/>
            <color indexed="81"/>
            <rFont val="Tahoma"/>
            <family val="2"/>
          </rPr>
          <t>user:</t>
        </r>
        <r>
          <rPr>
            <sz val="9"/>
            <color indexed="81"/>
            <rFont val="Tahoma"/>
            <family val="2"/>
          </rPr>
          <t xml:space="preserve">
- 8% từ 01/11/2020
- 9% từ 01/11/2021
- 10% từ 01/11/2022
- 11% từ 01/11/2023</t>
        </r>
      </text>
    </comment>
    <comment ref="K46" authorId="2" shapeId="0">
      <text>
        <r>
          <rPr>
            <b/>
            <sz val="9"/>
            <color indexed="81"/>
            <rFont val="Tahoma"/>
            <family val="2"/>
          </rPr>
          <t>user:</t>
        </r>
        <r>
          <rPr>
            <sz val="9"/>
            <color indexed="81"/>
            <rFont val="Tahoma"/>
            <family val="2"/>
          </rPr>
          <t xml:space="preserve">
- NL: 01/11/2017</t>
        </r>
      </text>
    </comment>
    <comment ref="I47" authorId="0" shapeId="0">
      <text>
        <r>
          <rPr>
            <b/>
            <sz val="9"/>
            <color indexed="81"/>
            <rFont val="Tahoma"/>
            <family val="2"/>
          </rPr>
          <t>Windows User:</t>
        </r>
        <r>
          <rPr>
            <sz val="9"/>
            <color indexed="81"/>
            <rFont val="Tahoma"/>
            <family val="2"/>
          </rPr>
          <t xml:space="preserve">
- 6.086.769 từ ngày 01/7/2023</t>
        </r>
      </text>
    </comment>
    <comment ref="I48" authorId="0" shapeId="0">
      <text>
        <r>
          <rPr>
            <b/>
            <sz val="9"/>
            <color indexed="81"/>
            <rFont val="Tahoma"/>
            <family val="2"/>
          </rPr>
          <t>Windows User:</t>
        </r>
        <r>
          <rPr>
            <sz val="9"/>
            <color indexed="81"/>
            <rFont val="Tahoma"/>
            <family val="2"/>
          </rPr>
          <t xml:space="preserve">
- 5.007.600 từ ngày 01/10/2023
</t>
        </r>
      </text>
    </comment>
    <comment ref="I49"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List>
</comments>
</file>

<file path=xl/comments4.xml><?xml version="1.0" encoding="utf-8"?>
<comments xmlns="http://schemas.openxmlformats.org/spreadsheetml/2006/main">
  <authors>
    <author>KimAnh</author>
    <author>user</author>
    <author>Admin</author>
    <author>Windows User</author>
  </authors>
  <commentList>
    <comment ref="H13" authorId="0" shapeId="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13" authorId="1" shapeId="0">
      <text>
        <r>
          <rPr>
            <b/>
            <sz val="9"/>
            <color indexed="81"/>
            <rFont val="Tahoma"/>
            <family val="2"/>
          </rPr>
          <t>user:</t>
        </r>
        <r>
          <rPr>
            <sz val="9"/>
            <color indexed="81"/>
            <rFont val="Tahoma"/>
            <family val="2"/>
          </rPr>
          <t xml:space="preserve">
- NL: 01/01/2020
- 5.923.223 lên 6.219.384 từ 01/01/2022</t>
        </r>
      </text>
    </comment>
    <comment ref="S13" authorId="1" shapeId="0">
      <text>
        <r>
          <rPr>
            <b/>
            <sz val="8"/>
            <color indexed="81"/>
            <rFont val="Tahoma"/>
            <family val="2"/>
          </rPr>
          <t>user:</t>
        </r>
        <r>
          <rPr>
            <sz val="8"/>
            <color indexed="81"/>
            <rFont val="Tahoma"/>
            <family val="2"/>
          </rPr>
          <t xml:space="preserve">
Tham gia BHTN từ 01/09/2013</t>
        </r>
      </text>
    </comment>
    <comment ref="I14" authorId="1" shapeId="0">
      <text>
        <r>
          <rPr>
            <b/>
            <sz val="9"/>
            <color indexed="81"/>
            <rFont val="Tahoma"/>
            <family val="2"/>
          </rPr>
          <t>user:</t>
        </r>
        <r>
          <rPr>
            <sz val="9"/>
            <color indexed="81"/>
            <rFont val="Tahoma"/>
            <family val="2"/>
          </rPr>
          <t xml:space="preserve">
- NL: 01/11/2019
- Từ 5.116.703 lên 5.372.538 từ 01/11/2021
- 5.972.998 từ 01/11/2023</t>
        </r>
      </text>
    </comment>
    <comment ref="I15" authorId="1" shapeId="0">
      <text>
        <r>
          <rPr>
            <b/>
            <sz val="9"/>
            <color indexed="81"/>
            <rFont val="Tahoma"/>
            <family val="2"/>
          </rPr>
          <t>user:</t>
        </r>
        <r>
          <rPr>
            <sz val="9"/>
            <color indexed="81"/>
            <rFont val="Tahoma"/>
            <family val="2"/>
          </rPr>
          <t xml:space="preserve">
- NL: 01/11/2019
- Từ 5.116.703 lên 5.372.538 từ 01/11/2021
- 5.972.998 từ 01/11/2023</t>
        </r>
      </text>
    </comment>
    <comment ref="H16" authorId="2" shapeId="0">
      <text>
        <r>
          <rPr>
            <b/>
            <sz val="9"/>
            <color indexed="81"/>
            <rFont val="Tahoma"/>
            <family val="2"/>
          </rPr>
          <t>Admin:</t>
        </r>
        <r>
          <rPr>
            <sz val="9"/>
            <color indexed="81"/>
            <rFont val="Tahoma"/>
            <family val="2"/>
          </rPr>
          <t xml:space="preserve">
- HS 1,50 từ 01/6/2018</t>
        </r>
      </text>
    </comment>
    <comment ref="I16" authorId="1" shapeId="0">
      <text>
        <r>
          <rPr>
            <b/>
            <sz val="9"/>
            <color indexed="81"/>
            <rFont val="Tahoma"/>
            <family val="2"/>
          </rPr>
          <t>user:</t>
        </r>
        <r>
          <rPr>
            <sz val="9"/>
            <color indexed="81"/>
            <rFont val="Tahoma"/>
            <family val="2"/>
          </rPr>
          <t xml:space="preserve">
- NL: 01/01/2020
</t>
        </r>
      </text>
    </comment>
    <comment ref="I17" authorId="1" shapeId="0">
      <text>
        <r>
          <rPr>
            <b/>
            <sz val="9"/>
            <color indexed="81"/>
            <rFont val="Tahoma"/>
            <family val="2"/>
          </rPr>
          <t>user:</t>
        </r>
        <r>
          <rPr>
            <sz val="9"/>
            <color indexed="81"/>
            <rFont val="Tahoma"/>
            <family val="2"/>
          </rPr>
          <t xml:space="preserve">
- 6,987,478 từ 01/7/2021</t>
        </r>
      </text>
    </comment>
    <comment ref="H18" authorId="2" shapeId="0">
      <text>
        <r>
          <rPr>
            <b/>
            <sz val="9"/>
            <color indexed="81"/>
            <rFont val="Tahoma"/>
            <family val="2"/>
          </rPr>
          <t>Admin:</t>
        </r>
        <r>
          <rPr>
            <sz val="9"/>
            <color indexed="81"/>
            <rFont val="Tahoma"/>
            <family val="2"/>
          </rPr>
          <t xml:space="preserve">
- HS 1,50 từ 01/11/2017</t>
        </r>
      </text>
    </comment>
    <comment ref="I18" authorId="1" shapeId="0">
      <text>
        <r>
          <rPr>
            <b/>
            <sz val="9"/>
            <color indexed="81"/>
            <rFont val="Tahoma"/>
            <family val="2"/>
          </rPr>
          <t>user:</t>
        </r>
        <r>
          <rPr>
            <sz val="9"/>
            <color indexed="81"/>
            <rFont val="Tahoma"/>
            <family val="2"/>
          </rPr>
          <t xml:space="preserve">
- NL: 01/11/2019
- Từ 4.641.000 lên 4.873.050 Mốc thời gian NL: 01/11/2021
- 5.417.685 từ 01/11/2023</t>
        </r>
      </text>
    </comment>
    <comment ref="I19" authorId="1" shapeId="0">
      <text>
        <r>
          <rPr>
            <b/>
            <sz val="9"/>
            <color indexed="81"/>
            <rFont val="Tahoma"/>
            <family val="2"/>
          </rPr>
          <t>user:</t>
        </r>
        <r>
          <rPr>
            <sz val="9"/>
            <color indexed="81"/>
            <rFont val="Tahoma"/>
            <family val="2"/>
          </rPr>
          <t xml:space="preserve">
- NL: 01/01/2020
- 6.219.384 lên 6.530.353 từ 01/01/2022</t>
        </r>
      </text>
    </comment>
    <comment ref="I20" authorId="1"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21" authorId="1"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I22" authorId="3" shapeId="0">
      <text>
        <r>
          <rPr>
            <b/>
            <sz val="9"/>
            <color indexed="81"/>
            <rFont val="Tahoma"/>
            <family val="2"/>
          </rPr>
          <t>Windows User:</t>
        </r>
        <r>
          <rPr>
            <sz val="9"/>
            <color indexed="81"/>
            <rFont val="Tahoma"/>
            <family val="2"/>
          </rPr>
          <t xml:space="preserve">
- 5.733.201 từ ngày 01/12/2023</t>
        </r>
      </text>
    </comment>
    <comment ref="I24" authorId="3" shapeId="0">
      <text>
        <r>
          <rPr>
            <b/>
            <sz val="9"/>
            <color indexed="81"/>
            <rFont val="Tahoma"/>
            <family val="2"/>
          </rPr>
          <t>Windows User:</t>
        </r>
        <r>
          <rPr>
            <sz val="9"/>
            <color indexed="81"/>
            <rFont val="Tahoma"/>
            <family val="2"/>
          </rPr>
          <t xml:space="preserve">
- 4.680.000 từ 01/9/2023</t>
        </r>
      </text>
    </comment>
    <comment ref="I25" authorId="1" shapeId="0">
      <text>
        <r>
          <rPr>
            <b/>
            <sz val="9"/>
            <color indexed="81"/>
            <rFont val="Tahoma"/>
            <family val="2"/>
          </rPr>
          <t>user:</t>
        </r>
        <r>
          <rPr>
            <sz val="9"/>
            <color indexed="81"/>
            <rFont val="Tahoma"/>
            <family val="2"/>
          </rPr>
          <t xml:space="preserve">
- HĐ từ 01/07/2020 (bậc 2)</t>
        </r>
      </text>
    </comment>
    <comment ref="I26" authorId="1" shapeId="0">
      <text>
        <r>
          <rPr>
            <b/>
            <sz val="9"/>
            <color indexed="81"/>
            <rFont val="Tahoma"/>
            <family val="2"/>
          </rPr>
          <t>user:</t>
        </r>
        <r>
          <rPr>
            <sz val="9"/>
            <color indexed="81"/>
            <rFont val="Tahoma"/>
            <family val="2"/>
          </rPr>
          <t xml:space="preserve">
- 4.729.400 từ 01/7/2020</t>
        </r>
      </text>
    </comment>
    <comment ref="H27" authorId="0"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7" authorId="1"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28" authorId="1"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29" authorId="1" shapeId="0">
      <text>
        <r>
          <rPr>
            <b/>
            <sz val="9"/>
            <color indexed="81"/>
            <rFont val="Tahoma"/>
            <family val="2"/>
          </rPr>
          <t>user:</t>
        </r>
        <r>
          <rPr>
            <sz val="9"/>
            <color indexed="81"/>
            <rFont val="Tahoma"/>
            <family val="2"/>
          </rPr>
          <t xml:space="preserve">
- NL: 01/7/2019
- 7.199.714 từ 01/7/2021
- 8.004.388 từ 01/7/2023</t>
        </r>
      </text>
    </comment>
    <comment ref="I30" authorId="1" shapeId="0">
      <text>
        <r>
          <rPr>
            <b/>
            <sz val="9"/>
            <color indexed="81"/>
            <rFont val="Tahoma"/>
            <family val="2"/>
          </rPr>
          <t>user:</t>
        </r>
        <r>
          <rPr>
            <sz val="9"/>
            <color indexed="81"/>
            <rFont val="Tahoma"/>
            <family val="2"/>
          </rPr>
          <t xml:space="preserve">
- NL: 01/01/2020
- 4.420.000 lên 4.641.000 từ 01/01/2022</t>
        </r>
      </text>
    </comment>
    <comment ref="I31" authorId="1" shapeId="0">
      <text>
        <r>
          <rPr>
            <b/>
            <sz val="9"/>
            <color indexed="81"/>
            <rFont val="Tahoma"/>
            <family val="2"/>
          </rPr>
          <t>user:</t>
        </r>
        <r>
          <rPr>
            <sz val="9"/>
            <color indexed="81"/>
            <rFont val="Tahoma"/>
            <family val="2"/>
          </rPr>
          <t xml:space="preserve">
- HĐ Từ 01/06/2020
- 4.420.000 lên 4.641.000 từ 01/06/2022</t>
        </r>
      </text>
    </comment>
    <comment ref="I33" authorId="3" shapeId="0">
      <text>
        <r>
          <rPr>
            <b/>
            <sz val="9"/>
            <color indexed="81"/>
            <rFont val="Tahoma"/>
            <family val="2"/>
          </rPr>
          <t>Windows User:</t>
        </r>
        <r>
          <rPr>
            <sz val="9"/>
            <color indexed="81"/>
            <rFont val="Tahoma"/>
            <family val="2"/>
          </rPr>
          <t xml:space="preserve">
- NL: Từ 4.680.000 lên 4.914.000 từ 01/11/2022</t>
        </r>
      </text>
    </comment>
    <comment ref="I34" authorId="3" shapeId="0">
      <text>
        <r>
          <rPr>
            <b/>
            <sz val="9"/>
            <color indexed="81"/>
            <rFont val="Tahoma"/>
            <family val="2"/>
          </rPr>
          <t>Windows User:</t>
        </r>
        <r>
          <rPr>
            <sz val="9"/>
            <color indexed="81"/>
            <rFont val="Tahoma"/>
            <family val="2"/>
          </rPr>
          <t xml:space="preserve">
- 4.680.000 từ 01/5/2022</t>
        </r>
      </text>
    </comment>
    <comment ref="I35" authorId="3" shapeId="0">
      <text>
        <r>
          <rPr>
            <b/>
            <sz val="9"/>
            <color indexed="81"/>
            <rFont val="Tahoma"/>
            <family val="2"/>
          </rPr>
          <t>Windows User:</t>
        </r>
        <r>
          <rPr>
            <sz val="9"/>
            <color indexed="81"/>
            <rFont val="Tahoma"/>
            <family val="2"/>
          </rPr>
          <t xml:space="preserve">
- 4.680.000 từ 01/02/2023</t>
        </r>
      </text>
    </comment>
    <comment ref="I36" authorId="1" shapeId="0">
      <text>
        <r>
          <rPr>
            <b/>
            <sz val="9"/>
            <color indexed="81"/>
            <rFont val="Tahoma"/>
            <family val="2"/>
          </rPr>
          <t>user:</t>
        </r>
        <r>
          <rPr>
            <sz val="9"/>
            <color indexed="81"/>
            <rFont val="Tahoma"/>
            <family val="2"/>
          </rPr>
          <t xml:space="preserve">
- HĐLĐ từ 01/4/2021: 4.420.000đ
- NL: 4.914.000 từ 01/4/2023</t>
        </r>
      </text>
    </comment>
    <comment ref="I37" authorId="1" shapeId="0">
      <text>
        <r>
          <rPr>
            <b/>
            <sz val="9"/>
            <color indexed="81"/>
            <rFont val="Tahoma"/>
            <family val="2"/>
          </rPr>
          <t>user:</t>
        </r>
        <r>
          <rPr>
            <sz val="9"/>
            <color indexed="81"/>
            <rFont val="Tahoma"/>
            <family val="2"/>
          </rPr>
          <t xml:space="preserve">
- HĐ từ 01/4/2021
- NL 4.914.000 từ 01/4/2023</t>
        </r>
      </text>
    </comment>
    <comment ref="I38" authorId="1" shapeId="0">
      <text>
        <r>
          <rPr>
            <b/>
            <sz val="9"/>
            <color indexed="81"/>
            <rFont val="Tahoma"/>
            <family val="2"/>
          </rPr>
          <t>user:</t>
        </r>
        <r>
          <rPr>
            <sz val="9"/>
            <color indexed="81"/>
            <rFont val="Tahoma"/>
            <family val="2"/>
          </rPr>
          <t xml:space="preserve">
- NL: 01/01/2020
- 6.036.046 lên 6.337.848 từ 01/01/2022</t>
        </r>
      </text>
    </comment>
  </commentList>
</comments>
</file>

<file path=xl/comments5.xml><?xml version="1.0" encoding="utf-8"?>
<comments xmlns="http://schemas.openxmlformats.org/spreadsheetml/2006/main">
  <authors>
    <author>user</author>
  </authors>
  <commentList>
    <comment ref="I13" authorId="0" shapeId="0">
      <text>
        <r>
          <rPr>
            <b/>
            <sz val="9"/>
            <color indexed="81"/>
            <rFont val="Tahoma"/>
            <family val="2"/>
          </rPr>
          <t>user:</t>
        </r>
        <r>
          <rPr>
            <sz val="9"/>
            <color indexed="81"/>
            <rFont val="Tahoma"/>
            <family val="2"/>
          </rPr>
          <t xml:space="preserve">
- NL: 01/01/2020</t>
        </r>
      </text>
    </comment>
  </commentList>
</comments>
</file>

<file path=xl/comments6.xml><?xml version="1.0" encoding="utf-8"?>
<comments xmlns="http://schemas.openxmlformats.org/spreadsheetml/2006/main">
  <authors>
    <author>Windows User</author>
    <author>Admin</author>
    <author>user</author>
    <author>KimAnh</author>
    <author>admin</author>
  </authors>
  <commentList>
    <comment ref="I15" authorId="0" shapeId="0">
      <text>
        <r>
          <rPr>
            <b/>
            <sz val="9"/>
            <color indexed="81"/>
            <rFont val="Tahoma"/>
            <family val="2"/>
          </rPr>
          <t>Windows User:</t>
        </r>
        <r>
          <rPr>
            <sz val="9"/>
            <color indexed="81"/>
            <rFont val="Tahoma"/>
            <family val="2"/>
          </rPr>
          <t xml:space="preserve">
- 7.515.057 từ 01/4/2023 (Thay đổi thang bảng lương)
- 8.041.111 từ 01/4/2024 (Nâng lương trước hạn)</t>
        </r>
      </text>
    </comment>
    <comment ref="H16" authorId="1" shapeId="0">
      <text>
        <r>
          <rPr>
            <b/>
            <sz val="9"/>
            <color indexed="81"/>
            <rFont val="Tahoma"/>
            <family val="2"/>
          </rPr>
          <t>Admin:</t>
        </r>
        <r>
          <rPr>
            <sz val="9"/>
            <color indexed="81"/>
            <rFont val="Tahoma"/>
            <family val="2"/>
          </rPr>
          <t xml:space="preserve">
- HS 2.67 từ 01/07/2016</t>
        </r>
      </text>
    </comment>
    <comment ref="I16"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
- 7.515.057 từ 01/7/2024</t>
        </r>
      </text>
    </comment>
    <comment ref="S16" authorId="2" shapeId="0">
      <text>
        <r>
          <rPr>
            <b/>
            <sz val="8"/>
            <color indexed="81"/>
            <rFont val="Tahoma"/>
            <family val="2"/>
          </rPr>
          <t>user:</t>
        </r>
        <r>
          <rPr>
            <sz val="8"/>
            <color indexed="81"/>
            <rFont val="Tahoma"/>
            <family val="2"/>
          </rPr>
          <t xml:space="preserve">
Tham gia BHTN từ 01/09/2013</t>
        </r>
      </text>
    </comment>
    <comment ref="H17" authorId="3"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7"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8" authorId="1" shapeId="0">
      <text>
        <r>
          <rPr>
            <b/>
            <sz val="9"/>
            <color indexed="81"/>
            <rFont val="Tahoma"/>
            <family val="2"/>
          </rPr>
          <t>Admin:</t>
        </r>
        <r>
          <rPr>
            <sz val="9"/>
            <color indexed="81"/>
            <rFont val="Tahoma"/>
            <family val="2"/>
          </rPr>
          <t xml:space="preserve">
- HS 2.10 từ 01/06/2016
- HS 2,41 từ 01/6/2019
</t>
        </r>
      </text>
    </comment>
    <comment ref="I18"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H19" authorId="2"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9"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H20" authorId="3"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0" authorId="2" shapeId="0">
      <text>
        <r>
          <rPr>
            <b/>
            <sz val="9"/>
            <color indexed="81"/>
            <rFont val="Tahoma"/>
            <family val="2"/>
          </rPr>
          <t>user:</t>
        </r>
        <r>
          <rPr>
            <sz val="9"/>
            <color indexed="81"/>
            <rFont val="Tahoma"/>
            <family val="2"/>
          </rPr>
          <t xml:space="preserve">
- NL: 01/11/2017
- NL: 5.257.980 lên 5.520.879 từ 01/11/2022</t>
        </r>
      </text>
    </comment>
    <comment ref="S20" authorId="2" shapeId="0">
      <text>
        <r>
          <rPr>
            <b/>
            <sz val="8"/>
            <color indexed="81"/>
            <rFont val="Tahoma"/>
            <family val="2"/>
          </rPr>
          <t>user:</t>
        </r>
        <r>
          <rPr>
            <sz val="8"/>
            <color indexed="81"/>
            <rFont val="Tahoma"/>
            <family val="2"/>
          </rPr>
          <t xml:space="preserve">
Tham gia BHTN từ 01/09/2013</t>
        </r>
      </text>
    </comment>
    <comment ref="C21" authorId="0" shapeId="0">
      <text>
        <r>
          <rPr>
            <b/>
            <sz val="9"/>
            <color indexed="81"/>
            <rFont val="Tahoma"/>
            <family val="2"/>
          </rPr>
          <t>Windows User:</t>
        </r>
        <r>
          <rPr>
            <sz val="9"/>
            <color indexed="81"/>
            <rFont val="Tahoma"/>
            <family val="2"/>
          </rPr>
          <t xml:space="preserve">
Chuyển từ Phòng TC sang phòng QT ngày 01/8/2023
</t>
        </r>
      </text>
    </comment>
    <comment ref="I21"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2" authorId="3"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2"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3" authorId="2" shapeId="0">
      <text>
        <r>
          <rPr>
            <b/>
            <sz val="9"/>
            <color indexed="81"/>
            <rFont val="Tahoma"/>
            <family val="2"/>
          </rPr>
          <t>user:</t>
        </r>
        <r>
          <rPr>
            <sz val="9"/>
            <color indexed="81"/>
            <rFont val="Tahoma"/>
            <family val="2"/>
          </rPr>
          <t xml:space="preserve">
- 5.060.458 từ 01/5/2021
- 5.733.201 từ 01/05/2023 (NL trước hạn)</t>
        </r>
      </text>
    </comment>
    <comment ref="I24" authorId="2" shapeId="0">
      <text>
        <r>
          <rPr>
            <b/>
            <sz val="9"/>
            <color indexed="81"/>
            <rFont val="Tahoma"/>
            <family val="2"/>
          </rPr>
          <t>user:</t>
        </r>
        <r>
          <rPr>
            <sz val="9"/>
            <color indexed="81"/>
            <rFont val="Tahoma"/>
            <family val="2"/>
          </rPr>
          <t xml:space="preserve">
- HĐLĐ từ 01/07/2022 (5.060.458)</t>
        </r>
      </text>
    </comment>
    <comment ref="H25" authorId="3" shapeId="0">
      <text>
        <r>
          <rPr>
            <b/>
            <sz val="8"/>
            <color indexed="81"/>
            <rFont val="Tahoma"/>
            <family val="2"/>
          </rPr>
          <t>KimAnh:</t>
        </r>
        <r>
          <rPr>
            <sz val="8"/>
            <color indexed="81"/>
            <rFont val="Tahoma"/>
            <family val="2"/>
          </rPr>
          <t xml:space="preserve">
HĐ T11/2010
Lên lương T11/2013
+ HS 3,00 từ T11/2016</t>
        </r>
      </text>
    </comment>
    <comment ref="I25"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t>
        </r>
      </text>
    </comment>
    <comment ref="I26" authorId="0" shapeId="0">
      <text>
        <r>
          <rPr>
            <b/>
            <sz val="9"/>
            <color indexed="81"/>
            <rFont val="Tahoma"/>
            <family val="2"/>
          </rPr>
          <t>Windows User:</t>
        </r>
        <r>
          <rPr>
            <sz val="9"/>
            <color indexed="81"/>
            <rFont val="Tahoma"/>
            <family val="2"/>
          </rPr>
          <t xml:space="preserve">
- 5.733.201 từ 01/07/2023</t>
        </r>
      </text>
    </comment>
    <comment ref="H27" authorId="2"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27"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8" authorId="4" shapeId="0">
      <text>
        <r>
          <rPr>
            <b/>
            <sz val="8"/>
            <color indexed="81"/>
            <rFont val="Tahoma"/>
            <family val="2"/>
          </rPr>
          <t>admin:</t>
        </r>
        <r>
          <rPr>
            <sz val="8"/>
            <color indexed="81"/>
            <rFont val="Tahoma"/>
            <family val="2"/>
          </rPr>
          <t xml:space="preserve">
HĐLĐ: 01/9/2014
- HS 2,41 từ 01/9/2017</t>
        </r>
      </text>
    </comment>
    <comment ref="I28"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29" authorId="0" shapeId="0">
      <text>
        <r>
          <rPr>
            <b/>
            <sz val="9"/>
            <color indexed="81"/>
            <rFont val="Tahoma"/>
            <family val="2"/>
          </rPr>
          <t>Windows User:</t>
        </r>
        <r>
          <rPr>
            <sz val="9"/>
            <color indexed="81"/>
            <rFont val="Tahoma"/>
            <family val="2"/>
          </rPr>
          <t xml:space="preserve">
- Về phòng Thanh tra từ 01/4/2023</t>
        </r>
      </text>
    </comment>
    <comment ref="I29" authorId="2" shapeId="0">
      <text>
        <r>
          <rPr>
            <b/>
            <sz val="9"/>
            <color indexed="81"/>
            <rFont val="Tahoma"/>
            <family val="2"/>
          </rPr>
          <t>user:</t>
        </r>
        <r>
          <rPr>
            <sz val="9"/>
            <color indexed="81"/>
            <rFont val="Tahoma"/>
            <family val="2"/>
          </rPr>
          <t xml:space="preserve">
HĐ từ 01/4/2021: 5060458
- 5.733.201 từ 01/4/2024</t>
        </r>
      </text>
    </comment>
    <comment ref="I30" authorId="0" shapeId="0">
      <text>
        <r>
          <rPr>
            <b/>
            <sz val="9"/>
            <color indexed="81"/>
            <rFont val="Tahoma"/>
            <family val="2"/>
          </rPr>
          <t>Windows User:</t>
        </r>
        <r>
          <rPr>
            <sz val="9"/>
            <color indexed="81"/>
            <rFont val="Tahoma"/>
            <family val="2"/>
          </rPr>
          <t xml:space="preserve">
- 5.733.201 từ ngày 01/12/2023</t>
        </r>
      </text>
    </comment>
    <comment ref="H31" authorId="3"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1" authorId="2" shapeId="0">
      <text>
        <r>
          <rPr>
            <b/>
            <sz val="9"/>
            <color indexed="81"/>
            <rFont val="Tahoma"/>
            <family val="2"/>
          </rPr>
          <t>user:</t>
        </r>
        <r>
          <rPr>
            <sz val="9"/>
            <color indexed="81"/>
            <rFont val="Tahoma"/>
            <family val="2"/>
          </rPr>
          <t xml:space="preserve">
NL: 01/01/2020
- 5.474.872 lên 5.748.615 từ 01/01/2022
- 6.391.108 từ 01/01/2024</t>
        </r>
      </text>
    </comment>
    <comment ref="I32" authorId="0" shapeId="0">
      <text>
        <r>
          <rPr>
            <b/>
            <sz val="9"/>
            <color indexed="81"/>
            <rFont val="Tahoma"/>
            <family val="2"/>
          </rPr>
          <t>Windows User:</t>
        </r>
        <r>
          <rPr>
            <sz val="9"/>
            <color indexed="81"/>
            <rFont val="Tahoma"/>
            <family val="2"/>
          </rPr>
          <t xml:space="preserve">
- Bậc 1: 5.007.600đ từ 01/9/2022
- Bậc 2: 5.257.980 từ 01/9/2023 (NL trước hạn)</t>
        </r>
      </text>
    </comment>
    <comment ref="H33" authorId="1" shapeId="0">
      <text>
        <r>
          <rPr>
            <b/>
            <sz val="9"/>
            <color indexed="81"/>
            <rFont val="Tahoma"/>
            <family val="2"/>
          </rPr>
          <t>Admin:</t>
        </r>
        <r>
          <rPr>
            <sz val="9"/>
            <color indexed="81"/>
            <rFont val="Tahoma"/>
            <family val="2"/>
          </rPr>
          <t xml:space="preserve">
- HS 1.86 từ 01/06/2016
- HS 2,41 từ 01/6/2019</t>
        </r>
      </text>
    </comment>
    <comment ref="I33"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4" authorId="4" shapeId="0">
      <text>
        <r>
          <rPr>
            <b/>
            <sz val="8"/>
            <color indexed="81"/>
            <rFont val="Tahoma"/>
            <family val="2"/>
          </rPr>
          <t>admin:</t>
        </r>
        <r>
          <rPr>
            <sz val="8"/>
            <color indexed="81"/>
            <rFont val="Tahoma"/>
            <family val="2"/>
          </rPr>
          <t xml:space="preserve">
+ HĐ LẦn đầu từ 01/04/2014 (HS 2,34)
+ HS 2,67 từ 01/4/2017</t>
        </r>
      </text>
    </comment>
    <comment ref="I34"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5" authorId="1" shapeId="0">
      <text>
        <r>
          <rPr>
            <b/>
            <sz val="9"/>
            <color indexed="81"/>
            <rFont val="Tahoma"/>
            <family val="2"/>
          </rPr>
          <t>Admin:</t>
        </r>
        <r>
          <rPr>
            <sz val="9"/>
            <color indexed="81"/>
            <rFont val="Tahoma"/>
            <family val="2"/>
          </rPr>
          <t xml:space="preserve">
- Chuyển về khối chuyên nghiệp từ ngày 01/7/2017</t>
        </r>
      </text>
    </comment>
    <comment ref="H35" authorId="1" shapeId="0">
      <text>
        <r>
          <rPr>
            <b/>
            <sz val="9"/>
            <color indexed="81"/>
            <rFont val="Tahoma"/>
            <family val="2"/>
          </rPr>
          <t>Admin:</t>
        </r>
        <r>
          <rPr>
            <sz val="9"/>
            <color indexed="81"/>
            <rFont val="Tahoma"/>
            <family val="2"/>
          </rPr>
          <t xml:space="preserve">
+ HS 2.41 hưởng từ 01/01/2014
- HS 2,72 từ 01/01/2017</t>
        </r>
      </text>
    </comment>
    <comment ref="I35"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6" authorId="3"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6"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7" authorId="0" shapeId="0">
      <text>
        <r>
          <rPr>
            <b/>
            <sz val="9"/>
            <color indexed="81"/>
            <rFont val="Tahoma"/>
            <family val="2"/>
          </rPr>
          <t>Windows User:</t>
        </r>
        <r>
          <rPr>
            <sz val="9"/>
            <color indexed="81"/>
            <rFont val="Tahoma"/>
            <family val="2"/>
          </rPr>
          <t xml:space="preserve">
- 5,358,132 từ 01/11/2023</t>
        </r>
      </text>
    </comment>
    <comment ref="H38" authorId="3"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8"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S38" authorId="2" shapeId="0">
      <text>
        <r>
          <rPr>
            <b/>
            <sz val="8"/>
            <color indexed="81"/>
            <rFont val="Tahoma"/>
            <family val="2"/>
          </rPr>
          <t>user:</t>
        </r>
        <r>
          <rPr>
            <sz val="8"/>
            <color indexed="81"/>
            <rFont val="Tahoma"/>
            <family val="2"/>
          </rPr>
          <t xml:space="preserve">
Tham gia BHTN từ 01/09/2013</t>
        </r>
      </text>
    </comment>
    <comment ref="H39" authorId="3"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39"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0" authorId="0" shapeId="0">
      <text>
        <r>
          <rPr>
            <b/>
            <sz val="9"/>
            <color indexed="81"/>
            <rFont val="Tahoma"/>
            <family val="2"/>
          </rPr>
          <t>Windows User:</t>
        </r>
        <r>
          <rPr>
            <sz val="9"/>
            <color indexed="81"/>
            <rFont val="Tahoma"/>
            <family val="2"/>
          </rPr>
          <t xml:space="preserve">
- 5.733.201 từ 01/11/2023</t>
        </r>
      </text>
    </comment>
    <comment ref="H41" authorId="1" shapeId="0">
      <text>
        <r>
          <rPr>
            <b/>
            <sz val="9"/>
            <color indexed="81"/>
            <rFont val="Tahoma"/>
            <family val="2"/>
          </rPr>
          <t>Admin:</t>
        </r>
        <r>
          <rPr>
            <sz val="9"/>
            <color indexed="81"/>
            <rFont val="Tahoma"/>
            <family val="2"/>
          </rPr>
          <t xml:space="preserve">
- HĐLđ từ 01/03/2017
- 1,50 từ 01/03/2017</t>
        </r>
      </text>
    </comment>
    <comment ref="I41"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2" authorId="2" shapeId="0">
      <text>
        <r>
          <rPr>
            <b/>
            <sz val="9"/>
            <color indexed="81"/>
            <rFont val="Tahoma"/>
            <family val="2"/>
          </rPr>
          <t>user:</t>
        </r>
        <r>
          <rPr>
            <sz val="9"/>
            <color indexed="81"/>
            <rFont val="Tahoma"/>
            <family val="2"/>
          </rPr>
          <t xml:space="preserve">
- 4.729.400 từ 01/07/2022
- 5.257.980 từ 01/07/2024</t>
        </r>
      </text>
    </comment>
    <comment ref="H43" authorId="4" shapeId="0">
      <text>
        <r>
          <rPr>
            <b/>
            <sz val="8"/>
            <color indexed="81"/>
            <rFont val="Tahoma"/>
            <family val="2"/>
          </rPr>
          <t>admin:</t>
        </r>
        <r>
          <rPr>
            <sz val="8"/>
            <color indexed="81"/>
            <rFont val="Tahoma"/>
            <family val="2"/>
          </rPr>
          <t xml:space="preserve">
HĐ Lần đầu từ 01/06/2014 (HS 2,34)
+ HS 2,67 từ 01/06/2017</t>
        </r>
      </text>
    </comment>
    <comment ref="I43"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4" authorId="0" shapeId="0">
      <text>
        <r>
          <rPr>
            <b/>
            <sz val="9"/>
            <color indexed="81"/>
            <rFont val="Tahoma"/>
            <family val="2"/>
          </rPr>
          <t>Windows User:</t>
        </r>
        <r>
          <rPr>
            <sz val="9"/>
            <color indexed="81"/>
            <rFont val="Tahoma"/>
            <family val="2"/>
          </rPr>
          <t xml:space="preserve">
- 5.007.600 lên 5.257.980 từ 01/12/2022
- 5.520.879 từ 01/12/2023 (Nâng lương trước hạn)</t>
        </r>
      </text>
    </comment>
    <comment ref="H45" authorId="4" shapeId="0">
      <text>
        <r>
          <rPr>
            <b/>
            <sz val="8"/>
            <color indexed="81"/>
            <rFont val="Tahoma"/>
            <family val="2"/>
          </rPr>
          <t>admin:</t>
        </r>
        <r>
          <rPr>
            <sz val="8"/>
            <color indexed="81"/>
            <rFont val="Tahoma"/>
            <family val="2"/>
          </rPr>
          <t xml:space="preserve">
HĐ Lần đầu 01/04/2014 (HS 2,34)
+ HS 2,67 từ 01/4/2017</t>
        </r>
      </text>
    </comment>
    <comment ref="I45" authorId="2" shapeId="0">
      <text>
        <r>
          <rPr>
            <b/>
            <sz val="9"/>
            <color indexed="81"/>
            <rFont val="Tahoma"/>
            <family val="2"/>
          </rPr>
          <t>user:</t>
        </r>
        <r>
          <rPr>
            <sz val="9"/>
            <color indexed="81"/>
            <rFont val="Tahoma"/>
            <family val="2"/>
          </rPr>
          <t xml:space="preserve">
- NL: 01/4/2017
- 6.563.942 mốc nâng lương từ 01/04/2023</t>
        </r>
      </text>
    </comment>
    <comment ref="J46" authorId="2" shapeId="0">
      <text>
        <r>
          <rPr>
            <b/>
            <sz val="9"/>
            <color indexed="81"/>
            <rFont val="Tahoma"/>
            <family val="2"/>
          </rPr>
          <t>user:</t>
        </r>
        <r>
          <rPr>
            <sz val="9"/>
            <color indexed="81"/>
            <rFont val="Tahoma"/>
            <family val="2"/>
          </rPr>
          <t xml:space="preserve">
- 8% từ 01/11/2020
- 9% từ 01/11/2021
- 10% từ 01/11/2022
- 11% từ 01/11/2023</t>
        </r>
      </text>
    </comment>
    <comment ref="K46" authorId="2" shapeId="0">
      <text>
        <r>
          <rPr>
            <b/>
            <sz val="9"/>
            <color indexed="81"/>
            <rFont val="Tahoma"/>
            <family val="2"/>
          </rPr>
          <t>user:</t>
        </r>
        <r>
          <rPr>
            <sz val="9"/>
            <color indexed="81"/>
            <rFont val="Tahoma"/>
            <family val="2"/>
          </rPr>
          <t xml:space="preserve">
- NL: 01/11/2017</t>
        </r>
      </text>
    </comment>
    <comment ref="I47" authorId="0" shapeId="0">
      <text>
        <r>
          <rPr>
            <b/>
            <sz val="9"/>
            <color indexed="81"/>
            <rFont val="Tahoma"/>
            <family val="2"/>
          </rPr>
          <t>Windows User:</t>
        </r>
        <r>
          <rPr>
            <sz val="9"/>
            <color indexed="81"/>
            <rFont val="Tahoma"/>
            <family val="2"/>
          </rPr>
          <t xml:space="preserve">
- 6.086.769 từ ngày 01/7/2023</t>
        </r>
      </text>
    </comment>
    <comment ref="I48" authorId="0" shapeId="0">
      <text>
        <r>
          <rPr>
            <b/>
            <sz val="9"/>
            <color indexed="81"/>
            <rFont val="Tahoma"/>
            <family val="2"/>
          </rPr>
          <t>Windows User:</t>
        </r>
        <r>
          <rPr>
            <sz val="9"/>
            <color indexed="81"/>
            <rFont val="Tahoma"/>
            <family val="2"/>
          </rPr>
          <t xml:space="preserve">
- 5.007.600 từ ngày 01/10/2023
</t>
        </r>
      </text>
    </comment>
    <comment ref="I49"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 ref="H52" authorId="3" shapeId="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52" authorId="2" shapeId="0">
      <text>
        <r>
          <rPr>
            <b/>
            <sz val="9"/>
            <color indexed="81"/>
            <rFont val="Tahoma"/>
            <family val="2"/>
          </rPr>
          <t>user:</t>
        </r>
        <r>
          <rPr>
            <sz val="9"/>
            <color indexed="81"/>
            <rFont val="Tahoma"/>
            <family val="2"/>
          </rPr>
          <t xml:space="preserve">
- NL: 01/01/2020
- 5.923.223 lên 6.219.384 từ 01/01/2022
- 6.914.491 từ 01/01/2024</t>
        </r>
      </text>
    </comment>
    <comment ref="S52" authorId="2" shapeId="0">
      <text>
        <r>
          <rPr>
            <b/>
            <sz val="8"/>
            <color indexed="81"/>
            <rFont val="Tahoma"/>
            <family val="2"/>
          </rPr>
          <t>user:</t>
        </r>
        <r>
          <rPr>
            <sz val="8"/>
            <color indexed="81"/>
            <rFont val="Tahoma"/>
            <family val="2"/>
          </rPr>
          <t xml:space="preserve">
Tham gia BHTN từ 01/09/2013</t>
        </r>
      </text>
    </comment>
    <comment ref="I53"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I54"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H55" authorId="1" shapeId="0">
      <text>
        <r>
          <rPr>
            <b/>
            <sz val="9"/>
            <color indexed="81"/>
            <rFont val="Tahoma"/>
            <family val="2"/>
          </rPr>
          <t>Admin:</t>
        </r>
        <r>
          <rPr>
            <sz val="9"/>
            <color indexed="81"/>
            <rFont val="Tahoma"/>
            <family val="2"/>
          </rPr>
          <t xml:space="preserve">
- HS 1,50 từ 01/6/2018</t>
        </r>
      </text>
    </comment>
    <comment ref="I55" authorId="2" shapeId="0">
      <text>
        <r>
          <rPr>
            <b/>
            <sz val="9"/>
            <color indexed="81"/>
            <rFont val="Tahoma"/>
            <family val="2"/>
          </rPr>
          <t>user:</t>
        </r>
        <r>
          <rPr>
            <sz val="9"/>
            <color indexed="81"/>
            <rFont val="Tahoma"/>
            <family val="2"/>
          </rPr>
          <t xml:space="preserve">
- NL: 01/01/2020
- 5.159.700 từ 01/01/2024</t>
        </r>
      </text>
    </comment>
    <comment ref="I56" authorId="2" shapeId="0">
      <text>
        <r>
          <rPr>
            <b/>
            <sz val="9"/>
            <color indexed="81"/>
            <rFont val="Tahoma"/>
            <family val="2"/>
          </rPr>
          <t>user:</t>
        </r>
        <r>
          <rPr>
            <sz val="9"/>
            <color indexed="81"/>
            <rFont val="Tahoma"/>
            <family val="2"/>
          </rPr>
          <t xml:space="preserve">
- 6,987,478 từ 01/7/2021</t>
        </r>
      </text>
    </comment>
    <comment ref="J56" authorId="0" shapeId="0">
      <text>
        <r>
          <rPr>
            <b/>
            <sz val="9"/>
            <color indexed="81"/>
            <rFont val="Tahoma"/>
            <family val="2"/>
          </rPr>
          <t>Windows User:</t>
        </r>
        <r>
          <rPr>
            <sz val="9"/>
            <color indexed="81"/>
            <rFont val="Tahoma"/>
            <family val="2"/>
          </rPr>
          <t xml:space="preserve">
- VK 6% từ 01/7/2024</t>
        </r>
      </text>
    </comment>
    <comment ref="I57" authorId="2" shapeId="0">
      <text>
        <r>
          <rPr>
            <b/>
            <sz val="9"/>
            <color indexed="81"/>
            <rFont val="Tahoma"/>
            <family val="2"/>
          </rPr>
          <t>user:</t>
        </r>
        <r>
          <rPr>
            <sz val="9"/>
            <color indexed="81"/>
            <rFont val="Tahoma"/>
            <family val="2"/>
          </rPr>
          <t xml:space="preserve">
- NL: 01/01/2020
- 6.219.384 lên 6.530.353 từ 01/01/2022
7.260.216 từ 01/01/2024</t>
        </r>
      </text>
    </comment>
    <comment ref="I58" authorId="2"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59" authorId="2"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I60" authorId="0" shapeId="0">
      <text>
        <r>
          <rPr>
            <b/>
            <sz val="9"/>
            <color indexed="81"/>
            <rFont val="Tahoma"/>
            <family val="2"/>
          </rPr>
          <t>Windows User:</t>
        </r>
        <r>
          <rPr>
            <sz val="9"/>
            <color indexed="81"/>
            <rFont val="Tahoma"/>
            <family val="2"/>
          </rPr>
          <t xml:space="preserve">
- 5.733.201 từ ngày 01/12/2023</t>
        </r>
      </text>
    </comment>
    <comment ref="I62" authorId="0" shapeId="0">
      <text>
        <r>
          <rPr>
            <b/>
            <sz val="9"/>
            <color indexed="81"/>
            <rFont val="Tahoma"/>
            <family val="2"/>
          </rPr>
          <t>Windows User:</t>
        </r>
        <r>
          <rPr>
            <sz val="9"/>
            <color indexed="81"/>
            <rFont val="Tahoma"/>
            <family val="2"/>
          </rPr>
          <t xml:space="preserve">
- 4.680.000 từ 01/9/2023</t>
        </r>
      </text>
    </comment>
    <comment ref="I63" authorId="2" shapeId="0">
      <text>
        <r>
          <rPr>
            <b/>
            <sz val="9"/>
            <color indexed="81"/>
            <rFont val="Tahoma"/>
            <family val="2"/>
          </rPr>
          <t>user:</t>
        </r>
        <r>
          <rPr>
            <sz val="9"/>
            <color indexed="81"/>
            <rFont val="Tahoma"/>
            <family val="2"/>
          </rPr>
          <t xml:space="preserve">
- HĐ từ 01/07/2020 (bậc 2)
- 5.417.685 từ 01/7/2024</t>
        </r>
      </text>
    </comment>
    <comment ref="I64" authorId="2" shapeId="0">
      <text>
        <r>
          <rPr>
            <b/>
            <sz val="9"/>
            <color indexed="81"/>
            <rFont val="Tahoma"/>
            <family val="2"/>
          </rPr>
          <t>user:</t>
        </r>
        <r>
          <rPr>
            <sz val="9"/>
            <color indexed="81"/>
            <rFont val="Tahoma"/>
            <family val="2"/>
          </rPr>
          <t xml:space="preserve">
- 4.729.400 từ 01/7/2020
- 5.520.879 từ 01/7/2024</t>
        </r>
      </text>
    </comment>
    <comment ref="H65" authorId="3"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65" authorId="2"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66"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67" authorId="2" shapeId="0">
      <text>
        <r>
          <rPr>
            <b/>
            <sz val="9"/>
            <color indexed="81"/>
            <rFont val="Tahoma"/>
            <family val="2"/>
          </rPr>
          <t>user:</t>
        </r>
        <r>
          <rPr>
            <sz val="9"/>
            <color indexed="81"/>
            <rFont val="Tahoma"/>
            <family val="2"/>
          </rPr>
          <t xml:space="preserve">
- NL: 01/7/2019
- 7.199.714 từ 01/7/2021
- 8.004.388 từ 01/7/2023</t>
        </r>
      </text>
    </comment>
    <comment ref="I68" authorId="2" shapeId="0">
      <text>
        <r>
          <rPr>
            <b/>
            <sz val="9"/>
            <color indexed="81"/>
            <rFont val="Tahoma"/>
            <family val="2"/>
          </rPr>
          <t>user:</t>
        </r>
        <r>
          <rPr>
            <sz val="9"/>
            <color indexed="81"/>
            <rFont val="Tahoma"/>
            <family val="2"/>
          </rPr>
          <t xml:space="preserve">
- NL: 01/01/2020
- 4.420.000 lên 4.641.000 từ 01/01/2022
- 5.159.700 từ 01/01/2024</t>
        </r>
      </text>
    </comment>
    <comment ref="I69" authorId="2" shapeId="0">
      <text>
        <r>
          <rPr>
            <b/>
            <sz val="9"/>
            <color indexed="81"/>
            <rFont val="Tahoma"/>
            <family val="2"/>
          </rPr>
          <t>user:</t>
        </r>
        <r>
          <rPr>
            <sz val="9"/>
            <color indexed="81"/>
            <rFont val="Tahoma"/>
            <family val="2"/>
          </rPr>
          <t xml:space="preserve">
- HĐ Từ 01/06/2020
- 4.420.000 lên 4.641.000 từ 01/06/2022
- 4.914.000 lên 5.159.700 từ 01/06/2024</t>
        </r>
      </text>
    </comment>
    <comment ref="I71" authorId="0" shapeId="0">
      <text>
        <r>
          <rPr>
            <b/>
            <sz val="9"/>
            <color indexed="81"/>
            <rFont val="Tahoma"/>
            <family val="2"/>
          </rPr>
          <t>Windows User:</t>
        </r>
        <r>
          <rPr>
            <sz val="9"/>
            <color indexed="81"/>
            <rFont val="Tahoma"/>
            <family val="2"/>
          </rPr>
          <t xml:space="preserve">
- NL: Từ 4.680.000 lên 4.914.000 từ 01/11/2022</t>
        </r>
      </text>
    </comment>
    <comment ref="I72" authorId="0" shapeId="0">
      <text>
        <r>
          <rPr>
            <b/>
            <sz val="9"/>
            <color indexed="81"/>
            <rFont val="Tahoma"/>
            <family val="2"/>
          </rPr>
          <t>Windows User:</t>
        </r>
        <r>
          <rPr>
            <sz val="9"/>
            <color indexed="81"/>
            <rFont val="Tahoma"/>
            <family val="2"/>
          </rPr>
          <t xml:space="preserve">
- 4.680.000 từ 01/5/2022
- 4.914.000 từ 01/5/2024</t>
        </r>
      </text>
    </comment>
    <comment ref="I73" authorId="0" shapeId="0">
      <text>
        <r>
          <rPr>
            <b/>
            <sz val="9"/>
            <color indexed="81"/>
            <rFont val="Tahoma"/>
            <family val="2"/>
          </rPr>
          <t>Windows User:</t>
        </r>
        <r>
          <rPr>
            <sz val="9"/>
            <color indexed="81"/>
            <rFont val="Tahoma"/>
            <family val="2"/>
          </rPr>
          <t xml:space="preserve">
- 4.680.000 từ 01/02/2023</t>
        </r>
      </text>
    </comment>
    <comment ref="I74" authorId="2" shapeId="0">
      <text>
        <r>
          <rPr>
            <b/>
            <sz val="9"/>
            <color indexed="81"/>
            <rFont val="Tahoma"/>
            <family val="2"/>
          </rPr>
          <t>user:</t>
        </r>
        <r>
          <rPr>
            <sz val="9"/>
            <color indexed="81"/>
            <rFont val="Tahoma"/>
            <family val="2"/>
          </rPr>
          <t xml:space="preserve">
- HĐLĐ từ 01/4/2021: 4.420.000đ
- NL: 4.914.000 từ 01/4/2023</t>
        </r>
      </text>
    </comment>
    <comment ref="I75" authorId="2" shapeId="0">
      <text>
        <r>
          <rPr>
            <b/>
            <sz val="9"/>
            <color indexed="81"/>
            <rFont val="Tahoma"/>
            <family val="2"/>
          </rPr>
          <t>user:</t>
        </r>
        <r>
          <rPr>
            <sz val="9"/>
            <color indexed="81"/>
            <rFont val="Tahoma"/>
            <family val="2"/>
          </rPr>
          <t xml:space="preserve">
- HĐ từ 01/4/2021
- NL 4.914.000 từ 01/4/2023</t>
        </r>
      </text>
    </comment>
    <comment ref="B76" authorId="0" shapeId="0">
      <text>
        <r>
          <rPr>
            <b/>
            <sz val="9"/>
            <color indexed="81"/>
            <rFont val="Tahoma"/>
            <family val="2"/>
          </rPr>
          <t>Windows User:</t>
        </r>
        <r>
          <rPr>
            <sz val="9"/>
            <color indexed="81"/>
            <rFont val="Tahoma"/>
            <family val="2"/>
          </rPr>
          <t xml:space="preserve">
HĐTV từ 22/4 đến 304/2024.
- HĐLĐ từ 01/5/2024</t>
        </r>
      </text>
    </comment>
    <comment ref="I76" authorId="0" shapeId="0">
      <text>
        <r>
          <rPr>
            <b/>
            <sz val="9"/>
            <color indexed="81"/>
            <rFont val="Tahoma"/>
            <family val="2"/>
          </rPr>
          <t>Windows User:</t>
        </r>
        <r>
          <rPr>
            <sz val="9"/>
            <color indexed="81"/>
            <rFont val="Tahoma"/>
            <family val="2"/>
          </rPr>
          <t xml:space="preserve">
- 5.007.600 từ 01/01/2024</t>
        </r>
      </text>
    </comment>
    <comment ref="I77" authorId="2" shapeId="0">
      <text>
        <r>
          <rPr>
            <b/>
            <sz val="9"/>
            <color indexed="81"/>
            <rFont val="Tahoma"/>
            <family val="2"/>
          </rPr>
          <t>user:</t>
        </r>
        <r>
          <rPr>
            <sz val="9"/>
            <color indexed="81"/>
            <rFont val="Tahoma"/>
            <family val="2"/>
          </rPr>
          <t xml:space="preserve">
- NL: 01/01/2020
- 6.036.046 lên 6.337.848 từ 01/01/2022
- 7.046.196 từ 01/01/2024</t>
        </r>
      </text>
    </comment>
    <comment ref="I78" authorId="0" shapeId="0">
      <text>
        <r>
          <rPr>
            <b/>
            <sz val="9"/>
            <color indexed="81"/>
            <rFont val="Tahoma"/>
            <family val="2"/>
          </rPr>
          <t>Windows User:</t>
        </r>
        <r>
          <rPr>
            <sz val="9"/>
            <color indexed="81"/>
            <rFont val="Tahoma"/>
            <family val="2"/>
          </rPr>
          <t xml:space="preserve">
- 5.007.600 từ 01/7/2024</t>
        </r>
      </text>
    </comment>
    <comment ref="I79" authorId="0" shapeId="0">
      <text>
        <r>
          <rPr>
            <b/>
            <sz val="9"/>
            <color indexed="81"/>
            <rFont val="Tahoma"/>
            <family val="2"/>
          </rPr>
          <t>Windows User:</t>
        </r>
        <r>
          <rPr>
            <sz val="9"/>
            <color indexed="81"/>
            <rFont val="Tahoma"/>
            <family val="2"/>
          </rPr>
          <t xml:space="preserve">
- HĐLĐ từ 01/8/2024</t>
        </r>
      </text>
    </comment>
  </commentList>
</comments>
</file>

<file path=xl/sharedStrings.xml><?xml version="1.0" encoding="utf-8"?>
<sst xmlns="http://schemas.openxmlformats.org/spreadsheetml/2006/main" count="1893" uniqueCount="551">
  <si>
    <t xml:space="preserve">Độc lập - Tự do - Hạnh phúc </t>
  </si>
  <si>
    <t>Đơn vị tính: đồng</t>
  </si>
  <si>
    <t>TT</t>
  </si>
  <si>
    <t>Họ và tên</t>
  </si>
  <si>
    <t xml:space="preserve">Công việc </t>
  </si>
  <si>
    <t>Ký nhận</t>
  </si>
  <si>
    <t>TẤN</t>
  </si>
  <si>
    <t>DŨNG</t>
  </si>
  <si>
    <t>NV Phục vụ</t>
  </si>
  <si>
    <t>TRANG</t>
  </si>
  <si>
    <t xml:space="preserve">NV Thư viện  </t>
  </si>
  <si>
    <t xml:space="preserve">CỘNG </t>
  </si>
  <si>
    <t>Bằng chữ:</t>
  </si>
  <si>
    <t>NGƯỜI LẬP BẢNG</t>
  </si>
  <si>
    <t xml:space="preserve">HIỆU TRƯỞNG </t>
  </si>
  <si>
    <t xml:space="preserve">Số tài khoản </t>
  </si>
  <si>
    <t>Mở tại: Kho bạc nhà nước Tân Bình</t>
  </si>
  <si>
    <t>061.19.00.00001</t>
  </si>
  <si>
    <t xml:space="preserve">CỘNG HOÀ XÃ HỘI CHỦ NGHĨA VIỆT NAM </t>
  </si>
  <si>
    <t>Độc lập - Tự do - Hạnh phúc</t>
  </si>
  <si>
    <t xml:space="preserve">Họ và </t>
  </si>
  <si>
    <t>Tên</t>
  </si>
  <si>
    <t xml:space="preserve">Ký nhận </t>
  </si>
  <si>
    <t>TUYẾT</t>
  </si>
  <si>
    <t>10</t>
  </si>
  <si>
    <t>11</t>
  </si>
  <si>
    <t>12</t>
  </si>
  <si>
    <t>14</t>
  </si>
  <si>
    <t>15</t>
  </si>
  <si>
    <t>16</t>
  </si>
  <si>
    <t>17</t>
  </si>
  <si>
    <t>13</t>
  </si>
  <si>
    <t>01</t>
  </si>
  <si>
    <t>02</t>
  </si>
  <si>
    <t>03</t>
  </si>
  <si>
    <t>04</t>
  </si>
  <si>
    <t>05</t>
  </si>
  <si>
    <t>06</t>
  </si>
  <si>
    <t>07</t>
  </si>
  <si>
    <t>08</t>
  </si>
  <si>
    <t>09</t>
  </si>
  <si>
    <t>STT</t>
  </si>
  <si>
    <t>(2)</t>
  </si>
  <si>
    <t>(3)</t>
  </si>
  <si>
    <t>(4)</t>
  </si>
  <si>
    <t>(7)</t>
  </si>
  <si>
    <t>(1)</t>
  </si>
  <si>
    <t>(6)</t>
  </si>
  <si>
    <t>Ghi chú</t>
  </si>
  <si>
    <t xml:space="preserve">TỔNG </t>
  </si>
  <si>
    <t xml:space="preserve">HỌ VÀ TÊN </t>
  </si>
  <si>
    <t>Công việc</t>
  </si>
  <si>
    <t>CỘNG HÒA XÃ HỘI CHỦ NGHĨA VIỆT NAM</t>
  </si>
  <si>
    <t xml:space="preserve"> STT</t>
  </si>
  <si>
    <t>Đơn vị</t>
  </si>
  <si>
    <t xml:space="preserve">NV Bảo vệ </t>
  </si>
  <si>
    <t xml:space="preserve">THẢO </t>
  </si>
  <si>
    <t xml:space="preserve">NGƯỜI LẬP BẢNG </t>
  </si>
  <si>
    <t xml:space="preserve">VŨ </t>
  </si>
  <si>
    <t>HĐ T10/08</t>
  </si>
  <si>
    <t>1% BHTN</t>
  </si>
  <si>
    <t>Lương Tháng 03</t>
  </si>
  <si>
    <t>Số tài khoản</t>
  </si>
  <si>
    <t xml:space="preserve">CHUNG </t>
  </si>
  <si>
    <t>HĐ T10/2009</t>
  </si>
  <si>
    <t xml:space="preserve">VÂN </t>
  </si>
  <si>
    <t>HIẾU</t>
  </si>
  <si>
    <t>Khấu trừ</t>
  </si>
  <si>
    <t>1,5%
BHYT</t>
  </si>
  <si>
    <t>NV bảo trì</t>
  </si>
  <si>
    <t>Lương chính</t>
  </si>
  <si>
    <t>Thành tiền (Hưởng 85% lương chính)</t>
  </si>
  <si>
    <t>HĐ T11/2010</t>
  </si>
  <si>
    <t>NV Kế toán</t>
  </si>
  <si>
    <t>(5)</t>
  </si>
  <si>
    <t>(8)</t>
  </si>
  <si>
    <t>(9)</t>
  </si>
  <si>
    <t>26 nữ</t>
  </si>
  <si>
    <t>ỦY BAN NHÂN DÂN TP. HỒ CHÍ MINH</t>
  </si>
  <si>
    <t xml:space="preserve">ỦY BAN NHÂN DÂN TP. HỒ CHÍ MINH </t>
  </si>
  <si>
    <t>HIỆU TRƯỞNG</t>
  </si>
  <si>
    <t>LỢI</t>
  </si>
  <si>
    <t>NHI</t>
  </si>
  <si>
    <t>Hợp đồng từ 01/9/2012</t>
  </si>
  <si>
    <t>Hệ số</t>
  </si>
  <si>
    <t>Hợp đồng từ 01/11/2012</t>
  </si>
  <si>
    <t xml:space="preserve">    </t>
  </si>
  <si>
    <t>NHUNG</t>
  </si>
  <si>
    <t>18</t>
  </si>
  <si>
    <t>19</t>
  </si>
  <si>
    <t>20</t>
  </si>
  <si>
    <t>21</t>
  </si>
  <si>
    <t>22</t>
  </si>
  <si>
    <t>23</t>
  </si>
  <si>
    <t>24</t>
  </si>
  <si>
    <t>25</t>
  </si>
  <si>
    <t>26</t>
  </si>
  <si>
    <t>27</t>
  </si>
  <si>
    <t>28</t>
  </si>
  <si>
    <t>29</t>
  </si>
  <si>
    <t>30</t>
  </si>
  <si>
    <t>31</t>
  </si>
  <si>
    <t>32</t>
  </si>
  <si>
    <t>33</t>
  </si>
  <si>
    <t>34</t>
  </si>
  <si>
    <t>Hợp đồng từ 01/6/2012, Trích 1% BHTN T6/2013</t>
  </si>
  <si>
    <t>Hợp đồng từ 12/2011, Trích 1% BHTN T6/2013</t>
  </si>
  <si>
    <t>Hợp đồng từ 01/12/2011, Trích 1% BHTN T6/2013</t>
  </si>
  <si>
    <t>Hợp đồng từ 01/01/2012, Trích 1% BHTN T6/2013</t>
  </si>
  <si>
    <t>THỦY</t>
  </si>
  <si>
    <t>HĐ từ tháng 07/2013, lập bảng TL riêng, nhập BL T8</t>
  </si>
  <si>
    <t>Tham gia BHTN từ 01/09/2013</t>
  </si>
  <si>
    <t xml:space="preserve">Tham gia BHTN từ 01/09/2013. </t>
  </si>
  <si>
    <t>8% BHXH</t>
  </si>
  <si>
    <t>HẬU</t>
  </si>
  <si>
    <t>HĐ Lần đầu từ 01/04/2014</t>
  </si>
  <si>
    <t>HĐ Lần đầu từ 01/06/2014</t>
  </si>
  <si>
    <t>HOÀNG</t>
  </si>
  <si>
    <t xml:space="preserve">Hợp đồng từ 01/9/2014, </t>
  </si>
  <si>
    <t>Phạm Hữu Lộc</t>
  </si>
  <si>
    <t>NV P. QT 
Dịch vụ</t>
  </si>
  <si>
    <t xml:space="preserve">      Bằng chữ:</t>
  </si>
  <si>
    <t>Nguyễn Kính</t>
  </si>
  <si>
    <t>TIẾN</t>
  </si>
  <si>
    <t>TRIẾT</t>
  </si>
  <si>
    <t>Hợp đồng từ 01/6/2016</t>
  </si>
  <si>
    <t>Hợp đồng từ 01/06/2016</t>
  </si>
  <si>
    <t>Huỳnh Bá Triết</t>
  </si>
  <si>
    <t>Nguyễn Việt Tiến</t>
  </si>
  <si>
    <t>Mã số ngạch lương</t>
  </si>
  <si>
    <t xml:space="preserve">Nguyễn Trung Dũng </t>
  </si>
  <si>
    <t>Đồng Anh Tuấn</t>
  </si>
  <si>
    <t xml:space="preserve">Tạ Quốc Tấn </t>
  </si>
  <si>
    <t>Trần Thị Thảo Vân</t>
  </si>
  <si>
    <t>Nguyễn Thị Thảo</t>
  </si>
  <si>
    <t>Dương Thị Thủy</t>
  </si>
  <si>
    <t>Lê Tiến Dũng</t>
  </si>
  <si>
    <t>Nguyễn Yến Nhi</t>
  </si>
  <si>
    <t>Huỳnh Văn Hiếu</t>
  </si>
  <si>
    <t>Nguyễn Xuân Lợi</t>
  </si>
  <si>
    <t>Trịnh Tuấn Vũ</t>
  </si>
  <si>
    <t>Nguyễn Thị Nhung</t>
  </si>
  <si>
    <t>Hà Thị Hậu</t>
  </si>
  <si>
    <t>Nguyễn Thị Trang</t>
  </si>
  <si>
    <t>Võ Thị Tuyết</t>
  </si>
  <si>
    <t xml:space="preserve">Phạm Huy Hoàng </t>
  </si>
  <si>
    <t>Sỹ Thị Chung</t>
  </si>
  <si>
    <t>Nghỉ việc không được hưởng lương</t>
  </si>
  <si>
    <t>BHXH trả thay lương</t>
  </si>
  <si>
    <t>Tổng cộng tiền lương và BHXH được hưởng</t>
  </si>
  <si>
    <t>Thuế thu nhập</t>
  </si>
  <si>
    <t>Cộng</t>
  </si>
  <si>
    <t>Lương Hệ số</t>
  </si>
  <si>
    <t>Tổng số tiền lương còn được nhận</t>
  </si>
  <si>
    <t>A</t>
  </si>
  <si>
    <t>B</t>
  </si>
  <si>
    <t>C</t>
  </si>
  <si>
    <t>D</t>
  </si>
  <si>
    <t>(10)</t>
  </si>
  <si>
    <t>(11)</t>
  </si>
  <si>
    <t>(13)</t>
  </si>
  <si>
    <t>(14)</t>
  </si>
  <si>
    <t>(15)</t>
  </si>
  <si>
    <t>Nguyễn Thị Tất</t>
  </si>
  <si>
    <t>DANH SÁCH NHÂN VIÊN Y TẾ HĐ NGOÀI  CHỈ TIÊU BIÊN CHẾ</t>
  </si>
  <si>
    <t>Đỗ Công Thành</t>
  </si>
  <si>
    <t>NV Sửa chữa</t>
  </si>
  <si>
    <t xml:space="preserve">PC độc hại </t>
  </si>
  <si>
    <t>PC Trách nhiệm</t>
  </si>
  <si>
    <t>Thành tiền</t>
  </si>
  <si>
    <t>(16)</t>
  </si>
  <si>
    <t>(E)</t>
  </si>
  <si>
    <t>NV Phòng Công tác Chính trị - HSSV</t>
  </si>
  <si>
    <t>Nguyễn Thị Thanh Hòa</t>
  </si>
  <si>
    <t xml:space="preserve">Hợp đồng từ 01/11/2016, </t>
  </si>
  <si>
    <t>(7) = (4) - (5) + (6)</t>
  </si>
  <si>
    <t>(12)=(8)+(9)+(10)+(11)</t>
  </si>
  <si>
    <t>(17)=(7)-(12)+(14)+(16)</t>
  </si>
  <si>
    <t>PCTN</t>
  </si>
  <si>
    <t>Số tiền</t>
  </si>
  <si>
    <t xml:space="preserve"> </t>
  </si>
  <si>
    <t>Phạm Huỳnh Kim Ngân</t>
  </si>
  <si>
    <t>KẾ TOÁN TRƯỞNG</t>
  </si>
  <si>
    <t>Hợp đồng từ 01/03/2017</t>
  </si>
  <si>
    <t>TRƯỜNG CAO ĐẲNG LÝ TỰ TRỌNG TP. HCM</t>
  </si>
  <si>
    <t>TRƯỜNG CAO ĐẲNG LÝ TỰ TRỌNG TP.HCM</t>
  </si>
  <si>
    <t xml:space="preserve">TRƯỜNG CAO ĐẲNG LÝ TỰ TRỌNG TP.HCM </t>
  </si>
  <si>
    <t>NV Phòng Tuyển sinh - Đào tạo</t>
  </si>
  <si>
    <t>Nhân viên phòng Khảo thí và KĐCL</t>
  </si>
  <si>
    <t>NV Phòng KHCN &amp; HTQT</t>
  </si>
  <si>
    <t>DANH SÁCH NHÂN VIÊN HĐ NGOÀI  CHỈ TIÊU BIÊN CHẾ</t>
  </si>
  <si>
    <t>Lê Hồng Sơn</t>
  </si>
  <si>
    <t>BẢNG KÊ ĐÓNG BHXH - BHYT - BHTN</t>
  </si>
  <si>
    <t>Mục</t>
  </si>
  <si>
    <t>Diễn giải</t>
  </si>
  <si>
    <t>Tổng quỹ lương</t>
  </si>
  <si>
    <t>25,5% BHXH</t>
  </si>
  <si>
    <t>4.5% BHYT</t>
  </si>
  <si>
    <t>2% BHTN</t>
  </si>
  <si>
    <t>NỘP 32%</t>
  </si>
  <si>
    <t xml:space="preserve">Bằng chữ: </t>
  </si>
  <si>
    <t>NGƯỜI LẬP BIỂU</t>
  </si>
  <si>
    <t>0016100006499001</t>
  </si>
  <si>
    <t>0016100006707003</t>
  </si>
  <si>
    <t>0016100006671009</t>
  </si>
  <si>
    <t>0016100006665009</t>
  </si>
  <si>
    <t>0016100006506008</t>
  </si>
  <si>
    <t>0016100006659009</t>
  </si>
  <si>
    <t>0016100006598007</t>
  </si>
  <si>
    <t>0016100006494007</t>
  </si>
  <si>
    <t>0016100006656007</t>
  </si>
  <si>
    <t>0016100006653008</t>
  </si>
  <si>
    <t>0016100006545003</t>
  </si>
  <si>
    <t>0016100006703008</t>
  </si>
  <si>
    <t>0016100006710004</t>
  </si>
  <si>
    <t>0016100006712007</t>
  </si>
  <si>
    <t>0016100006782005</t>
  </si>
  <si>
    <t>0016100006600004</t>
  </si>
  <si>
    <t>0016100006502002</t>
  </si>
  <si>
    <t>0016100006560002</t>
  </si>
  <si>
    <t>0016100006713003</t>
  </si>
  <si>
    <t>0016100006522003</t>
  </si>
  <si>
    <t>0016100006525002</t>
  </si>
  <si>
    <t>0016100006520008</t>
  </si>
  <si>
    <t>0016100006523007</t>
  </si>
  <si>
    <t>Vũ Như Quỳnh</t>
  </si>
  <si>
    <t>Nguyễn Thanh Hiền</t>
  </si>
  <si>
    <t>HĐLĐ từ 01/6/2018</t>
  </si>
  <si>
    <t>MÃ TÀI KHOẢN: 3714.0.1058083.00000</t>
  </si>
  <si>
    <t>Trần Thanh Phương</t>
  </si>
  <si>
    <t>HĐLĐ từ 01/11/2018</t>
  </si>
  <si>
    <t>HĐLĐ từ 01/11/2017</t>
  </si>
  <si>
    <t>023790728</t>
  </si>
  <si>
    <t>182546143</t>
  </si>
  <si>
    <t>025133779</t>
  </si>
  <si>
    <t>Số CMND</t>
  </si>
  <si>
    <t>040189001061</t>
  </si>
  <si>
    <t>052083000295</t>
  </si>
  <si>
    <t>020852722</t>
  </si>
  <si>
    <t>Nhân viên phòng Quản trị - Dịch vụ</t>
  </si>
  <si>
    <t>UBND THÀNH PHỐ HỒ CHÍ MINH</t>
  </si>
  <si>
    <t>HĐ ngoài chỉ tiêu biên chế 
(Nhân viên Y tế )</t>
  </si>
  <si>
    <t>D.01</t>
  </si>
  <si>
    <t>Phạm Hữu Tấn</t>
  </si>
  <si>
    <t>NV Phòng Tổ chức - Hành chính - Tổng hợp</t>
  </si>
  <si>
    <t>D.02</t>
  </si>
  <si>
    <t>D.03</t>
  </si>
  <si>
    <t>Nguyễn Thị Thu Trang</t>
  </si>
  <si>
    <t>Trần Thị Thu</t>
  </si>
  <si>
    <t>Nguyễn Hữu Xuân Vũ</t>
  </si>
  <si>
    <t>Lê Hồng Phúc</t>
  </si>
  <si>
    <t>Phạm Hữu Thành Phú</t>
  </si>
  <si>
    <t>Huỳnh Thanh Nhàn</t>
  </si>
  <si>
    <t>Đỗ Thị Bích Thủy</t>
  </si>
  <si>
    <t>Lê Thị Huyền</t>
  </si>
  <si>
    <t>NV TT Y tế</t>
  </si>
  <si>
    <t>Giáp Đức Nhận</t>
  </si>
  <si>
    <t>NV Phòng QT - DV</t>
  </si>
  <si>
    <t>35</t>
  </si>
  <si>
    <t>36</t>
  </si>
  <si>
    <t>37</t>
  </si>
  <si>
    <t>38</t>
  </si>
  <si>
    <t>39</t>
  </si>
  <si>
    <t>40</t>
  </si>
  <si>
    <t>41</t>
  </si>
  <si>
    <t>42</t>
  </si>
  <si>
    <t>% vượt khung</t>
  </si>
  <si>
    <t>Vượt khung</t>
  </si>
  <si>
    <t>(4) = (2) + (3)</t>
  </si>
  <si>
    <t>NV TT Lý Tự Trọng</t>
  </si>
  <si>
    <t>Bậc lương</t>
  </si>
  <si>
    <t>(16)=(7)-(12)+(14)+(15)</t>
  </si>
  <si>
    <t>PC Ưu đãi ngành</t>
  </si>
  <si>
    <t>PC</t>
  </si>
  <si>
    <t>NV phòng Quản trị - Dịch vụ</t>
  </si>
  <si>
    <t>* Lên lương theo thời hạn:</t>
  </si>
  <si>
    <t>Trần Kim Tươi</t>
  </si>
  <si>
    <t>NV Phòng Quản trị - Dịch vụ</t>
  </si>
  <si>
    <t>Hợp đồng từ 01/06/2020</t>
  </si>
  <si>
    <t>43</t>
  </si>
  <si>
    <t>Nguyễn Khắc Huân</t>
  </si>
  <si>
    <t>Khoa Động lực</t>
  </si>
  <si>
    <t>Ngạch</t>
  </si>
  <si>
    <t>Trần Anh Mỹ</t>
  </si>
  <si>
    <t>Hợp đồng từ 01/07/2020</t>
  </si>
  <si>
    <t>44</t>
  </si>
  <si>
    <t>Dương Văn Tâm</t>
  </si>
  <si>
    <t>NV Phòng Thanh tra giáo dục - Công tác SV</t>
  </si>
  <si>
    <t>45</t>
  </si>
  <si>
    <t>Huỳnh Ngọc Liên</t>
  </si>
  <si>
    <t>Nguyễn Thụy Nghiêm</t>
  </si>
  <si>
    <t>NV Thủ quỹ</t>
  </si>
  <si>
    <t>46</t>
  </si>
  <si>
    <t>47</t>
  </si>
  <si>
    <t>Bậc</t>
  </si>
  <si>
    <t xml:space="preserve">CỘNG HÒA XÃ HỘI CHỦ NGHĨA VIỆT NAM </t>
  </si>
  <si>
    <t xml:space="preserve">DANH SÁCH NHÂN VIÊN HỢP ĐỒNG NGẮN HẠN </t>
  </si>
  <si>
    <t xml:space="preserve">Vũ Như Quỳnh </t>
  </si>
  <si>
    <t>Số ngày làm việc</t>
  </si>
  <si>
    <t>Số tiền/1 ngày</t>
  </si>
  <si>
    <t>Hợp đồng từ 01/08/2020</t>
  </si>
  <si>
    <t>Lê Trần Thanh Nga</t>
  </si>
  <si>
    <t>Hợp đồng từ 01/11/2020</t>
  </si>
  <si>
    <t>Trương Thị Định</t>
  </si>
  <si>
    <t>NV Phục vụ - Phòng Quản trị - DV</t>
  </si>
  <si>
    <t>Trương Thị Bắc</t>
  </si>
  <si>
    <t>Phạm Quang Tùng</t>
  </si>
  <si>
    <t>NV Bảo vệ - Phòng TC - HC - TH</t>
  </si>
  <si>
    <t>HĐLĐ Từ 01/12/2020</t>
  </si>
  <si>
    <t>Lư Diễm Phúc</t>
  </si>
  <si>
    <t>NV Trung tâm Thư viện</t>
  </si>
  <si>
    <t>Bùi Đức Phước</t>
  </si>
  <si>
    <t>HĐLĐ từ 01/12/2020</t>
  </si>
  <si>
    <t>48</t>
  </si>
  <si>
    <t>HĐ Từ 01/11/2020.</t>
  </si>
  <si>
    <t xml:space="preserve">HĐ Từ 01/11/2020. </t>
  </si>
  <si>
    <t>Nhân viên phòng Tuyển sinh - Đào tạo</t>
  </si>
  <si>
    <t>Một triệu chín trăm ba mươi mốt ngàn năm trăm ba mươi tư đồng.</t>
  </si>
  <si>
    <t>Trần Việt Anh</t>
  </si>
  <si>
    <t>Võ Tấn Đức</t>
  </si>
  <si>
    <t>HĐLĐ từ 01/4/2021</t>
  </si>
  <si>
    <t>Ngô Ngọc Của</t>
  </si>
  <si>
    <t>0016100019341008</t>
  </si>
  <si>
    <t>0016100019390009</t>
  </si>
  <si>
    <t>0016100019340001</t>
  </si>
  <si>
    <t>0016100021970004</t>
  </si>
  <si>
    <t>NV Phòng Kế hoạch - Tài chính</t>
  </si>
  <si>
    <t>Huỳnh Như Ý</t>
  </si>
  <si>
    <t>HĐLĐ từ 01/5/2021</t>
  </si>
  <si>
    <t>Sáu triệu hai trăm năm mươi tư ngàn hai trăm sáu mươi mốt đồng.</t>
  </si>
  <si>
    <t>Hưởng chế độ hưu trí từ ngày 01/5/2021 (không trích đóng BHXH từ T5/21)</t>
  </si>
  <si>
    <t>0016100029431005</t>
  </si>
  <si>
    <t>023409104</t>
  </si>
  <si>
    <t>025401203</t>
  </si>
  <si>
    <t>0016100029434004</t>
  </si>
  <si>
    <t>026092004056</t>
  </si>
  <si>
    <t>0016100029432001</t>
  </si>
  <si>
    <t>0016100029435008</t>
  </si>
  <si>
    <t>(Theo HĐ số 19-1/HĐLĐ-LTT ngày 08/01/2021 
và phụ lục HĐLĐ số 678/PLHĐLĐ ngày 01/6/2021)</t>
  </si>
  <si>
    <t>HĐ từ 15/01/2021 đến 30/4/2021
Phụ lục HĐ gia hạn từ 3/5/21 đến hết 30/6/2021</t>
  </si>
  <si>
    <t>TP. Hồ Chí Minh, ngày  02  tháng 7 năm 2021</t>
  </si>
  <si>
    <t>LÃNH TIỀN  LƯƠNG KHOÁN THÁNG  06 NĂM 2021</t>
  </si>
  <si>
    <t>Bằng chữ: Sáu triệu hai trăm năm mươi ngàn đồng chẵn.</t>
  </si>
  <si>
    <t>Trần Văn Cu Anh</t>
  </si>
  <si>
    <t>Huỳnh Thị Xuân Mai</t>
  </si>
  <si>
    <t>NV Tổ chức</t>
  </si>
  <si>
    <t>Lê Thị Nữ</t>
  </si>
  <si>
    <t>Nhân viên phòng Thanh tra GD-CTSV</t>
  </si>
  <si>
    <t>Lương Thị Thắm</t>
  </si>
  <si>
    <t>Nhân viên Trung tâm Đào tạo Lý Tự Trọng</t>
  </si>
  <si>
    <t>Trần Văn Lý</t>
  </si>
  <si>
    <t>Tháng 11</t>
  </si>
  <si>
    <t>LÃNH TIỀN LƯƠNG THÁNG 12 NĂM 2021</t>
  </si>
  <si>
    <t>Thành phố Hồ Chí Minh, ngày 01 tháng 12 năm 2021</t>
  </si>
  <si>
    <t>NHÂN VIÊN HỢP ĐỒNG NGOÀI NGÂN SÁCH THÁNG 12/2021</t>
  </si>
  <si>
    <t>NV Phục vụ - 
P. TC - HC - TH</t>
  </si>
  <si>
    <t>NV Lái xe - 
P. TC - HC - TH</t>
  </si>
  <si>
    <t>NV Bảo vệ - 
P. TC - HC - TH</t>
  </si>
  <si>
    <t>NL trước hạn từ 01/01/2022</t>
  </si>
  <si>
    <t>NL Trước hạn từ 01/01/2022</t>
  </si>
  <si>
    <t>(17)</t>
  </si>
  <si>
    <t>(18)=(7)-(12)+(14)+(16)</t>
  </si>
  <si>
    <t>Ngô Nguyễn Ngọc Bích</t>
  </si>
  <si>
    <t>49</t>
  </si>
  <si>
    <t>NV TT. điều hành và QLDL</t>
  </si>
  <si>
    <t>Thành phố Hồ Chí Minh, ngày 04 tháng 5 năm 2022</t>
  </si>
  <si>
    <t>LÃNH TIỀN LƯƠNG THÁNG 05 NĂM 2022</t>
  </si>
  <si>
    <t>HĐLĐ Từ T04/2022</t>
  </si>
  <si>
    <t>Hai trăm năm mươi chín triệu chín trăm lẻ sáu ngàn sáu trăm bảy mươi sáu đồng.</t>
  </si>
  <si>
    <t>tăng 6%</t>
  </si>
  <si>
    <t>Phạm Thị Hoàng Diễm</t>
  </si>
  <si>
    <t>NV Ký túc xá</t>
  </si>
  <si>
    <t>Thành phố Hồ Chí Minh, ngày 01 tháng 6 năm 2022</t>
  </si>
  <si>
    <t>LÃNH TIỀN LƯƠNG THÁNG 06 NĂM 2022</t>
  </si>
  <si>
    <t>HĐ từ 01/05/2022, lập bảng truy lãnh riêng, cập nhật BL T6/2022</t>
  </si>
  <si>
    <t>Nhân viên</t>
  </si>
  <si>
    <t>Lên lương từ 01/6/2022</t>
  </si>
  <si>
    <t>QĐ nâng lương từ 01/06/2022</t>
  </si>
  <si>
    <t xml:space="preserve">Giảng viên - 
Khoa KHCB </t>
  </si>
  <si>
    <t>Nguyễn Công Cường</t>
  </si>
  <si>
    <t>Bạch Văn Gân</t>
  </si>
  <si>
    <t>Bùi Văn Giỏi</t>
  </si>
  <si>
    <t>Nguyễn Thị Cẩm Hà</t>
  </si>
  <si>
    <t>Võ Ngọc Lân</t>
  </si>
  <si>
    <t>Nguyễn Văn Úy</t>
  </si>
  <si>
    <t>Nguyễn Linh Phong</t>
  </si>
  <si>
    <t>50</t>
  </si>
  <si>
    <t>51</t>
  </si>
  <si>
    <t>52</t>
  </si>
  <si>
    <t>53</t>
  </si>
  <si>
    <t>54</t>
  </si>
  <si>
    <t>55</t>
  </si>
  <si>
    <t>56</t>
  </si>
  <si>
    <t>Hai trăm chín mươi mốt triệu năm trăm ngàn bảy trăm lẻ bốn đồng.</t>
  </si>
  <si>
    <t>DANH SÁCH GIẢNG VIÊN - NHÂN VIÊN HĐ NGOÀI  CHỈ TIÊU BIÊN CHẾ</t>
  </si>
  <si>
    <t>NV TT. Điều hành và QLDL</t>
  </si>
  <si>
    <t>HĐLĐ từ 01/07/2022</t>
  </si>
  <si>
    <t>Nguyễn Chiến Thắng</t>
  </si>
  <si>
    <t>Nguyễn Đan Trường</t>
  </si>
  <si>
    <t>Lưu Hoàng Bảo Châu</t>
  </si>
  <si>
    <t>HĐLĐ từ 01/9/2022</t>
  </si>
  <si>
    <t>HĐ Từ 01/05/2022</t>
  </si>
  <si>
    <t>HĐLĐ từ 10/06/2022</t>
  </si>
  <si>
    <t xml:space="preserve">Số ngày hưởng </t>
  </si>
  <si>
    <t>Nguyễn Văn Hiển</t>
  </si>
  <si>
    <t>HĐ Từ 01/02/2023</t>
  </si>
  <si>
    <t>HĐLĐ từ 01/02/2023</t>
  </si>
  <si>
    <t>(8)=((6)x85%)/26x(7)</t>
  </si>
  <si>
    <t>DANH SÁCH NHÂN VIÊN HĐ THEO NGHỊ ĐỊNH 111/2022/NĐ-CP</t>
  </si>
  <si>
    <t>NV Phòng Thanh tra Giáo dục - Công tác SV</t>
  </si>
  <si>
    <t>Trần Thanh Cường</t>
  </si>
  <si>
    <t>HĐLĐ từ 10/07/2023</t>
  </si>
  <si>
    <t>Nguyễn Hoàng Hải</t>
  </si>
  <si>
    <t>HĐLĐ từ 10/7/2023</t>
  </si>
  <si>
    <t>Thành phố Hồ Chí Minh, ngày 01 tháng 8 năm 2022</t>
  </si>
  <si>
    <t>HĐLĐ từ 01/8/2023</t>
  </si>
  <si>
    <t>TRUY LÃNH TIỀN LƯƠNG THÁNG 7 NĂM 2023</t>
  </si>
  <si>
    <t>Hai triệu tám trăm hai mươi ba ngàn sáu trăm đồng.</t>
  </si>
  <si>
    <t>HĐLĐ từ 01/9/2023</t>
  </si>
  <si>
    <t>Vũ Anh Hiếu</t>
  </si>
  <si>
    <t>Lương Công Phi</t>
  </si>
  <si>
    <t>Nhân viên TT Điều hành và QL DL</t>
  </si>
  <si>
    <t>HĐLĐ từ 01/10/2023</t>
  </si>
  <si>
    <t>Nhân viên Trung tâm Đào tạo và Quản lý TB</t>
  </si>
  <si>
    <t>Trần Nhật Thịnh</t>
  </si>
  <si>
    <t>HĐLĐ từ 01/11/2023</t>
  </si>
  <si>
    <t>LÃNH TIỀN LƯƠNG THÁNG 01 NĂM 2024</t>
  </si>
  <si>
    <t>Thành phố Hồ Chí Minh, ngày 02 tháng 01 năm 2024</t>
  </si>
  <si>
    <t>Ba mươi chín triệu một trăm lẻ ba ngàn ba trăm sáu mươi mốt đồng.</t>
  </si>
  <si>
    <t>Nghỉ không hưởng lương từ ngày 01/12 đến hết 14/12/23</t>
  </si>
  <si>
    <t>Ba trăm lẻ tám triệu ba trăm chín mươi tám ngàn không trăm hai mươi hai đồng.</t>
  </si>
  <si>
    <t>Tạ Quốc Tấn</t>
  </si>
  <si>
    <t>Phạm Huy Hoàng</t>
  </si>
  <si>
    <t>Nguyễn Trung Dũng</t>
  </si>
  <si>
    <t>STK OCB</t>
  </si>
  <si>
    <t>STK Sacombank</t>
  </si>
  <si>
    <t>I</t>
  </si>
  <si>
    <t>HỢP ĐỒNG CHUYÊN MÔN NGHIỆP VỤ</t>
  </si>
  <si>
    <t>HỢP ĐỒNG CÔNG VIỆC HỖ TRỢ PHỤC VỤ</t>
  </si>
  <si>
    <t>HỢP ĐỒNG CÔNG VIỆC CHUYÊN MÔN NGHIỆP VỤ</t>
  </si>
  <si>
    <t>CỘNG HỢP ĐỒNG CHUYÊN MÔN - NGHIỆP VỤ</t>
  </si>
  <si>
    <t>CỘNG HỢP ĐỒNG HỖ TRỢ PHỤC VỤ</t>
  </si>
  <si>
    <t>TỔNG</t>
  </si>
  <si>
    <t>II</t>
  </si>
  <si>
    <t>I+II</t>
  </si>
  <si>
    <t>CỦA NHÂN VIÊN HỢP ĐỒNG THEO NGHỊ ĐỊNH 111/2022</t>
  </si>
  <si>
    <t>Stt</t>
  </si>
  <si>
    <t>Ký hiệu</t>
  </si>
  <si>
    <t>ĐƠN VỊ</t>
  </si>
  <si>
    <t>BGH</t>
  </si>
  <si>
    <t>BAN GIÁM HIỆU</t>
  </si>
  <si>
    <t>KHTC</t>
  </si>
  <si>
    <t>PHÒNG KẾ HOẠCH - TÀI CHÍNH</t>
  </si>
  <si>
    <t>TSĐT</t>
  </si>
  <si>
    <t>PHÒNG TUYỂN SINH - ĐÀO TẠO</t>
  </si>
  <si>
    <t>TCHCTH</t>
  </si>
  <si>
    <t>PHÒNG TỔ CHỨC - HÀNH CHÍNH - TỔNG HỢP</t>
  </si>
  <si>
    <t>TTrGD</t>
  </si>
  <si>
    <t>PHÒNG THANH TRA GIÁO DỤC - CÔNG TÁC SINH VIÊN</t>
  </si>
  <si>
    <t>KTĐBCL</t>
  </si>
  <si>
    <t>PHÒNG KHẢO THÍ VÀ ĐẢM BẢO CHẤT LƯỢNG</t>
  </si>
  <si>
    <t>QLKH</t>
  </si>
  <si>
    <t>PHÒNG QUẢN LÝ KHOA HỌC - HỢP TÁC QUỐC TẾ</t>
  </si>
  <si>
    <t>QTDV</t>
  </si>
  <si>
    <t>PHÒNG QUẢN TRỊ - DỊCH VỤ</t>
  </si>
  <si>
    <t>NN</t>
  </si>
  <si>
    <t>KHOA NGOẠI NGỮ</t>
  </si>
  <si>
    <t>LLCT</t>
  </si>
  <si>
    <t>KHOA LÝ LUẬN CHÍNH TRỊ</t>
  </si>
  <si>
    <t>CK</t>
  </si>
  <si>
    <t>KHOA CƠ KHÍ</t>
  </si>
  <si>
    <t>CNTT</t>
  </si>
  <si>
    <t>KHOA CÔNG NGHỆ THÔNG TIN</t>
  </si>
  <si>
    <t>ĐL</t>
  </si>
  <si>
    <t>KHOA ĐỘNG LỰC</t>
  </si>
  <si>
    <t>Đ-ĐT</t>
  </si>
  <si>
    <t>KHOA ĐIỆN - ĐIỆN TỬ</t>
  </si>
  <si>
    <t>M-TT</t>
  </si>
  <si>
    <t>KHOA MAY - THỜI TRANG</t>
  </si>
  <si>
    <t>N-L</t>
  </si>
  <si>
    <t>KHOA NHIỆT - LẠNH</t>
  </si>
  <si>
    <t>KT</t>
  </si>
  <si>
    <t>KHOA KINH TẾ</t>
  </si>
  <si>
    <t>DLKS</t>
  </si>
  <si>
    <t>KHOA DU LỊCH - KHÁCH SẠN</t>
  </si>
  <si>
    <t>XD</t>
  </si>
  <si>
    <t>KHOA XÂY DỰNG</t>
  </si>
  <si>
    <t>TTTV</t>
  </si>
  <si>
    <t>TRUNG TÂM THƯ VIỆN</t>
  </si>
  <si>
    <t>TTĐT</t>
  </si>
  <si>
    <t>TRUNG TÂM ĐÀO TẠO VÀ QUẢN LÝ THIẾT BỊ</t>
  </si>
  <si>
    <t>TTYT</t>
  </si>
  <si>
    <t>TRUNG TÂM Y TẾ</t>
  </si>
  <si>
    <t>TTQHDN</t>
  </si>
  <si>
    <t>TRUNG TÂM QUAN HỆ DOANH NGHIỆP</t>
  </si>
  <si>
    <t>TTĐHDL</t>
  </si>
  <si>
    <t>TRUNG TÂM ĐIỀU HÀNH VÀ QUẢN LÝ DỮ LIỆU</t>
  </si>
  <si>
    <t>Column1</t>
  </si>
  <si>
    <t>Column2</t>
  </si>
  <si>
    <t>Column3</t>
  </si>
  <si>
    <t>Column4</t>
  </si>
  <si>
    <t>Column5</t>
  </si>
  <si>
    <t>Column6</t>
  </si>
  <si>
    <t>Column7</t>
  </si>
  <si>
    <t>Column8</t>
  </si>
  <si>
    <t>Column9</t>
  </si>
  <si>
    <t>Column10</t>
  </si>
  <si>
    <t>Column11</t>
  </si>
  <si>
    <t>Column12</t>
  </si>
  <si>
    <t>Column13</t>
  </si>
  <si>
    <t>Column14</t>
  </si>
  <si>
    <t>Column15</t>
  </si>
  <si>
    <t>Column16</t>
  </si>
  <si>
    <t>Column17</t>
  </si>
  <si>
    <t>Column18</t>
  </si>
  <si>
    <t>Column19</t>
  </si>
  <si>
    <t>Column20</t>
  </si>
  <si>
    <t>Column21</t>
  </si>
  <si>
    <t>Column22</t>
  </si>
  <si>
    <t>Column23</t>
  </si>
  <si>
    <t>Column24</t>
  </si>
  <si>
    <t>Column25</t>
  </si>
  <si>
    <t>Column26</t>
  </si>
  <si>
    <t>Column27</t>
  </si>
  <si>
    <t>Column28</t>
  </si>
  <si>
    <t>Column29</t>
  </si>
  <si>
    <t>Column30</t>
  </si>
  <si>
    <t>Column31</t>
  </si>
  <si>
    <t>NV Phòng Thanh tra giáo dục - Quan hệ DN</t>
  </si>
  <si>
    <t>NL từ T5/24</t>
  </si>
  <si>
    <t>Lâm Võ Hữu Duy</t>
  </si>
  <si>
    <t>HĐLĐ từ 01/5/2024</t>
  </si>
  <si>
    <t>Phòng Quản trị - Dịch vụ</t>
  </si>
  <si>
    <t>Võ Lạc Tân</t>
  </si>
  <si>
    <t>HĐLĐ từ 01/7/2024</t>
  </si>
  <si>
    <t>Võ Thị Mỹ Ngọc</t>
  </si>
  <si>
    <t>HĐLĐ từ 01/8/2024</t>
  </si>
  <si>
    <t>Nghỉ hộ sản hưởng chế độ BHXH từ ngày 01/8/2024. Trừ trên BL T8+9+10+11+12/2024 và T01/2025</t>
  </si>
  <si>
    <t>Nghỉ HS hưởng chế độ BHXH từ ngày 01/8/2024</t>
  </si>
  <si>
    <t>Tháng 08/2024</t>
  </si>
  <si>
    <t>Thành phố Hồ Chí Minh, ngày 01 tháng 8 năm 2024</t>
  </si>
  <si>
    <t>KHỐI CHUYÊN NGHIỆP LÃNH TIỀN LƯƠNG THỬ VIỆC THÁNG 7/2024</t>
  </si>
  <si>
    <t>HĐ Thử việc từ 08/7/2024 đến hết 31/7/2024</t>
  </si>
  <si>
    <t>Ba triệu sáu trăm bốn mươi ba ngàn năm trăm chín mươi bảy đồng.</t>
  </si>
  <si>
    <t>LÃNH TIỀN LƯƠNG THÁNG 09 NĂM 2024</t>
  </si>
  <si>
    <t>Phòng Kế hoạch - Tài chính</t>
  </si>
  <si>
    <t>Thông báo số 532/TB-LTT-TC ngày 13/8/24 về việc chấm dứt HĐ đối với ba Nguyễn Thụy Nghiêm từ ngày 01/09/24 (Chuyển sang tuyển dụng viên chức)</t>
  </si>
  <si>
    <t>BẢNG ĐIỀU CHỈNH THAY ĐỔI LƯƠNG THÁNG 09/2024</t>
  </si>
  <si>
    <t>Tháng 09/2024</t>
  </si>
  <si>
    <t>Thành phố Hồ Chí Minh, ngày 04 tháng 9 năm 2024</t>
  </si>
  <si>
    <t>Ba trăm bảy mươi hai triệu năm trăm tám mươi ngàn ba trăm sáu mươi chín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</si>
</sst>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64" formatCode="_(* #,##0.00_);_(* \(#,##0.00\);_(* &quot;-&quot;??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 numFmtId="171" formatCode="#,##0.0000"/>
    <numFmt numFmtId="172" formatCode="0.000"/>
    <numFmt numFmtId="173" formatCode="#,##0.0"/>
    <numFmt numFmtId="174" formatCode="_(* #,##0_);_(* \(#,##0\);_(* &quot;-&quot;??_);_(@_)"/>
  </numFmts>
  <fonts count="74">
    <font>
      <sz val="12"/>
      <name val="Times New Roman"/>
    </font>
    <font>
      <sz val="12"/>
      <name val="Times New Roman"/>
      <family val="1"/>
    </font>
    <font>
      <sz val="10"/>
      <name val="Times New Roman"/>
      <family val="1"/>
    </font>
    <font>
      <sz val="12"/>
      <name val="VNI-Times"/>
    </font>
    <font>
      <sz val="8"/>
      <name val="Times New Roman"/>
      <family val="1"/>
    </font>
    <font>
      <sz val="11"/>
      <name val="Times New Roman"/>
      <family val="1"/>
    </font>
    <font>
      <b/>
      <sz val="11"/>
      <name val="Times New Roman"/>
      <family val="1"/>
    </font>
    <font>
      <sz val="11"/>
      <color indexed="10"/>
      <name val="Times New Roman"/>
      <family val="1"/>
    </font>
    <font>
      <b/>
      <sz val="10"/>
      <name val="Times New Roman"/>
      <family val="1"/>
    </font>
    <font>
      <b/>
      <sz val="12"/>
      <name val="Times New Roman"/>
      <family val="1"/>
    </font>
    <font>
      <i/>
      <sz val="12"/>
      <name val="Times New Roman"/>
      <family val="1"/>
    </font>
    <font>
      <b/>
      <u/>
      <sz val="11"/>
      <name val="Times New Roman"/>
      <family val="1"/>
    </font>
    <font>
      <b/>
      <sz val="14"/>
      <name val="Times New Roman"/>
      <family val="1"/>
    </font>
    <font>
      <sz val="12"/>
      <name val="Times New Roman"/>
      <family val="1"/>
    </font>
    <font>
      <sz val="11"/>
      <name val="VNI-Times"/>
    </font>
    <font>
      <sz val="11"/>
      <name val="Times New Roman"/>
      <family val="1"/>
    </font>
    <font>
      <i/>
      <sz val="11"/>
      <name val="Times New Roman"/>
      <family val="1"/>
    </font>
    <font>
      <sz val="8"/>
      <name val="Times New Roman"/>
      <family val="1"/>
    </font>
    <font>
      <b/>
      <sz val="9"/>
      <name val="Times New Roman"/>
      <family val="1"/>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sz val="10"/>
      <name val="VN-NTime"/>
    </font>
    <font>
      <sz val="10"/>
      <name val="Arial"/>
      <family val="2"/>
    </font>
    <font>
      <sz val="10"/>
      <name val="Arial"/>
      <family val="2"/>
    </font>
    <font>
      <i/>
      <sz val="11"/>
      <color indexed="23"/>
      <name val="Calibri"/>
      <family val="2"/>
    </font>
    <font>
      <sz val="11"/>
      <color indexed="17"/>
      <name val="Calibri"/>
      <family val="2"/>
    </font>
    <font>
      <b/>
      <sz val="18"/>
      <name val="Arial"/>
      <family val="2"/>
    </font>
    <font>
      <b/>
      <sz val="12"/>
      <name val="Arial"/>
      <family val="2"/>
    </font>
    <font>
      <b/>
      <sz val="11"/>
      <color indexed="62"/>
      <name val="Calibri"/>
      <family val="2"/>
    </font>
    <font>
      <sz val="11"/>
      <color indexed="62"/>
      <name val="Calibri"/>
      <family val="2"/>
    </font>
    <font>
      <sz val="11"/>
      <color indexed="10"/>
      <name val="Calibri"/>
      <family val="2"/>
    </font>
    <font>
      <sz val="11"/>
      <color indexed="19"/>
      <name val="Calibri"/>
      <family val="2"/>
    </font>
    <font>
      <b/>
      <sz val="11"/>
      <color indexed="63"/>
      <name val="Calibri"/>
      <family val="2"/>
    </font>
    <font>
      <b/>
      <sz val="18"/>
      <color indexed="62"/>
      <name val="Cambria"/>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4"/>
      <name val="Times New Roman"/>
      <family val="1"/>
    </font>
    <font>
      <sz val="7"/>
      <name val="Times New Roman"/>
      <family val="1"/>
    </font>
    <font>
      <sz val="9"/>
      <name val="Times New Roman"/>
      <family val="1"/>
    </font>
    <font>
      <b/>
      <i/>
      <sz val="11"/>
      <name val="Times New Roman"/>
      <family val="1"/>
    </font>
    <font>
      <i/>
      <sz val="9"/>
      <name val="Times New Roman"/>
      <family val="1"/>
    </font>
    <font>
      <sz val="9"/>
      <color indexed="46"/>
      <name val="Times New Roman"/>
      <family val="1"/>
    </font>
    <font>
      <b/>
      <sz val="12"/>
      <name val="Times New Roman"/>
      <family val="1"/>
    </font>
    <font>
      <sz val="8"/>
      <color indexed="10"/>
      <name val="Times New Roman"/>
      <family val="1"/>
    </font>
    <font>
      <b/>
      <sz val="8"/>
      <name val="Times New Roman"/>
      <family val="1"/>
    </font>
    <font>
      <sz val="8"/>
      <color indexed="81"/>
      <name val="Tahoma"/>
      <family val="2"/>
    </font>
    <font>
      <b/>
      <sz val="8"/>
      <color indexed="81"/>
      <name val="Tahoma"/>
      <family val="2"/>
    </font>
    <font>
      <b/>
      <sz val="11"/>
      <color indexed="9"/>
      <name val="Times New Roman"/>
      <family val="1"/>
    </font>
    <font>
      <sz val="9"/>
      <name val="Times New Roman"/>
      <family val="1"/>
    </font>
    <font>
      <sz val="8"/>
      <color indexed="14"/>
      <name val="Times New Roman"/>
      <family val="1"/>
    </font>
    <font>
      <sz val="10"/>
      <color indexed="9"/>
      <name val="Times New Roman"/>
      <family val="1"/>
    </font>
    <font>
      <b/>
      <sz val="7"/>
      <name val="Times New Roman"/>
      <family val="1"/>
    </font>
    <font>
      <sz val="9"/>
      <color indexed="81"/>
      <name val="Tahoma"/>
      <family val="2"/>
    </font>
    <font>
      <b/>
      <sz val="9"/>
      <color indexed="81"/>
      <name val="Tahoma"/>
      <family val="2"/>
    </font>
    <font>
      <b/>
      <sz val="13"/>
      <name val="Times New Roman"/>
      <family val="1"/>
    </font>
    <font>
      <sz val="11"/>
      <name val="Arial"/>
      <family val="2"/>
    </font>
    <font>
      <b/>
      <u/>
      <sz val="10"/>
      <name val="Times New Roman"/>
      <family val="1"/>
    </font>
    <font>
      <b/>
      <i/>
      <sz val="10"/>
      <name val="Times New Roman"/>
      <family val="1"/>
    </font>
    <font>
      <u/>
      <sz val="10"/>
      <name val="Times New Roman"/>
      <family val="1"/>
    </font>
    <font>
      <b/>
      <sz val="11.5"/>
      <name val="Times New Roman"/>
      <family val="1"/>
    </font>
    <font>
      <sz val="11.5"/>
      <name val="Arial"/>
      <family val="2"/>
    </font>
    <font>
      <sz val="8"/>
      <name val="Arial"/>
      <family val="2"/>
    </font>
    <font>
      <sz val="12"/>
      <color indexed="10"/>
      <name val="Times New Roman"/>
      <family val="1"/>
    </font>
    <font>
      <b/>
      <sz val="9"/>
      <color theme="0"/>
      <name val="Times New Roman"/>
      <family val="1"/>
    </font>
    <font>
      <sz val="12"/>
      <color theme="1"/>
      <name val="Times New Roman"/>
      <family val="1"/>
    </font>
    <font>
      <sz val="11"/>
      <color rgb="FFFF0000"/>
      <name val="Times New Roman"/>
      <family val="1"/>
    </font>
    <font>
      <sz val="13"/>
      <name val="Times New Roman"/>
      <family val="1"/>
    </font>
    <font>
      <sz val="8"/>
      <name val="Times New Roman"/>
      <family val="1"/>
    </font>
    <font>
      <sz val="8"/>
      <name val="Times New Roman"/>
      <family val="1"/>
    </font>
  </fonts>
  <fills count="25">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46"/>
      </patternFill>
    </fill>
    <fill>
      <patternFill patternType="solid">
        <fgColor indexed="9"/>
      </patternFill>
    </fill>
    <fill>
      <patternFill patternType="solid">
        <fgColor indexed="55"/>
      </patternFill>
    </fill>
    <fill>
      <patternFill patternType="solid">
        <fgColor indexed="9"/>
        <bgColor indexed="64"/>
      </patternFill>
    </fill>
    <fill>
      <patternFill patternType="solid">
        <fgColor indexed="13"/>
        <bgColor indexed="64"/>
      </patternFill>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FF"/>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bottom style="thin">
        <color indexed="64"/>
      </bottom>
      <diagonal/>
    </border>
    <border>
      <left style="thin">
        <color indexed="64"/>
      </left>
      <right/>
      <top/>
      <bottom style="dotted">
        <color indexed="64"/>
      </bottom>
      <diagonal/>
    </border>
    <border>
      <left style="thin">
        <color indexed="64"/>
      </left>
      <right style="thin">
        <color indexed="64"/>
      </right>
      <top/>
      <bottom style="thin">
        <color indexed="64"/>
      </bottom>
      <diagonal/>
    </border>
    <border>
      <left/>
      <right style="thin">
        <color indexed="64"/>
      </right>
      <top/>
      <bottom/>
      <diagonal/>
    </border>
    <border>
      <left/>
      <right/>
      <top/>
      <bottom style="dotted">
        <color indexed="64"/>
      </bottom>
      <diagonal/>
    </border>
    <border>
      <left/>
      <right/>
      <top style="dotted">
        <color indexed="64"/>
      </top>
      <bottom style="dotted">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diagonal/>
    </border>
    <border>
      <left style="thin">
        <color indexed="64"/>
      </left>
      <right/>
      <top style="dotted">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style="dotted">
        <color indexed="64"/>
      </top>
      <bottom/>
      <diagonal/>
    </border>
    <border>
      <left/>
      <right/>
      <top style="thin">
        <color indexed="64"/>
      </top>
      <bottom style="dotted">
        <color indexed="64"/>
      </bottom>
      <diagonal/>
    </border>
  </borders>
  <cellStyleXfs count="61">
    <xf numFmtId="0" fontId="0"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19" fillId="6" borderId="0" applyNumberFormat="0" applyBorder="0" applyAlignment="0" applyProtection="0"/>
    <xf numFmtId="0" fontId="19" fillId="3"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20" fillId="6"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8" borderId="0" applyNumberFormat="0" applyBorder="0" applyAlignment="0" applyProtection="0"/>
    <xf numFmtId="0" fontId="20" fillId="6" borderId="0" applyNumberFormat="0" applyBorder="0" applyAlignment="0" applyProtection="0"/>
    <xf numFmtId="0" fontId="20" fillId="3" borderId="0" applyNumberFormat="0" applyBorder="0" applyAlignment="0" applyProtection="0"/>
    <xf numFmtId="0" fontId="20" fillId="11"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1" fillId="15" borderId="0" applyNumberFormat="0" applyBorder="0" applyAlignment="0" applyProtection="0"/>
    <xf numFmtId="0" fontId="22" fillId="16" borderId="1" applyNumberFormat="0" applyAlignment="0" applyProtection="0"/>
    <xf numFmtId="0" fontId="23" fillId="17" borderId="2" applyNumberFormat="0" applyAlignment="0" applyProtection="0"/>
    <xf numFmtId="164" fontId="1" fillId="0" borderId="0" applyFont="0" applyFill="0" applyBorder="0" applyAlignment="0" applyProtection="0"/>
    <xf numFmtId="3" fontId="25" fillId="0" borderId="0" applyFont="0" applyFill="0" applyBorder="0" applyAlignment="0" applyProtection="0"/>
    <xf numFmtId="165" fontId="25" fillId="0" borderId="0" applyFont="0" applyFill="0" applyBorder="0" applyAlignment="0" applyProtection="0"/>
    <xf numFmtId="0" fontId="25" fillId="0" borderId="0" applyFont="0" applyFill="0" applyBorder="0" applyAlignment="0" applyProtection="0"/>
    <xf numFmtId="166" fontId="26" fillId="0" borderId="0" applyFont="0" applyFill="0" applyBorder="0" applyAlignment="0" applyProtection="0"/>
    <xf numFmtId="0" fontId="27" fillId="0" borderId="0" applyNumberFormat="0" applyFill="0" applyBorder="0" applyAlignment="0" applyProtection="0"/>
    <xf numFmtId="2" fontId="25" fillId="0" borderId="0" applyFont="0" applyFill="0" applyBorder="0" applyAlignment="0" applyProtection="0"/>
    <xf numFmtId="0" fontId="28" fillId="6" borderId="0" applyNumberFormat="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3" applyNumberFormat="0" applyFill="0" applyAlignment="0" applyProtection="0"/>
    <xf numFmtId="0" fontId="31" fillId="0" borderId="0" applyNumberFormat="0" applyFill="0" applyBorder="0" applyAlignment="0" applyProtection="0"/>
    <xf numFmtId="0" fontId="32" fillId="7" borderId="1" applyNumberFormat="0" applyAlignment="0" applyProtection="0"/>
    <xf numFmtId="0" fontId="33" fillId="0" borderId="4" applyNumberFormat="0" applyFill="0" applyAlignment="0" applyProtection="0"/>
    <xf numFmtId="0" fontId="34" fillId="7" borderId="0" applyNumberFormat="0" applyBorder="0" applyAlignment="0" applyProtection="0"/>
    <xf numFmtId="0" fontId="25" fillId="0" borderId="0"/>
    <xf numFmtId="0" fontId="24" fillId="4" borderId="5" applyNumberFormat="0" applyFont="0" applyAlignment="0" applyProtection="0"/>
    <xf numFmtId="0" fontId="35" fillId="16" borderId="6" applyNumberFormat="0" applyAlignment="0" applyProtection="0"/>
    <xf numFmtId="9" fontId="1" fillId="0" borderId="0" applyFont="0" applyFill="0" applyBorder="0" applyAlignment="0" applyProtection="0"/>
    <xf numFmtId="0" fontId="36" fillId="0" borderId="0" applyNumberFormat="0" applyFill="0" applyBorder="0" applyAlignment="0" applyProtection="0"/>
    <xf numFmtId="0" fontId="25" fillId="0" borderId="7" applyNumberFormat="0" applyFont="0" applyFill="0" applyAlignment="0" applyProtection="0"/>
    <xf numFmtId="0" fontId="33" fillId="0" borderId="0" applyNumberFormat="0" applyFill="0" applyBorder="0" applyAlignment="0" applyProtection="0"/>
    <xf numFmtId="40" fontId="37" fillId="0" borderId="0" applyFont="0" applyFill="0" applyBorder="0" applyAlignment="0" applyProtection="0"/>
    <xf numFmtId="38"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10" fontId="25" fillId="0" borderId="0" applyFont="0" applyFill="0" applyBorder="0" applyAlignment="0" applyProtection="0"/>
    <xf numFmtId="0" fontId="38" fillId="0" borderId="0"/>
    <xf numFmtId="167" fontId="25" fillId="0" borderId="0" applyFont="0" applyFill="0" applyBorder="0" applyAlignment="0" applyProtection="0"/>
    <xf numFmtId="168" fontId="25" fillId="0" borderId="0" applyFont="0" applyFill="0" applyBorder="0" applyAlignment="0" applyProtection="0"/>
    <xf numFmtId="169" fontId="39" fillId="0" borderId="0" applyFont="0" applyFill="0" applyBorder="0" applyAlignment="0" applyProtection="0"/>
    <xf numFmtId="170" fontId="39" fillId="0" borderId="0" applyFont="0" applyFill="0" applyBorder="0" applyAlignment="0" applyProtection="0"/>
    <xf numFmtId="0" fontId="40" fillId="0" borderId="0"/>
  </cellStyleXfs>
  <cellXfs count="851">
    <xf numFmtId="0" fontId="0" fillId="0" borderId="0" xfId="0"/>
    <xf numFmtId="0" fontId="3" fillId="0" borderId="0" xfId="0" applyFont="1"/>
    <xf numFmtId="0" fontId="2" fillId="0" borderId="0" xfId="0" applyFont="1"/>
    <xf numFmtId="0" fontId="3" fillId="0" borderId="0" xfId="0" applyFont="1" applyAlignment="1">
      <alignment wrapText="1"/>
    </xf>
    <xf numFmtId="0" fontId="5" fillId="0" borderId="0" xfId="0" applyFont="1" applyAlignment="1">
      <alignment horizontal="center"/>
    </xf>
    <xf numFmtId="0" fontId="5" fillId="0" borderId="0" xfId="0" applyFont="1"/>
    <xf numFmtId="0" fontId="4" fillId="0" borderId="0" xfId="0" applyFont="1"/>
    <xf numFmtId="0" fontId="5" fillId="0" borderId="0" xfId="0" applyFont="1" applyAlignment="1">
      <alignment wrapText="1"/>
    </xf>
    <xf numFmtId="0" fontId="6" fillId="0" borderId="0" xfId="0" applyFont="1" applyAlignment="1">
      <alignment horizontal="center"/>
    </xf>
    <xf numFmtId="0" fontId="9" fillId="0" borderId="0" xfId="0" applyFont="1" applyAlignment="1">
      <alignment horizontal="center"/>
    </xf>
    <xf numFmtId="0" fontId="2" fillId="0" borderId="0" xfId="0" applyFont="1" applyAlignment="1">
      <alignment wrapText="1"/>
    </xf>
    <xf numFmtId="0" fontId="2" fillId="0" borderId="0" xfId="0" applyFont="1" applyAlignment="1">
      <alignment horizontal="center"/>
    </xf>
    <xf numFmtId="0" fontId="6" fillId="0" borderId="0" xfId="0" applyFont="1"/>
    <xf numFmtId="0" fontId="13" fillId="0" borderId="0" xfId="0" applyFont="1" applyAlignment="1">
      <alignment horizontal="center"/>
    </xf>
    <xf numFmtId="0" fontId="13" fillId="0" borderId="0" xfId="0" applyFont="1"/>
    <xf numFmtId="0" fontId="14" fillId="0" borderId="0" xfId="0" applyFont="1" applyAlignment="1">
      <alignment wrapText="1"/>
    </xf>
    <xf numFmtId="0" fontId="15" fillId="0" borderId="0" xfId="0" applyFont="1"/>
    <xf numFmtId="0" fontId="6" fillId="0" borderId="0" xfId="0" applyFont="1" applyAlignment="1"/>
    <xf numFmtId="0" fontId="11" fillId="0" borderId="0" xfId="0" applyFont="1" applyAlignment="1"/>
    <xf numFmtId="0" fontId="5" fillId="0" borderId="0" xfId="0" applyFont="1" applyAlignment="1"/>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5" fillId="0" borderId="0" xfId="0" applyFont="1" applyAlignment="1">
      <alignment horizontal="center" vertical="center" wrapText="1"/>
    </xf>
    <xf numFmtId="0" fontId="11" fillId="0" borderId="0" xfId="0" applyFont="1" applyAlignment="1">
      <alignment horizontal="center"/>
    </xf>
    <xf numFmtId="0" fontId="6" fillId="0" borderId="0" xfId="0" applyFont="1" applyAlignment="1">
      <alignment horizontal="center" wrapText="1"/>
    </xf>
    <xf numFmtId="0" fontId="8" fillId="0" borderId="0" xfId="0" applyFont="1" applyAlignment="1">
      <alignment horizontal="center" wrapText="1"/>
    </xf>
    <xf numFmtId="0" fontId="5" fillId="0" borderId="0" xfId="0" applyFont="1" applyAlignment="1">
      <alignment horizontal="right"/>
    </xf>
    <xf numFmtId="0" fontId="42" fillId="0" borderId="0" xfId="0" applyFont="1"/>
    <xf numFmtId="0" fontId="42" fillId="0" borderId="0" xfId="0" applyFont="1" applyAlignment="1">
      <alignment horizontal="right"/>
    </xf>
    <xf numFmtId="0" fontId="43" fillId="0" borderId="0" xfId="0" applyFont="1" applyAlignment="1"/>
    <xf numFmtId="0" fontId="5" fillId="0" borderId="8" xfId="0" applyFont="1" applyBorder="1" applyAlignment="1">
      <alignment horizontal="center" vertical="center" wrapText="1"/>
    </xf>
    <xf numFmtId="3" fontId="6" fillId="0" borderId="8" xfId="0" applyNumberFormat="1" applyFont="1" applyBorder="1" applyAlignment="1">
      <alignment horizontal="center" vertical="center" wrapText="1"/>
    </xf>
    <xf numFmtId="0" fontId="13" fillId="0" borderId="0" xfId="0" applyFont="1" applyAlignment="1">
      <alignment wrapText="1"/>
    </xf>
    <xf numFmtId="0" fontId="44" fillId="0" borderId="8" xfId="0" quotePrefix="1" applyFont="1" applyBorder="1" applyAlignment="1">
      <alignment horizontal="center" vertical="center" wrapText="1"/>
    </xf>
    <xf numFmtId="0" fontId="44" fillId="0" borderId="0" xfId="0" applyFont="1" applyAlignment="1">
      <alignment horizontal="center" vertical="center" wrapText="1"/>
    </xf>
    <xf numFmtId="0" fontId="44" fillId="0" borderId="0" xfId="0" applyFont="1"/>
    <xf numFmtId="0" fontId="5" fillId="0" borderId="0" xfId="0" applyFont="1" applyAlignment="1">
      <alignment horizontal="center" vertical="center"/>
    </xf>
    <xf numFmtId="0" fontId="0" fillId="0" borderId="0" xfId="0" applyAlignment="1">
      <alignment horizontal="center" vertical="center"/>
    </xf>
    <xf numFmtId="0" fontId="5" fillId="0" borderId="0" xfId="0" applyFont="1" applyBorder="1" applyAlignment="1">
      <alignment horizontal="center" vertical="center"/>
    </xf>
    <xf numFmtId="0" fontId="13" fillId="0" borderId="0" xfId="0" applyFont="1" applyAlignment="1">
      <alignment horizontal="right"/>
    </xf>
    <xf numFmtId="0" fontId="6" fillId="0" borderId="0" xfId="0" applyFont="1" applyAlignment="1">
      <alignment horizontal="right"/>
    </xf>
    <xf numFmtId="0" fontId="15" fillId="0" borderId="0" xfId="0" applyFont="1" applyFill="1"/>
    <xf numFmtId="0" fontId="15" fillId="0" borderId="0" xfId="0" applyFont="1" applyAlignment="1">
      <alignment horizontal="center" vertical="center"/>
    </xf>
    <xf numFmtId="0" fontId="43" fillId="0" borderId="0" xfId="0" applyFont="1"/>
    <xf numFmtId="0" fontId="43" fillId="0" borderId="0" xfId="0" applyFont="1" applyAlignment="1">
      <alignment horizontal="center"/>
    </xf>
    <xf numFmtId="0" fontId="18" fillId="0" borderId="0" xfId="0" applyFont="1" applyBorder="1" applyAlignment="1">
      <alignment horizontal="center"/>
    </xf>
    <xf numFmtId="0" fontId="18" fillId="0" borderId="0" xfId="0" applyFont="1" applyBorder="1"/>
    <xf numFmtId="0" fontId="18" fillId="0" borderId="0" xfId="0" applyFont="1" applyAlignment="1"/>
    <xf numFmtId="0" fontId="18" fillId="0" borderId="0" xfId="0" applyFont="1"/>
    <xf numFmtId="0" fontId="18" fillId="0" borderId="0" xfId="0" applyFont="1" applyAlignment="1">
      <alignment horizontal="center"/>
    </xf>
    <xf numFmtId="0" fontId="45" fillId="0" borderId="0" xfId="0" applyFont="1" applyAlignment="1">
      <alignment horizontal="center"/>
    </xf>
    <xf numFmtId="0" fontId="18" fillId="0" borderId="0" xfId="0" applyFont="1" applyBorder="1" applyAlignment="1"/>
    <xf numFmtId="0" fontId="18" fillId="0" borderId="11" xfId="0" applyFont="1" applyBorder="1" applyAlignment="1"/>
    <xf numFmtId="0" fontId="46" fillId="0" borderId="0" xfId="0" applyFont="1" applyAlignment="1">
      <alignment horizontal="center"/>
    </xf>
    <xf numFmtId="0" fontId="15" fillId="0" borderId="0" xfId="0" applyFont="1" applyBorder="1"/>
    <xf numFmtId="1" fontId="6" fillId="18" borderId="0" xfId="0" quotePrefix="1" applyNumberFormat="1" applyFont="1" applyFill="1" applyBorder="1" applyAlignment="1">
      <alignment horizontal="center"/>
    </xf>
    <xf numFmtId="0" fontId="47" fillId="0" borderId="0" xfId="0" applyFont="1"/>
    <xf numFmtId="0" fontId="15" fillId="0" borderId="0" xfId="0" applyFont="1" applyFill="1" applyBorder="1"/>
    <xf numFmtId="0" fontId="10" fillId="0" borderId="0" xfId="0" applyFont="1" applyAlignment="1">
      <alignment horizontal="center"/>
    </xf>
    <xf numFmtId="0" fontId="5" fillId="0" borderId="0" xfId="0" applyFont="1" applyFill="1" applyAlignment="1"/>
    <xf numFmtId="0" fontId="43" fillId="0" borderId="0" xfId="0" applyFont="1" applyAlignment="1">
      <alignment horizontal="left"/>
    </xf>
    <xf numFmtId="0" fontId="16" fillId="0" borderId="0" xfId="0" applyFont="1" applyAlignment="1">
      <alignment horizontal="left"/>
    </xf>
    <xf numFmtId="0" fontId="45" fillId="0" borderId="0" xfId="0" applyFont="1" applyAlignment="1">
      <alignment horizontal="left"/>
    </xf>
    <xf numFmtId="0" fontId="6" fillId="0" borderId="12" xfId="0" applyFont="1" applyBorder="1" applyAlignment="1"/>
    <xf numFmtId="3" fontId="5" fillId="0" borderId="0" xfId="0" applyNumberFormat="1" applyFont="1" applyAlignment="1"/>
    <xf numFmtId="0" fontId="4" fillId="0" borderId="0" xfId="0" applyFont="1" applyBorder="1"/>
    <xf numFmtId="0" fontId="49" fillId="0" borderId="0" xfId="0" applyFont="1" applyAlignment="1"/>
    <xf numFmtId="0" fontId="4" fillId="0" borderId="0" xfId="0" applyFont="1" applyBorder="1" applyAlignment="1">
      <alignment wrapText="1"/>
    </xf>
    <xf numFmtId="3" fontId="5" fillId="0" borderId="0" xfId="0" applyNumberFormat="1" applyFont="1" applyFill="1" applyAlignment="1"/>
    <xf numFmtId="3" fontId="5" fillId="0" borderId="0" xfId="0" applyNumberFormat="1" applyFont="1" applyAlignment="1">
      <alignment horizontal="center"/>
    </xf>
    <xf numFmtId="3" fontId="5" fillId="0" borderId="13" xfId="0" applyNumberFormat="1" applyFont="1" applyFill="1" applyBorder="1" applyAlignment="1"/>
    <xf numFmtId="0" fontId="12" fillId="0" borderId="0" xfId="0" applyFont="1" applyAlignment="1">
      <alignment horizontal="center"/>
    </xf>
    <xf numFmtId="0" fontId="18" fillId="0" borderId="8" xfId="0" applyFont="1" applyBorder="1" applyAlignment="1">
      <alignment horizontal="center" vertical="center"/>
    </xf>
    <xf numFmtId="0" fontId="18" fillId="0" borderId="8" xfId="0" applyFont="1" applyBorder="1" applyAlignment="1">
      <alignment horizontal="center" vertical="center" wrapText="1"/>
    </xf>
    <xf numFmtId="0" fontId="16" fillId="0" borderId="0" xfId="0" applyFont="1" applyAlignment="1"/>
    <xf numFmtId="0" fontId="44" fillId="0" borderId="10" xfId="0" quotePrefix="1" applyFont="1" applyBorder="1" applyAlignment="1">
      <alignment horizontal="center" vertical="center" wrapText="1"/>
    </xf>
    <xf numFmtId="3" fontId="52" fillId="0" borderId="0" xfId="0" applyNumberFormat="1" applyFont="1" applyAlignment="1"/>
    <xf numFmtId="0" fontId="13" fillId="0" borderId="0" xfId="0" applyFont="1" applyAlignment="1">
      <alignment horizontal="center" vertical="center"/>
    </xf>
    <xf numFmtId="0" fontId="15" fillId="0" borderId="0" xfId="0" applyFont="1" applyFill="1" applyAlignment="1">
      <alignment horizontal="center" vertical="center"/>
    </xf>
    <xf numFmtId="3" fontId="49" fillId="0" borderId="8" xfId="0" applyNumberFormat="1" applyFont="1" applyFill="1" applyBorder="1" applyAlignment="1">
      <alignment vertical="center"/>
    </xf>
    <xf numFmtId="0" fontId="55" fillId="0" borderId="0" xfId="0" applyFont="1"/>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49" fillId="0" borderId="0" xfId="0" applyFont="1" applyFill="1" applyBorder="1" applyAlignment="1">
      <alignment horizontal="center" vertical="center" wrapText="1"/>
    </xf>
    <xf numFmtId="0" fontId="6" fillId="0" borderId="13" xfId="0" applyFont="1" applyFill="1" applyBorder="1" applyAlignment="1">
      <alignment vertical="center"/>
    </xf>
    <xf numFmtId="0" fontId="5" fillId="0" borderId="0" xfId="0" applyFont="1" applyFill="1" applyAlignment="1">
      <alignment vertical="center"/>
    </xf>
    <xf numFmtId="1" fontId="6" fillId="0" borderId="0" xfId="0" quotePrefix="1" applyNumberFormat="1" applyFont="1" applyFill="1" applyBorder="1" applyAlignment="1">
      <alignment horizontal="center" vertical="center"/>
    </xf>
    <xf numFmtId="0" fontId="8" fillId="0" borderId="8" xfId="0" applyFont="1" applyFill="1" applyBorder="1" applyAlignment="1">
      <alignment horizontal="center" vertical="center"/>
    </xf>
    <xf numFmtId="0" fontId="49" fillId="0" borderId="8" xfId="0" applyFont="1" applyFill="1" applyBorder="1" applyAlignment="1">
      <alignment horizontal="center" vertical="center"/>
    </xf>
    <xf numFmtId="0" fontId="4" fillId="0" borderId="9" xfId="0" applyFont="1" applyFill="1" applyBorder="1" applyAlignment="1">
      <alignment horizontal="center" vertical="center"/>
    </xf>
    <xf numFmtId="3" fontId="4" fillId="0" borderId="10" xfId="0" applyNumberFormat="1" applyFont="1" applyFill="1" applyBorder="1" applyAlignment="1">
      <alignment horizontal="center" vertical="center" wrapText="1"/>
    </xf>
    <xf numFmtId="3" fontId="4" fillId="0" borderId="0" xfId="0" applyNumberFormat="1" applyFont="1" applyFill="1" applyBorder="1" applyAlignment="1">
      <alignment horizontal="center" wrapText="1"/>
    </xf>
    <xf numFmtId="4" fontId="49" fillId="0" borderId="8" xfId="0" applyNumberFormat="1" applyFont="1" applyFill="1" applyBorder="1" applyAlignment="1">
      <alignment vertical="center"/>
    </xf>
    <xf numFmtId="0" fontId="43" fillId="20" borderId="14" xfId="0" applyFont="1" applyFill="1" applyBorder="1" applyAlignment="1">
      <alignment vertical="center"/>
    </xf>
    <xf numFmtId="0" fontId="43" fillId="20" borderId="15" xfId="0" applyFont="1" applyFill="1" applyBorder="1" applyAlignment="1">
      <alignment vertical="center"/>
    </xf>
    <xf numFmtId="0" fontId="4" fillId="20" borderId="16" xfId="0" applyFont="1" applyFill="1" applyBorder="1" applyAlignment="1">
      <alignment horizontal="center" vertical="center"/>
    </xf>
    <xf numFmtId="1" fontId="49" fillId="20" borderId="16" xfId="0" quotePrefix="1" applyNumberFormat="1" applyFont="1" applyFill="1" applyBorder="1" applyAlignment="1">
      <alignment horizontal="center" vertical="center"/>
    </xf>
    <xf numFmtId="3" fontId="4" fillId="20" borderId="16" xfId="0" applyNumberFormat="1" applyFont="1" applyFill="1" applyBorder="1" applyAlignment="1">
      <alignment vertical="center"/>
    </xf>
    <xf numFmtId="3" fontId="4" fillId="20" borderId="14" xfId="0" applyNumberFormat="1" applyFont="1" applyFill="1" applyBorder="1" applyAlignment="1">
      <alignment vertical="center"/>
    </xf>
    <xf numFmtId="3" fontId="4" fillId="20" borderId="14" xfId="0" applyNumberFormat="1" applyFont="1" applyFill="1" applyBorder="1" applyAlignment="1">
      <alignment vertical="center" wrapText="1"/>
    </xf>
    <xf numFmtId="0" fontId="4" fillId="20" borderId="14" xfId="0" applyFont="1" applyFill="1" applyBorder="1" applyAlignment="1">
      <alignment horizontal="center" vertical="center"/>
    </xf>
    <xf numFmtId="3" fontId="4" fillId="20" borderId="15" xfId="0" applyNumberFormat="1" applyFont="1" applyFill="1" applyBorder="1" applyAlignment="1">
      <alignment vertical="center" wrapText="1"/>
    </xf>
    <xf numFmtId="0" fontId="4" fillId="20" borderId="15" xfId="0" applyFont="1" applyFill="1" applyBorder="1" applyAlignment="1">
      <alignment wrapText="1"/>
    </xf>
    <xf numFmtId="0" fontId="15" fillId="20" borderId="0" xfId="0" applyFont="1" applyFill="1"/>
    <xf numFmtId="0" fontId="15" fillId="20" borderId="0" xfId="0" applyFont="1" applyFill="1" applyBorder="1"/>
    <xf numFmtId="3" fontId="7" fillId="20" borderId="0" xfId="0" applyNumberFormat="1" applyFont="1" applyFill="1" applyBorder="1"/>
    <xf numFmtId="1" fontId="49" fillId="20" borderId="16" xfId="0" applyNumberFormat="1" applyFont="1" applyFill="1" applyBorder="1" applyAlignment="1">
      <alignment horizontal="center" vertical="center"/>
    </xf>
    <xf numFmtId="3" fontId="4" fillId="20" borderId="15" xfId="0" applyNumberFormat="1" applyFont="1" applyFill="1" applyBorder="1" applyAlignment="1">
      <alignment vertical="center"/>
    </xf>
    <xf numFmtId="0" fontId="5" fillId="20" borderId="0" xfId="0" applyFont="1" applyFill="1" applyBorder="1" applyAlignment="1"/>
    <xf numFmtId="0" fontId="5" fillId="20" borderId="0" xfId="0" applyFont="1" applyFill="1" applyAlignment="1"/>
    <xf numFmtId="1" fontId="6" fillId="20" borderId="0" xfId="0" applyNumberFormat="1" applyFont="1" applyFill="1" applyBorder="1" applyAlignment="1">
      <alignment horizontal="center"/>
    </xf>
    <xf numFmtId="0" fontId="4" fillId="20" borderId="16" xfId="0" applyFont="1" applyFill="1" applyBorder="1" applyAlignment="1">
      <alignment horizontal="center" vertical="center" wrapText="1"/>
    </xf>
    <xf numFmtId="3" fontId="4" fillId="20" borderId="16" xfId="0" applyNumberFormat="1" applyFont="1" applyFill="1" applyBorder="1" applyAlignment="1">
      <alignment horizontal="center" vertical="center"/>
    </xf>
    <xf numFmtId="3" fontId="48" fillId="20" borderId="15" xfId="0" applyNumberFormat="1" applyFont="1" applyFill="1" applyBorder="1" applyAlignment="1">
      <alignment horizontal="center" vertical="center" wrapText="1"/>
    </xf>
    <xf numFmtId="0" fontId="15" fillId="20" borderId="0" xfId="0" applyFont="1" applyFill="1" applyAlignment="1">
      <alignment horizontal="center" vertical="center"/>
    </xf>
    <xf numFmtId="3" fontId="5" fillId="20" borderId="0" xfId="0" applyNumberFormat="1" applyFont="1" applyFill="1"/>
    <xf numFmtId="0" fontId="4" fillId="20" borderId="0" xfId="0" applyFont="1" applyFill="1" applyBorder="1" applyAlignment="1">
      <alignment wrapText="1"/>
    </xf>
    <xf numFmtId="3" fontId="4" fillId="20" borderId="15" xfId="0" applyNumberFormat="1" applyFont="1" applyFill="1" applyBorder="1" applyAlignment="1">
      <alignment horizontal="left" vertical="center" wrapText="1"/>
    </xf>
    <xf numFmtId="1" fontId="6" fillId="20" borderId="0" xfId="0" quotePrefix="1" applyNumberFormat="1" applyFont="1" applyFill="1" applyBorder="1" applyAlignment="1">
      <alignment horizontal="center"/>
    </xf>
    <xf numFmtId="3" fontId="4" fillId="20" borderId="17" xfId="0" applyNumberFormat="1" applyFont="1" applyFill="1" applyBorder="1" applyAlignment="1">
      <alignment vertical="center" wrapText="1"/>
    </xf>
    <xf numFmtId="0" fontId="5" fillId="0" borderId="18" xfId="0" quotePrefix="1" applyFont="1" applyBorder="1" applyAlignment="1">
      <alignment horizontal="center" vertical="center" wrapText="1"/>
    </xf>
    <xf numFmtId="174" fontId="5" fillId="0" borderId="18" xfId="28" quotePrefix="1" applyNumberFormat="1" applyFont="1" applyBorder="1" applyAlignment="1">
      <alignment horizontal="center" vertical="center" wrapText="1"/>
    </xf>
    <xf numFmtId="0" fontId="5" fillId="0" borderId="18" xfId="0" applyFont="1" applyBorder="1" applyAlignment="1">
      <alignment horizontal="center" vertical="center" wrapText="1"/>
    </xf>
    <xf numFmtId="174" fontId="6" fillId="0" borderId="18" xfId="28" quotePrefix="1" applyNumberFormat="1" applyFont="1" applyBorder="1" applyAlignment="1">
      <alignment horizontal="center" vertical="center" wrapText="1"/>
    </xf>
    <xf numFmtId="0" fontId="5" fillId="0" borderId="18" xfId="0" applyFont="1" applyBorder="1" applyAlignment="1">
      <alignment horizontal="left" vertical="center" wrapText="1"/>
    </xf>
    <xf numFmtId="3" fontId="6" fillId="0" borderId="8" xfId="0" applyNumberFormat="1" applyFont="1" applyBorder="1" applyAlignment="1">
      <alignment horizontal="right" vertical="center" wrapText="1"/>
    </xf>
    <xf numFmtId="0" fontId="48" fillId="20" borderId="0" xfId="0" applyFont="1" applyFill="1" applyBorder="1" applyAlignment="1">
      <alignment wrapText="1"/>
    </xf>
    <xf numFmtId="3" fontId="4" fillId="20" borderId="15" xfId="0" applyNumberFormat="1" applyFont="1" applyFill="1" applyBorder="1" applyAlignment="1">
      <alignment horizontal="center" vertical="center"/>
    </xf>
    <xf numFmtId="0" fontId="43" fillId="20" borderId="18" xfId="0" quotePrefix="1" applyFont="1" applyFill="1" applyBorder="1" applyAlignment="1">
      <alignment horizontal="center" vertical="center"/>
    </xf>
    <xf numFmtId="0" fontId="43" fillId="20" borderId="19" xfId="0" applyFont="1" applyFill="1" applyBorder="1" applyAlignment="1">
      <alignment vertical="center"/>
    </xf>
    <xf numFmtId="3" fontId="4" fillId="20" borderId="18" xfId="0" applyNumberFormat="1" applyFont="1" applyFill="1" applyBorder="1" applyAlignment="1">
      <alignment vertical="center"/>
    </xf>
    <xf numFmtId="3" fontId="4" fillId="20" borderId="20" xfId="0" applyNumberFormat="1" applyFont="1" applyFill="1" applyBorder="1" applyAlignment="1">
      <alignment vertical="center"/>
    </xf>
    <xf numFmtId="0" fontId="4" fillId="20" borderId="20" xfId="0" applyFont="1" applyFill="1" applyBorder="1" applyAlignment="1">
      <alignment horizontal="center" vertical="center"/>
    </xf>
    <xf numFmtId="3" fontId="4" fillId="20" borderId="15" xfId="0" applyNumberFormat="1" applyFont="1" applyFill="1" applyBorder="1" applyAlignment="1">
      <alignment horizontal="center" vertical="center" wrapText="1"/>
    </xf>
    <xf numFmtId="0" fontId="4" fillId="20" borderId="0" xfId="0" applyFont="1" applyFill="1" applyBorder="1" applyAlignment="1">
      <alignment vertical="center" wrapText="1"/>
    </xf>
    <xf numFmtId="171" fontId="7" fillId="20" borderId="0" xfId="0" applyNumberFormat="1" applyFont="1" applyFill="1"/>
    <xf numFmtId="0" fontId="7" fillId="20" borderId="0" xfId="0" applyFont="1" applyFill="1"/>
    <xf numFmtId="0" fontId="18" fillId="0" borderId="21" xfId="0" applyFont="1" applyFill="1" applyBorder="1" applyAlignment="1">
      <alignment horizontal="center" vertical="center" wrapText="1"/>
    </xf>
    <xf numFmtId="3" fontId="54" fillId="20" borderId="22" xfId="0" applyNumberFormat="1" applyFont="1" applyFill="1" applyBorder="1" applyAlignment="1">
      <alignment horizontal="left" vertical="center"/>
    </xf>
    <xf numFmtId="0" fontId="18" fillId="0" borderId="23"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12" xfId="0" applyFont="1" applyBorder="1" applyAlignment="1"/>
    <xf numFmtId="0" fontId="43" fillId="20" borderId="14" xfId="0" applyFont="1" applyFill="1" applyBorder="1" applyAlignment="1">
      <alignment horizontal="left" vertical="center"/>
    </xf>
    <xf numFmtId="3" fontId="4" fillId="20" borderId="0" xfId="0" applyNumberFormat="1" applyFont="1" applyFill="1" applyBorder="1" applyAlignment="1">
      <alignment vertical="center" wrapText="1"/>
    </xf>
    <xf numFmtId="3" fontId="4" fillId="20" borderId="24" xfId="0" applyNumberFormat="1" applyFont="1" applyFill="1" applyBorder="1" applyAlignment="1">
      <alignment vertical="center" wrapText="1"/>
    </xf>
    <xf numFmtId="0" fontId="68" fillId="0" borderId="0" xfId="0" applyFont="1" applyAlignment="1"/>
    <xf numFmtId="0" fontId="6" fillId="0" borderId="0" xfId="0" applyFont="1" applyFill="1" applyBorder="1" applyAlignment="1">
      <alignment vertical="center"/>
    </xf>
    <xf numFmtId="0" fontId="56" fillId="0" borderId="8" xfId="0" applyFont="1" applyFill="1" applyBorder="1" applyAlignment="1">
      <alignment horizontal="center" vertical="center"/>
    </xf>
    <xf numFmtId="0" fontId="18" fillId="0" borderId="8" xfId="0" quotePrefix="1" applyFont="1" applyFill="1" applyBorder="1" applyAlignment="1">
      <alignment horizontal="center" vertical="center" wrapText="1"/>
    </xf>
    <xf numFmtId="0" fontId="49" fillId="0" borderId="23" xfId="0" applyFont="1" applyFill="1" applyBorder="1" applyAlignment="1">
      <alignment vertical="center" wrapText="1"/>
    </xf>
    <xf numFmtId="173" fontId="4" fillId="20" borderId="14" xfId="0" applyNumberFormat="1" applyFont="1" applyFill="1" applyBorder="1" applyAlignment="1">
      <alignment vertical="center"/>
    </xf>
    <xf numFmtId="0" fontId="7" fillId="20" borderId="0" xfId="0" applyFont="1" applyFill="1" applyBorder="1"/>
    <xf numFmtId="3" fontId="49" fillId="0" borderId="8" xfId="0" applyNumberFormat="1" applyFont="1" applyFill="1" applyBorder="1" applyAlignment="1">
      <alignment horizontal="center" vertical="center"/>
    </xf>
    <xf numFmtId="2" fontId="6" fillId="0" borderId="8" xfId="0" applyNumberFormat="1" applyFont="1" applyBorder="1" applyAlignment="1">
      <alignment horizontal="center" vertical="center" wrapText="1"/>
    </xf>
    <xf numFmtId="3" fontId="54" fillId="20" borderId="25" xfId="0" applyNumberFormat="1" applyFont="1" applyFill="1" applyBorder="1" applyAlignment="1">
      <alignment horizontal="center" vertical="center"/>
    </xf>
    <xf numFmtId="0" fontId="8" fillId="0" borderId="8" xfId="0" applyFont="1" applyBorder="1" applyAlignment="1">
      <alignment horizontal="center"/>
    </xf>
    <xf numFmtId="0" fontId="6" fillId="0" borderId="0" xfId="0" applyFont="1" applyAlignment="1">
      <alignment wrapText="1"/>
    </xf>
    <xf numFmtId="0" fontId="9" fillId="0" borderId="0" xfId="0" applyFont="1"/>
    <xf numFmtId="0" fontId="43" fillId="20" borderId="26" xfId="0" applyFont="1" applyFill="1" applyBorder="1" applyAlignment="1">
      <alignment vertical="center"/>
    </xf>
    <xf numFmtId="0" fontId="18" fillId="0" borderId="0" xfId="0" applyFont="1" applyBorder="1" applyAlignment="1">
      <alignment horizontal="center" wrapText="1"/>
    </xf>
    <xf numFmtId="0" fontId="49" fillId="0" borderId="8" xfId="0" applyFont="1" applyFill="1" applyBorder="1" applyAlignment="1">
      <alignment horizontal="center" vertical="center" wrapText="1"/>
    </xf>
    <xf numFmtId="0" fontId="18" fillId="0" borderId="0" xfId="0" applyFont="1" applyBorder="1" applyAlignment="1">
      <alignment wrapText="1"/>
    </xf>
    <xf numFmtId="0" fontId="18" fillId="0" borderId="0" xfId="0" applyFont="1" applyAlignment="1">
      <alignment wrapText="1"/>
    </xf>
    <xf numFmtId="0" fontId="45" fillId="0" borderId="0" xfId="0" applyFont="1" applyAlignment="1">
      <alignment horizontal="left" wrapText="1"/>
    </xf>
    <xf numFmtId="0" fontId="43" fillId="0" borderId="0" xfId="0" applyFont="1" applyAlignment="1">
      <alignment wrapText="1"/>
    </xf>
    <xf numFmtId="0" fontId="6" fillId="21" borderId="8" xfId="0" applyFont="1" applyFill="1" applyBorder="1" applyAlignment="1">
      <alignment horizontal="center" vertical="center" wrapText="1"/>
    </xf>
    <xf numFmtId="0" fontId="2" fillId="0" borderId="27" xfId="0" applyFont="1" applyBorder="1" applyAlignment="1">
      <alignment horizontal="center"/>
    </xf>
    <xf numFmtId="0" fontId="8" fillId="0" borderId="28" xfId="0" applyFont="1" applyBorder="1" applyAlignment="1">
      <alignment horizontal="center"/>
    </xf>
    <xf numFmtId="0" fontId="8" fillId="0" borderId="22" xfId="0" applyFont="1" applyBorder="1"/>
    <xf numFmtId="0" fontId="8" fillId="0" borderId="29" xfId="0" applyFont="1" applyBorder="1"/>
    <xf numFmtId="0" fontId="2" fillId="0" borderId="16" xfId="0" quotePrefix="1" applyFont="1" applyBorder="1" applyAlignment="1">
      <alignment wrapText="1"/>
    </xf>
    <xf numFmtId="0" fontId="8" fillId="0" borderId="16" xfId="0" applyFont="1" applyBorder="1" applyAlignment="1">
      <alignment horizontal="center"/>
    </xf>
    <xf numFmtId="0" fontId="2" fillId="0" borderId="14" xfId="0" applyFont="1" applyBorder="1"/>
    <xf numFmtId="0" fontId="2" fillId="0" borderId="15" xfId="0" applyFont="1" applyBorder="1"/>
    <xf numFmtId="0" fontId="0" fillId="0" borderId="0" xfId="0" applyBorder="1"/>
    <xf numFmtId="0" fontId="2" fillId="0" borderId="0" xfId="0" applyFont="1" applyBorder="1" applyAlignment="1">
      <alignment horizontal="right" wrapText="1"/>
    </xf>
    <xf numFmtId="0" fontId="2" fillId="0" borderId="0" xfId="0" applyFont="1" applyBorder="1" applyAlignment="1">
      <alignment horizontal="center"/>
    </xf>
    <xf numFmtId="0" fontId="2" fillId="0" borderId="0" xfId="0" applyFont="1" applyFill="1" applyBorder="1" applyAlignment="1">
      <alignment horizontal="center"/>
    </xf>
    <xf numFmtId="0" fontId="2" fillId="0" borderId="16" xfId="0" applyFont="1" applyFill="1" applyBorder="1" applyAlignment="1">
      <alignment horizontal="center"/>
    </xf>
    <xf numFmtId="0" fontId="8" fillId="0" borderId="27" xfId="0" applyFont="1" applyBorder="1" applyAlignment="1">
      <alignment horizontal="center"/>
    </xf>
    <xf numFmtId="0" fontId="2" fillId="0" borderId="13" xfId="0" applyFont="1" applyBorder="1"/>
    <xf numFmtId="0" fontId="2" fillId="0" borderId="24" xfId="0" applyFont="1" applyBorder="1" applyAlignment="1">
      <alignment horizontal="right"/>
    </xf>
    <xf numFmtId="0" fontId="2" fillId="0" borderId="27" xfId="0" applyFont="1" applyBorder="1" applyAlignment="1">
      <alignment wrapText="1"/>
    </xf>
    <xf numFmtId="3" fontId="8" fillId="0" borderId="28" xfId="0" applyNumberFormat="1" applyFont="1" applyBorder="1" applyAlignment="1">
      <alignment horizontal="right"/>
    </xf>
    <xf numFmtId="0" fontId="8" fillId="0" borderId="28" xfId="0" applyFont="1" applyBorder="1" applyAlignment="1">
      <alignment wrapText="1"/>
    </xf>
    <xf numFmtId="3" fontId="2" fillId="0" borderId="16" xfId="0" applyNumberFormat="1" applyFont="1" applyBorder="1" applyAlignment="1">
      <alignment horizontal="right"/>
    </xf>
    <xf numFmtId="0" fontId="8" fillId="0" borderId="16" xfId="0" applyFont="1" applyBorder="1" applyAlignment="1">
      <alignment wrapText="1"/>
    </xf>
    <xf numFmtId="0" fontId="2" fillId="0" borderId="0" xfId="0" applyFont="1" applyBorder="1" applyAlignment="1">
      <alignment wrapText="1"/>
    </xf>
    <xf numFmtId="0" fontId="2" fillId="0" borderId="0" xfId="0" applyFont="1" applyBorder="1"/>
    <xf numFmtId="0" fontId="8" fillId="0" borderId="30" xfId="0" applyFont="1" applyBorder="1" applyAlignment="1">
      <alignment horizontal="center"/>
    </xf>
    <xf numFmtId="3" fontId="2" fillId="0" borderId="30" xfId="0" applyNumberFormat="1" applyFont="1" applyBorder="1" applyAlignment="1">
      <alignment horizontal="right"/>
    </xf>
    <xf numFmtId="3" fontId="8" fillId="0" borderId="8" xfId="0" applyNumberFormat="1" applyFont="1" applyBorder="1" applyAlignment="1">
      <alignment horizontal="right"/>
    </xf>
    <xf numFmtId="0" fontId="44" fillId="0" borderId="0" xfId="0" applyFont="1" applyAlignment="1">
      <alignment horizontal="center"/>
    </xf>
    <xf numFmtId="0" fontId="62" fillId="0" borderId="0" xfId="0" applyFont="1" applyAlignment="1">
      <alignment horizontal="right"/>
    </xf>
    <xf numFmtId="0" fontId="62" fillId="0" borderId="0" xfId="0" applyFont="1" applyAlignment="1">
      <alignment wrapText="1"/>
    </xf>
    <xf numFmtId="0" fontId="9" fillId="0" borderId="0" xfId="0" applyFont="1" applyAlignment="1">
      <alignment horizontal="right"/>
    </xf>
    <xf numFmtId="0" fontId="9" fillId="0" borderId="0" xfId="0" applyFont="1" applyAlignment="1"/>
    <xf numFmtId="0" fontId="64" fillId="0" borderId="0" xfId="0" applyFont="1" applyAlignment="1">
      <alignment horizontal="center"/>
    </xf>
    <xf numFmtId="0" fontId="65" fillId="0" borderId="0" xfId="0" applyFont="1"/>
    <xf numFmtId="0" fontId="9" fillId="0" borderId="0" xfId="0" applyFont="1" applyAlignment="1">
      <alignment wrapText="1"/>
    </xf>
    <xf numFmtId="0" fontId="66" fillId="0" borderId="0" xfId="0" applyFont="1" applyAlignment="1"/>
    <xf numFmtId="0" fontId="43" fillId="20" borderId="16" xfId="0" quotePrefix="1" applyFont="1" applyFill="1" applyBorder="1" applyAlignment="1">
      <alignment horizontal="center" vertical="center"/>
    </xf>
    <xf numFmtId="0" fontId="18" fillId="0" borderId="0" xfId="0" applyFont="1" applyBorder="1" applyAlignment="1">
      <alignment horizontal="center" vertical="center"/>
    </xf>
    <xf numFmtId="0" fontId="18" fillId="0" borderId="0" xfId="0" applyFont="1" applyBorder="1" applyAlignment="1">
      <alignment vertical="center"/>
    </xf>
    <xf numFmtId="0" fontId="43" fillId="0" borderId="0" xfId="0" applyFont="1" applyAlignment="1">
      <alignment vertical="center"/>
    </xf>
    <xf numFmtId="0" fontId="18" fillId="0" borderId="0" xfId="0" applyFont="1" applyAlignment="1">
      <alignment vertical="center"/>
    </xf>
    <xf numFmtId="0" fontId="5" fillId="0" borderId="0" xfId="0" applyFont="1" applyAlignment="1">
      <alignment vertical="center"/>
    </xf>
    <xf numFmtId="0" fontId="45" fillId="0" borderId="0" xfId="0" applyFont="1" applyAlignment="1">
      <alignment horizontal="left" vertical="center"/>
    </xf>
    <xf numFmtId="0" fontId="69" fillId="20" borderId="16" xfId="0" applyFont="1" applyFill="1" applyBorder="1" applyAlignment="1">
      <alignment vertical="center"/>
    </xf>
    <xf numFmtId="0" fontId="5" fillId="20" borderId="8" xfId="0" applyFont="1" applyFill="1" applyBorder="1" applyAlignment="1">
      <alignment horizontal="center" vertical="center" wrapText="1"/>
    </xf>
    <xf numFmtId="0" fontId="13" fillId="0" borderId="15" xfId="0" applyFont="1" applyBorder="1"/>
    <xf numFmtId="2" fontId="13" fillId="0" borderId="15" xfId="0" applyNumberFormat="1" applyFont="1" applyBorder="1" applyAlignment="1">
      <alignment horizontal="right"/>
    </xf>
    <xf numFmtId="0" fontId="6" fillId="0" borderId="8" xfId="0" applyFont="1" applyBorder="1" applyAlignment="1">
      <alignment horizontal="center" vertical="center"/>
    </xf>
    <xf numFmtId="0" fontId="61" fillId="0" borderId="8" xfId="0" applyFont="1" applyBorder="1" applyAlignment="1">
      <alignment horizontal="center" vertical="center"/>
    </xf>
    <xf numFmtId="0" fontId="2" fillId="0" borderId="8" xfId="0" applyFont="1" applyBorder="1" applyAlignment="1">
      <alignment horizontal="center" vertical="center"/>
    </xf>
    <xf numFmtId="0" fontId="8" fillId="0" borderId="8" xfId="0" applyFont="1" applyBorder="1" applyAlignment="1">
      <alignment vertical="center" wrapText="1"/>
    </xf>
    <xf numFmtId="0" fontId="0" fillId="0" borderId="0" xfId="0" applyAlignment="1">
      <alignment vertical="center"/>
    </xf>
    <xf numFmtId="0" fontId="2" fillId="0" borderId="0" xfId="0" applyFont="1" applyFill="1" applyBorder="1" applyAlignment="1">
      <alignment horizontal="center" vertical="center"/>
    </xf>
    <xf numFmtId="0" fontId="6" fillId="0" borderId="8" xfId="0" applyFont="1" applyBorder="1" applyAlignment="1">
      <alignment vertical="center"/>
    </xf>
    <xf numFmtId="0" fontId="60" fillId="0" borderId="0" xfId="0" applyFont="1" applyAlignment="1">
      <alignment vertical="center"/>
    </xf>
    <xf numFmtId="0" fontId="5" fillId="20" borderId="8" xfId="0" quotePrefix="1" applyFont="1" applyFill="1" applyBorder="1" applyAlignment="1">
      <alignment horizontal="center" vertical="center" wrapText="1"/>
    </xf>
    <xf numFmtId="0" fontId="5" fillId="20" borderId="8" xfId="0" applyFont="1" applyFill="1" applyBorder="1" applyAlignment="1">
      <alignment horizontal="left" vertical="center" wrapText="1"/>
    </xf>
    <xf numFmtId="0" fontId="13" fillId="20" borderId="16" xfId="0" applyFont="1" applyFill="1" applyBorder="1" applyAlignment="1">
      <alignment vertical="center"/>
    </xf>
    <xf numFmtId="172" fontId="5" fillId="0" borderId="0" xfId="0" applyNumberFormat="1" applyFont="1" applyAlignment="1">
      <alignment horizontal="center" vertical="center" wrapText="1"/>
    </xf>
    <xf numFmtId="0" fontId="5" fillId="20" borderId="8" xfId="0" applyFont="1" applyFill="1" applyBorder="1" applyAlignment="1">
      <alignment horizontal="justify" vertical="center" wrapText="1"/>
    </xf>
    <xf numFmtId="49" fontId="13" fillId="20" borderId="16" xfId="43" applyNumberFormat="1" applyFont="1" applyFill="1" applyBorder="1" applyAlignment="1">
      <alignment horizontal="center" vertical="center" wrapText="1"/>
    </xf>
    <xf numFmtId="0" fontId="13" fillId="20" borderId="16" xfId="0" quotePrefix="1" applyFont="1" applyFill="1" applyBorder="1" applyAlignment="1">
      <alignment horizontal="center" vertical="center" wrapText="1"/>
    </xf>
    <xf numFmtId="0" fontId="13" fillId="20" borderId="16" xfId="0" applyFont="1" applyFill="1" applyBorder="1" applyAlignment="1">
      <alignment horizontal="center" vertical="center" wrapText="1"/>
    </xf>
    <xf numFmtId="0" fontId="4" fillId="20" borderId="18" xfId="0" applyFont="1" applyFill="1" applyBorder="1" applyAlignment="1">
      <alignment horizontal="center" vertical="center" wrapText="1"/>
    </xf>
    <xf numFmtId="0" fontId="13" fillId="20" borderId="31" xfId="0" applyFont="1" applyFill="1" applyBorder="1" applyAlignment="1">
      <alignment horizontal="center" vertical="center" wrapText="1"/>
    </xf>
    <xf numFmtId="0" fontId="5" fillId="20" borderId="0" xfId="0" applyFont="1" applyFill="1"/>
    <xf numFmtId="3" fontId="4" fillId="20" borderId="0" xfId="0" applyNumberFormat="1" applyFont="1" applyFill="1" applyBorder="1" applyAlignment="1">
      <alignment horizontal="center" vertical="center"/>
    </xf>
    <xf numFmtId="1" fontId="4" fillId="20" borderId="16" xfId="0" applyNumberFormat="1" applyFont="1" applyFill="1" applyBorder="1" applyAlignment="1">
      <alignment horizontal="center" vertical="center"/>
    </xf>
    <xf numFmtId="3" fontId="5" fillId="20" borderId="0" xfId="0" quotePrefix="1" applyNumberFormat="1" applyFont="1" applyFill="1" applyBorder="1" applyAlignment="1"/>
    <xf numFmtId="1" fontId="4" fillId="20" borderId="16" xfId="0" quotePrefix="1" applyNumberFormat="1" applyFont="1" applyFill="1" applyBorder="1" applyAlignment="1">
      <alignment horizontal="center" vertical="center"/>
    </xf>
    <xf numFmtId="3" fontId="4" fillId="20" borderId="31" xfId="0" applyNumberFormat="1" applyFont="1" applyFill="1" applyBorder="1" applyAlignment="1">
      <alignment vertical="center"/>
    </xf>
    <xf numFmtId="3" fontId="4" fillId="20" borderId="18" xfId="0" applyNumberFormat="1" applyFont="1" applyFill="1" applyBorder="1" applyAlignment="1">
      <alignment horizontal="center" vertical="center"/>
    </xf>
    <xf numFmtId="0" fontId="43" fillId="20" borderId="28" xfId="0" quotePrefix="1" applyFont="1" applyFill="1" applyBorder="1" applyAlignment="1">
      <alignment horizontal="center" vertical="center"/>
    </xf>
    <xf numFmtId="0" fontId="43" fillId="20" borderId="22" xfId="0" applyFont="1" applyFill="1" applyBorder="1" applyAlignment="1">
      <alignment vertical="center"/>
    </xf>
    <xf numFmtId="0" fontId="43" fillId="20" borderId="29" xfId="0" applyFont="1" applyFill="1" applyBorder="1" applyAlignment="1">
      <alignment vertical="center"/>
    </xf>
    <xf numFmtId="0" fontId="4" fillId="20" borderId="28" xfId="0" applyFont="1" applyFill="1" applyBorder="1" applyAlignment="1">
      <alignment horizontal="center" vertical="center" wrapText="1"/>
    </xf>
    <xf numFmtId="0" fontId="13" fillId="20" borderId="28" xfId="0" applyFont="1" applyFill="1" applyBorder="1" applyAlignment="1">
      <alignment horizontal="center" vertical="center" wrapText="1"/>
    </xf>
    <xf numFmtId="0" fontId="13" fillId="20" borderId="28" xfId="0" applyFont="1" applyFill="1" applyBorder="1" applyAlignment="1">
      <alignment vertical="center"/>
    </xf>
    <xf numFmtId="1" fontId="49" fillId="20" borderId="28" xfId="0" applyNumberFormat="1" applyFont="1" applyFill="1" applyBorder="1" applyAlignment="1">
      <alignment horizontal="center" vertical="center"/>
    </xf>
    <xf numFmtId="0" fontId="4" fillId="20" borderId="28" xfId="0" applyFont="1" applyFill="1" applyBorder="1" applyAlignment="1">
      <alignment horizontal="center" vertical="center"/>
    </xf>
    <xf numFmtId="3" fontId="4" fillId="20" borderId="28" xfId="0" applyNumberFormat="1" applyFont="1" applyFill="1" applyBorder="1" applyAlignment="1">
      <alignment vertical="center"/>
    </xf>
    <xf numFmtId="3" fontId="4" fillId="20" borderId="28" xfId="0" applyNumberFormat="1" applyFont="1" applyFill="1" applyBorder="1" applyAlignment="1">
      <alignment horizontal="center" vertical="center"/>
    </xf>
    <xf numFmtId="3" fontId="4" fillId="20" borderId="22" xfId="0" applyNumberFormat="1" applyFont="1" applyFill="1" applyBorder="1" applyAlignment="1">
      <alignment vertical="center"/>
    </xf>
    <xf numFmtId="3" fontId="4" fillId="20" borderId="22" xfId="0" applyNumberFormat="1" applyFont="1" applyFill="1" applyBorder="1" applyAlignment="1">
      <alignment vertical="center" wrapText="1"/>
    </xf>
    <xf numFmtId="0" fontId="4" fillId="20" borderId="22" xfId="0" applyFont="1" applyFill="1" applyBorder="1" applyAlignment="1">
      <alignment horizontal="center" vertical="center"/>
    </xf>
    <xf numFmtId="3" fontId="4" fillId="20" borderId="29" xfId="0" applyNumberFormat="1" applyFont="1" applyFill="1" applyBorder="1" applyAlignment="1">
      <alignment vertical="center" wrapText="1"/>
    </xf>
    <xf numFmtId="0" fontId="18" fillId="0" borderId="9" xfId="0" applyFont="1" applyFill="1" applyBorder="1" applyAlignment="1">
      <alignment horizontal="center" vertical="center"/>
    </xf>
    <xf numFmtId="0" fontId="18" fillId="0" borderId="10" xfId="0" applyFont="1" applyFill="1" applyBorder="1" applyAlignment="1">
      <alignment horizontal="center" vertical="center"/>
    </xf>
    <xf numFmtId="0" fontId="49" fillId="0" borderId="8" xfId="0" quotePrefix="1" applyFont="1" applyFill="1" applyBorder="1" applyAlignment="1">
      <alignment horizontal="center" vertical="center" wrapText="1"/>
    </xf>
    <xf numFmtId="3" fontId="4" fillId="20" borderId="15" xfId="0" quotePrefix="1" applyNumberFormat="1" applyFont="1" applyFill="1" applyBorder="1" applyAlignment="1">
      <alignment vertical="center" wrapText="1"/>
    </xf>
    <xf numFmtId="174" fontId="5" fillId="20" borderId="8" xfId="28" applyNumberFormat="1" applyFont="1" applyFill="1" applyBorder="1" applyAlignment="1">
      <alignment horizontal="center" vertical="center" wrapText="1"/>
    </xf>
    <xf numFmtId="3" fontId="5" fillId="20" borderId="8" xfId="0" applyNumberFormat="1" applyFont="1" applyFill="1" applyBorder="1" applyAlignment="1">
      <alignment horizontal="center" vertical="center" wrapText="1"/>
    </xf>
    <xf numFmtId="0" fontId="49" fillId="0" borderId="32" xfId="0" applyFont="1" applyFill="1" applyBorder="1" applyAlignment="1">
      <alignment vertical="center" wrapText="1"/>
    </xf>
    <xf numFmtId="0" fontId="49" fillId="0" borderId="21" xfId="0" applyFont="1" applyFill="1" applyBorder="1" applyAlignment="1">
      <alignment vertical="center" wrapText="1"/>
    </xf>
    <xf numFmtId="0" fontId="2" fillId="0" borderId="13" xfId="0" applyFont="1" applyBorder="1" applyAlignment="1">
      <alignment horizontal="right"/>
    </xf>
    <xf numFmtId="0" fontId="63" fillId="0" borderId="27" xfId="0" applyFont="1" applyBorder="1" applyAlignment="1">
      <alignment wrapText="1"/>
    </xf>
    <xf numFmtId="0" fontId="2" fillId="0" borderId="33" xfId="0" applyFont="1" applyBorder="1"/>
    <xf numFmtId="0" fontId="2" fillId="0" borderId="17" xfId="0" applyFont="1" applyBorder="1"/>
    <xf numFmtId="0" fontId="62" fillId="0" borderId="30" xfId="0" applyFont="1" applyBorder="1" applyAlignment="1">
      <alignment wrapText="1"/>
    </xf>
    <xf numFmtId="0" fontId="2" fillId="0" borderId="8" xfId="0" applyFont="1" applyBorder="1" applyAlignment="1">
      <alignment wrapText="1"/>
    </xf>
    <xf numFmtId="0" fontId="13" fillId="20" borderId="30" xfId="0" applyFont="1" applyFill="1" applyBorder="1" applyAlignment="1">
      <alignment horizontal="center" vertical="center" wrapText="1"/>
    </xf>
    <xf numFmtId="3" fontId="4" fillId="20" borderId="30" xfId="0" applyNumberFormat="1" applyFont="1" applyFill="1" applyBorder="1" applyAlignment="1">
      <alignment vertical="center"/>
    </xf>
    <xf numFmtId="0" fontId="44" fillId="20" borderId="8" xfId="0" quotePrefix="1" applyFont="1" applyFill="1" applyBorder="1" applyAlignment="1">
      <alignment horizontal="center" vertical="center" wrapText="1"/>
    </xf>
    <xf numFmtId="0" fontId="5" fillId="20" borderId="0" xfId="0" applyFont="1" applyFill="1"/>
    <xf numFmtId="3" fontId="5" fillId="0" borderId="0" xfId="0" applyNumberFormat="1" applyFont="1"/>
    <xf numFmtId="0" fontId="8" fillId="0" borderId="8" xfId="0" applyFont="1" applyBorder="1" applyAlignment="1">
      <alignment horizontal="center" vertical="center"/>
    </xf>
    <xf numFmtId="3" fontId="6" fillId="0" borderId="0" xfId="0" applyNumberFormat="1" applyFont="1" applyAlignment="1">
      <alignment horizontal="center"/>
    </xf>
    <xf numFmtId="3" fontId="11" fillId="0" borderId="0" xfId="0" applyNumberFormat="1" applyFont="1" applyAlignment="1">
      <alignment horizontal="center"/>
    </xf>
    <xf numFmtId="0" fontId="0" fillId="0" borderId="0" xfId="0" applyAlignment="1">
      <alignment wrapText="1"/>
    </xf>
    <xf numFmtId="3" fontId="0" fillId="0" borderId="0" xfId="0" applyNumberFormat="1"/>
    <xf numFmtId="3" fontId="12" fillId="0" borderId="0" xfId="0" applyNumberFormat="1" applyFont="1" applyAlignment="1">
      <alignment horizontal="center"/>
    </xf>
    <xf numFmtId="3" fontId="6" fillId="0" borderId="0" xfId="0" applyNumberFormat="1" applyFont="1" applyAlignment="1">
      <alignment horizontal="left"/>
    </xf>
    <xf numFmtId="0" fontId="8" fillId="0" borderId="9" xfId="0" applyFont="1" applyBorder="1" applyAlignment="1">
      <alignment horizontal="center" vertical="center"/>
    </xf>
    <xf numFmtId="3" fontId="6" fillId="0" borderId="0" xfId="0" applyNumberFormat="1" applyFont="1" applyBorder="1" applyAlignment="1">
      <alignment horizontal="center" vertical="center"/>
    </xf>
    <xf numFmtId="0" fontId="13" fillId="0" borderId="34" xfId="0" quotePrefix="1" applyFont="1" applyFill="1" applyBorder="1" applyAlignment="1">
      <alignment horizontal="center" vertical="center"/>
    </xf>
    <xf numFmtId="0" fontId="13" fillId="0" borderId="35" xfId="0" applyFont="1" applyFill="1" applyBorder="1" applyAlignment="1">
      <alignment horizontal="left" vertical="center"/>
    </xf>
    <xf numFmtId="0" fontId="13" fillId="0" borderId="32" xfId="0" applyFont="1" applyFill="1" applyBorder="1" applyAlignment="1">
      <alignment horizontal="center" vertical="center"/>
    </xf>
    <xf numFmtId="1" fontId="2" fillId="0" borderId="34" xfId="0" quotePrefix="1" applyNumberFormat="1" applyFont="1" applyFill="1" applyBorder="1" applyAlignment="1">
      <alignment horizontal="center"/>
    </xf>
    <xf numFmtId="0" fontId="2" fillId="0" borderId="34" xfId="0" applyFont="1" applyFill="1" applyBorder="1" applyAlignment="1">
      <alignment horizontal="center" vertical="center" wrapText="1"/>
    </xf>
    <xf numFmtId="3" fontId="5" fillId="0" borderId="8" xfId="0" quotePrefix="1" applyNumberFormat="1" applyFont="1" applyFill="1" applyBorder="1" applyAlignment="1">
      <alignment horizontal="center" vertical="center"/>
    </xf>
    <xf numFmtId="3" fontId="41" fillId="0" borderId="8" xfId="0" applyNumberFormat="1" applyFont="1" applyFill="1" applyBorder="1" applyAlignment="1">
      <alignment horizontal="center" vertical="center"/>
    </xf>
    <xf numFmtId="1" fontId="2" fillId="0" borderId="8" xfId="0" applyNumberFormat="1" applyFont="1" applyFill="1" applyBorder="1" applyAlignment="1">
      <alignment horizontal="center"/>
    </xf>
    <xf numFmtId="0" fontId="2" fillId="0" borderId="9" xfId="0" applyFont="1" applyFill="1" applyBorder="1"/>
    <xf numFmtId="3" fontId="5" fillId="0" borderId="0" xfId="0" applyNumberFormat="1" applyFont="1" applyFill="1" applyBorder="1"/>
    <xf numFmtId="3" fontId="2" fillId="0" borderId="0" xfId="0" applyNumberFormat="1" applyFont="1" applyFill="1"/>
    <xf numFmtId="0" fontId="13" fillId="0" borderId="0" xfId="0" applyFont="1" applyFill="1"/>
    <xf numFmtId="0" fontId="8" fillId="0" borderId="0" xfId="0" applyFont="1"/>
    <xf numFmtId="0" fontId="8" fillId="0" borderId="0" xfId="0" applyFont="1" applyAlignment="1">
      <alignment wrapText="1"/>
    </xf>
    <xf numFmtId="3" fontId="2" fillId="0" borderId="0" xfId="0" applyNumberFormat="1" applyFont="1"/>
    <xf numFmtId="0" fontId="6" fillId="0" borderId="0" xfId="0" applyFont="1" applyBorder="1" applyAlignment="1"/>
    <xf numFmtId="3" fontId="6" fillId="0" borderId="0" xfId="0" applyNumberFormat="1" applyFont="1"/>
    <xf numFmtId="3" fontId="10" fillId="0" borderId="0" xfId="0" applyNumberFormat="1" applyFont="1" applyAlignment="1">
      <alignment horizontal="center"/>
    </xf>
    <xf numFmtId="3" fontId="9" fillId="0" borderId="0" xfId="0" applyNumberFormat="1" applyFont="1" applyAlignment="1">
      <alignment horizontal="center"/>
    </xf>
    <xf numFmtId="0" fontId="13" fillId="0" borderId="0" xfId="0" applyFont="1" applyAlignment="1">
      <alignment horizontal="center" wrapText="1"/>
    </xf>
    <xf numFmtId="3" fontId="13" fillId="0" borderId="0" xfId="0" applyNumberFormat="1" applyFont="1" applyAlignment="1">
      <alignment horizontal="center"/>
    </xf>
    <xf numFmtId="3" fontId="13" fillId="0" borderId="0" xfId="0" applyNumberFormat="1" applyFont="1"/>
    <xf numFmtId="0" fontId="4" fillId="0" borderId="0" xfId="0" applyFont="1" applyAlignment="1">
      <alignment horizontal="center"/>
    </xf>
    <xf numFmtId="0" fontId="4" fillId="0" borderId="0" xfId="0" applyFont="1" applyAlignment="1">
      <alignment wrapText="1"/>
    </xf>
    <xf numFmtId="3" fontId="4" fillId="0" borderId="0" xfId="0" applyNumberFormat="1" applyFont="1"/>
    <xf numFmtId="0" fontId="49" fillId="0" borderId="8" xfId="0" applyFont="1" applyBorder="1" applyAlignment="1">
      <alignment horizontal="center" vertical="center" wrapText="1"/>
    </xf>
    <xf numFmtId="3" fontId="8" fillId="0" borderId="8" xfId="0" applyNumberFormat="1" applyFont="1" applyBorder="1" applyAlignment="1">
      <alignment horizontal="center" vertical="center"/>
    </xf>
    <xf numFmtId="3" fontId="59" fillId="0" borderId="8" xfId="0" applyNumberFormat="1" applyFont="1" applyBorder="1" applyAlignment="1">
      <alignment horizontal="center" vertical="center"/>
    </xf>
    <xf numFmtId="0" fontId="8" fillId="0" borderId="10" xfId="0" applyFont="1" applyBorder="1" applyAlignment="1">
      <alignment horizontal="center" vertical="center" wrapText="1"/>
    </xf>
    <xf numFmtId="3" fontId="2" fillId="0" borderId="0" xfId="0" applyNumberFormat="1" applyFont="1" applyBorder="1" applyAlignment="1">
      <alignment horizontal="center" vertical="center"/>
    </xf>
    <xf numFmtId="0" fontId="2" fillId="0" borderId="0" xfId="0" applyFont="1" applyAlignment="1">
      <alignment vertical="center"/>
    </xf>
    <xf numFmtId="0" fontId="43" fillId="20" borderId="20" xfId="0" applyFont="1" applyFill="1" applyBorder="1" applyAlignment="1">
      <alignment vertical="center"/>
    </xf>
    <xf numFmtId="0" fontId="13" fillId="20" borderId="18" xfId="0" applyFont="1" applyFill="1" applyBorder="1" applyAlignment="1">
      <alignment horizontal="center" vertical="center" wrapText="1"/>
    </xf>
    <xf numFmtId="0" fontId="13" fillId="20" borderId="18" xfId="0" applyFont="1" applyFill="1" applyBorder="1" applyAlignment="1">
      <alignment vertical="center"/>
    </xf>
    <xf numFmtId="1" fontId="49" fillId="20" borderId="18" xfId="0" quotePrefix="1" applyNumberFormat="1" applyFont="1" applyFill="1" applyBorder="1" applyAlignment="1">
      <alignment horizontal="center" vertical="center"/>
    </xf>
    <xf numFmtId="1" fontId="4" fillId="20" borderId="18" xfId="0" applyNumberFormat="1" applyFont="1" applyFill="1" applyBorder="1" applyAlignment="1">
      <alignment horizontal="center" vertical="center"/>
    </xf>
    <xf numFmtId="3" fontId="4" fillId="20" borderId="20" xfId="0" applyNumberFormat="1" applyFont="1" applyFill="1" applyBorder="1" applyAlignment="1">
      <alignment vertical="center" wrapText="1"/>
    </xf>
    <xf numFmtId="3" fontId="4" fillId="20" borderId="19" xfId="0" quotePrefix="1" applyNumberFormat="1" applyFont="1" applyFill="1" applyBorder="1" applyAlignment="1">
      <alignment vertical="center" wrapText="1"/>
    </xf>
    <xf numFmtId="0" fontId="43" fillId="20" borderId="36" xfId="0" applyFont="1" applyFill="1" applyBorder="1" applyAlignment="1">
      <alignment vertical="center"/>
    </xf>
    <xf numFmtId="0" fontId="43" fillId="20" borderId="37" xfId="0" applyFont="1" applyFill="1" applyBorder="1" applyAlignment="1">
      <alignment vertical="center"/>
    </xf>
    <xf numFmtId="0" fontId="4" fillId="20" borderId="31" xfId="0" applyFont="1" applyFill="1" applyBorder="1" applyAlignment="1">
      <alignment horizontal="center" vertical="center" wrapText="1"/>
    </xf>
    <xf numFmtId="0" fontId="13" fillId="20" borderId="31" xfId="0" applyFont="1" applyFill="1" applyBorder="1" applyAlignment="1">
      <alignment vertical="center"/>
    </xf>
    <xf numFmtId="1" fontId="49" fillId="20" borderId="31" xfId="0" quotePrefix="1" applyNumberFormat="1" applyFont="1" applyFill="1" applyBorder="1" applyAlignment="1">
      <alignment horizontal="center" vertical="center"/>
    </xf>
    <xf numFmtId="1" fontId="4" fillId="20" borderId="31" xfId="0" applyNumberFormat="1" applyFont="1" applyFill="1" applyBorder="1" applyAlignment="1">
      <alignment horizontal="center" vertical="center"/>
    </xf>
    <xf numFmtId="3" fontId="4" fillId="20" borderId="31" xfId="0" applyNumberFormat="1" applyFont="1" applyFill="1" applyBorder="1" applyAlignment="1">
      <alignment horizontal="center" vertical="center"/>
    </xf>
    <xf numFmtId="3" fontId="4" fillId="20" borderId="36" xfId="0" applyNumberFormat="1" applyFont="1" applyFill="1" applyBorder="1" applyAlignment="1">
      <alignment vertical="center"/>
    </xf>
    <xf numFmtId="3" fontId="4" fillId="20" borderId="36" xfId="0" applyNumberFormat="1" applyFont="1" applyFill="1" applyBorder="1" applyAlignment="1">
      <alignment vertical="center" wrapText="1"/>
    </xf>
    <xf numFmtId="0" fontId="4" fillId="20" borderId="36" xfId="0" applyFont="1" applyFill="1" applyBorder="1" applyAlignment="1">
      <alignment horizontal="center" vertical="center"/>
    </xf>
    <xf numFmtId="3" fontId="4" fillId="20" borderId="37" xfId="0" quotePrefix="1" applyNumberFormat="1" applyFont="1" applyFill="1" applyBorder="1" applyAlignment="1">
      <alignment vertical="center" wrapText="1"/>
    </xf>
    <xf numFmtId="174" fontId="6" fillId="0" borderId="8" xfId="28" quotePrefix="1" applyNumberFormat="1" applyFont="1" applyBorder="1" applyAlignment="1">
      <alignment horizontal="center" vertical="center" wrapText="1"/>
    </xf>
    <xf numFmtId="164" fontId="6" fillId="0" borderId="8" xfId="28" quotePrefix="1" applyNumberFormat="1" applyFont="1" applyBorder="1" applyAlignment="1">
      <alignment horizontal="center" vertical="center" wrapText="1"/>
    </xf>
    <xf numFmtId="0" fontId="53" fillId="20" borderId="26" xfId="0" applyFont="1" applyFill="1" applyBorder="1" applyAlignment="1">
      <alignment vertical="center"/>
    </xf>
    <xf numFmtId="3" fontId="4" fillId="20" borderId="14" xfId="0" applyNumberFormat="1" applyFont="1" applyFill="1" applyBorder="1" applyAlignment="1">
      <alignment horizontal="center" vertical="center"/>
    </xf>
    <xf numFmtId="1" fontId="43" fillId="20" borderId="16" xfId="0" quotePrefix="1" applyNumberFormat="1" applyFont="1" applyFill="1" applyBorder="1" applyAlignment="1">
      <alignment horizontal="center" vertical="center"/>
    </xf>
    <xf numFmtId="3" fontId="18" fillId="20" borderId="14" xfId="0" applyNumberFormat="1" applyFont="1" applyFill="1" applyBorder="1" applyAlignment="1">
      <alignment vertical="center"/>
    </xf>
    <xf numFmtId="3" fontId="4" fillId="20" borderId="24" xfId="0" quotePrefix="1" applyNumberFormat="1" applyFont="1" applyFill="1" applyBorder="1" applyAlignment="1">
      <alignment vertical="center" wrapText="1"/>
    </xf>
    <xf numFmtId="0" fontId="13" fillId="20" borderId="16" xfId="0" quotePrefix="1" applyFont="1" applyFill="1" applyBorder="1" applyAlignment="1">
      <alignment vertical="center"/>
    </xf>
    <xf numFmtId="0" fontId="4" fillId="0" borderId="10" xfId="0" applyFont="1" applyFill="1" applyBorder="1" applyAlignment="1">
      <alignment horizontal="left" vertical="center" wrapText="1"/>
    </xf>
    <xf numFmtId="49" fontId="13" fillId="20" borderId="16" xfId="43" quotePrefix="1" applyNumberFormat="1" applyFont="1" applyFill="1" applyBorder="1" applyAlignment="1">
      <alignment horizontal="center" vertical="center" wrapText="1"/>
    </xf>
    <xf numFmtId="9" fontId="4" fillId="20" borderId="16" xfId="46" applyFont="1" applyFill="1" applyBorder="1" applyAlignment="1">
      <alignment horizontal="center" vertical="center"/>
    </xf>
    <xf numFmtId="0" fontId="49" fillId="0" borderId="23" xfId="0" applyFont="1" applyFill="1" applyBorder="1" applyAlignment="1">
      <alignment horizontal="center" vertical="center" wrapText="1"/>
    </xf>
    <xf numFmtId="0" fontId="6" fillId="21" borderId="0" xfId="0" applyFont="1" applyFill="1" applyAlignment="1"/>
    <xf numFmtId="0" fontId="11" fillId="21" borderId="0" xfId="0" applyFont="1" applyFill="1" applyAlignment="1"/>
    <xf numFmtId="0" fontId="18" fillId="21" borderId="0" xfId="0" applyFont="1" applyFill="1" applyAlignment="1"/>
    <xf numFmtId="0" fontId="18" fillId="21" borderId="0" xfId="0" applyFont="1" applyFill="1" applyBorder="1" applyAlignment="1"/>
    <xf numFmtId="3" fontId="49" fillId="21" borderId="8" xfId="0" applyNumberFormat="1" applyFont="1" applyFill="1" applyBorder="1" applyAlignment="1">
      <alignment vertical="center"/>
    </xf>
    <xf numFmtId="0" fontId="18" fillId="21" borderId="0" xfId="0" applyFont="1" applyFill="1" applyAlignment="1">
      <alignment horizontal="center"/>
    </xf>
    <xf numFmtId="0" fontId="43" fillId="21" borderId="0" xfId="0" applyFont="1" applyFill="1"/>
    <xf numFmtId="0" fontId="6" fillId="21" borderId="0" xfId="0" applyFont="1" applyFill="1" applyAlignment="1">
      <alignment wrapText="1"/>
    </xf>
    <xf numFmtId="0" fontId="45" fillId="21" borderId="0" xfId="0" applyFont="1" applyFill="1" applyAlignment="1">
      <alignment horizontal="left"/>
    </xf>
    <xf numFmtId="0" fontId="18" fillId="21" borderId="8" xfId="0" quotePrefix="1" applyFont="1" applyFill="1" applyBorder="1" applyAlignment="1">
      <alignment horizontal="center" vertical="center" wrapText="1"/>
    </xf>
    <xf numFmtId="0" fontId="6" fillId="20" borderId="0" xfId="0" applyFont="1" applyFill="1" applyAlignment="1"/>
    <xf numFmtId="0" fontId="11" fillId="20" borderId="0" xfId="0" applyFont="1" applyFill="1" applyAlignment="1"/>
    <xf numFmtId="0" fontId="18" fillId="20" borderId="0" xfId="0" applyFont="1" applyFill="1" applyAlignment="1"/>
    <xf numFmtId="0" fontId="18" fillId="20" borderId="0" xfId="0" applyFont="1" applyFill="1" applyBorder="1" applyAlignment="1"/>
    <xf numFmtId="3" fontId="49" fillId="20" borderId="8" xfId="0" applyNumberFormat="1" applyFont="1" applyFill="1" applyBorder="1" applyAlignment="1">
      <alignment vertical="center"/>
    </xf>
    <xf numFmtId="0" fontId="18" fillId="20" borderId="0" xfId="0" applyFont="1" applyFill="1" applyAlignment="1">
      <alignment horizontal="center"/>
    </xf>
    <xf numFmtId="0" fontId="43" fillId="20" borderId="0" xfId="0" applyFont="1" applyFill="1"/>
    <xf numFmtId="0" fontId="6" fillId="20" borderId="0" xfId="0" applyFont="1" applyFill="1" applyAlignment="1">
      <alignment wrapText="1"/>
    </xf>
    <xf numFmtId="0" fontId="45" fillId="20" borderId="0" xfId="0" applyFont="1" applyFill="1" applyAlignment="1">
      <alignment horizontal="left"/>
    </xf>
    <xf numFmtId="0" fontId="5" fillId="20" borderId="0" xfId="0" applyFont="1" applyFill="1"/>
    <xf numFmtId="0" fontId="5" fillId="20" borderId="0" xfId="0" applyFont="1" applyFill="1"/>
    <xf numFmtId="0" fontId="18" fillId="20" borderId="8" xfId="0" quotePrefix="1" applyFont="1" applyFill="1" applyBorder="1" applyAlignment="1">
      <alignment horizontal="center" vertical="center" wrapText="1"/>
    </xf>
    <xf numFmtId="1" fontId="49" fillId="0" borderId="8" xfId="0" applyNumberFormat="1" applyFont="1" applyFill="1" applyBorder="1" applyAlignment="1">
      <alignment horizontal="center" vertical="center"/>
    </xf>
    <xf numFmtId="0" fontId="13" fillId="20" borderId="18" xfId="0" quotePrefix="1" applyFont="1" applyFill="1" applyBorder="1" applyAlignment="1">
      <alignment horizontal="center" vertical="center" wrapText="1"/>
    </xf>
    <xf numFmtId="173" fontId="4" fillId="20" borderId="20" xfId="0" applyNumberFormat="1" applyFont="1" applyFill="1" applyBorder="1" applyAlignment="1">
      <alignment vertical="center"/>
    </xf>
    <xf numFmtId="3" fontId="4" fillId="20" borderId="19" xfId="0" applyNumberFormat="1" applyFont="1" applyFill="1" applyBorder="1" applyAlignment="1">
      <alignment vertical="center" wrapText="1"/>
    </xf>
    <xf numFmtId="3" fontId="4" fillId="20" borderId="25" xfId="0" applyNumberFormat="1" applyFont="1" applyFill="1" applyBorder="1" applyAlignment="1">
      <alignment horizontal="left" vertical="center"/>
    </xf>
    <xf numFmtId="0" fontId="5" fillId="0" borderId="34" xfId="0" quotePrefix="1" applyFont="1" applyBorder="1" applyAlignment="1">
      <alignment horizontal="center" vertical="center" wrapText="1"/>
    </xf>
    <xf numFmtId="2" fontId="5" fillId="0" borderId="34" xfId="0" applyNumberFormat="1" applyFont="1" applyBorder="1" applyAlignment="1">
      <alignment horizontal="center" vertical="center" wrapText="1"/>
    </xf>
    <xf numFmtId="1" fontId="5" fillId="0" borderId="34" xfId="0" applyNumberFormat="1" applyFont="1" applyBorder="1" applyAlignment="1">
      <alignment horizontal="center" vertical="center" wrapText="1"/>
    </xf>
    <xf numFmtId="0" fontId="4" fillId="0" borderId="34" xfId="0" applyFont="1" applyBorder="1" applyAlignment="1">
      <alignment horizontal="center" vertical="center" wrapText="1"/>
    </xf>
    <xf numFmtId="0" fontId="5" fillId="0" borderId="35" xfId="0" applyFont="1" applyBorder="1" applyAlignment="1">
      <alignment horizontal="left" vertical="center" wrapText="1"/>
    </xf>
    <xf numFmtId="0" fontId="5" fillId="0" borderId="32" xfId="0" applyFont="1" applyFill="1" applyBorder="1" applyAlignment="1">
      <alignment horizontal="center" vertical="center" wrapText="1"/>
    </xf>
    <xf numFmtId="1" fontId="5" fillId="0" borderId="34" xfId="0" quotePrefix="1" applyNumberFormat="1" applyFont="1" applyBorder="1" applyAlignment="1">
      <alignment horizontal="center" vertical="center" wrapText="1"/>
    </xf>
    <xf numFmtId="0" fontId="5" fillId="20" borderId="0" xfId="0" applyFont="1" applyFill="1" applyBorder="1"/>
    <xf numFmtId="0" fontId="5" fillId="20" borderId="0" xfId="0" applyFont="1" applyFill="1"/>
    <xf numFmtId="0" fontId="43" fillId="21" borderId="0" xfId="0" applyFont="1" applyFill="1" applyAlignment="1">
      <alignment horizontal="center"/>
    </xf>
    <xf numFmtId="0" fontId="49" fillId="21" borderId="8" xfId="0" quotePrefix="1" applyFont="1" applyFill="1" applyBorder="1" applyAlignment="1">
      <alignment horizontal="center" vertical="center" wrapText="1"/>
    </xf>
    <xf numFmtId="3" fontId="4" fillId="21" borderId="18" xfId="0" applyNumberFormat="1" applyFont="1" applyFill="1" applyBorder="1" applyAlignment="1">
      <alignment vertical="center"/>
    </xf>
    <xf numFmtId="3" fontId="4" fillId="21" borderId="16" xfId="0" applyNumberFormat="1" applyFont="1" applyFill="1" applyBorder="1" applyAlignment="1">
      <alignment vertical="center"/>
    </xf>
    <xf numFmtId="3" fontId="4" fillId="21" borderId="31" xfId="0" applyNumberFormat="1" applyFont="1" applyFill="1" applyBorder="1" applyAlignment="1">
      <alignment vertical="center"/>
    </xf>
    <xf numFmtId="0" fontId="5" fillId="21" borderId="0" xfId="0" applyFont="1" applyFill="1" applyAlignment="1">
      <alignment horizontal="center"/>
    </xf>
    <xf numFmtId="0" fontId="43" fillId="22" borderId="14" xfId="0" applyFont="1" applyFill="1" applyBorder="1" applyAlignment="1">
      <alignment vertical="center"/>
    </xf>
    <xf numFmtId="0" fontId="43" fillId="22" borderId="15" xfId="0" applyFont="1" applyFill="1" applyBorder="1" applyAlignment="1">
      <alignment vertical="center"/>
    </xf>
    <xf numFmtId="0" fontId="4" fillId="22" borderId="16" xfId="0" applyFont="1" applyFill="1" applyBorder="1" applyAlignment="1">
      <alignment horizontal="center" vertical="center" wrapText="1"/>
    </xf>
    <xf numFmtId="0" fontId="13" fillId="22" borderId="16" xfId="0" applyFont="1" applyFill="1" applyBorder="1" applyAlignment="1">
      <alignment horizontal="center" vertical="center" wrapText="1"/>
    </xf>
    <xf numFmtId="0" fontId="13" fillId="22" borderId="16" xfId="0" applyFont="1" applyFill="1" applyBorder="1" applyAlignment="1">
      <alignment vertical="center"/>
    </xf>
    <xf numFmtId="1" fontId="49" fillId="22" borderId="16" xfId="0" quotePrefix="1" applyNumberFormat="1" applyFont="1" applyFill="1" applyBorder="1" applyAlignment="1">
      <alignment horizontal="center" vertical="center"/>
    </xf>
    <xf numFmtId="1" fontId="4" fillId="22" borderId="16" xfId="0" applyNumberFormat="1" applyFont="1" applyFill="1" applyBorder="1" applyAlignment="1">
      <alignment horizontal="center" vertical="center"/>
    </xf>
    <xf numFmtId="3" fontId="4" fillId="22" borderId="16" xfId="0" applyNumberFormat="1" applyFont="1" applyFill="1" applyBorder="1" applyAlignment="1">
      <alignment vertical="center"/>
    </xf>
    <xf numFmtId="3" fontId="4" fillId="22" borderId="16" xfId="0" applyNumberFormat="1" applyFont="1" applyFill="1" applyBorder="1" applyAlignment="1">
      <alignment horizontal="center" vertical="center"/>
    </xf>
    <xf numFmtId="3" fontId="4" fillId="22" borderId="14" xfId="0" applyNumberFormat="1" applyFont="1" applyFill="1" applyBorder="1" applyAlignment="1">
      <alignment vertical="center"/>
    </xf>
    <xf numFmtId="3" fontId="4" fillId="22" borderId="14" xfId="0" applyNumberFormat="1" applyFont="1" applyFill="1" applyBorder="1" applyAlignment="1">
      <alignment vertical="center" wrapText="1"/>
    </xf>
    <xf numFmtId="0" fontId="4" fillId="22" borderId="14" xfId="0" applyFont="1" applyFill="1" applyBorder="1" applyAlignment="1">
      <alignment horizontal="center" vertical="center"/>
    </xf>
    <xf numFmtId="3" fontId="4" fillId="22" borderId="15" xfId="0" quotePrefix="1" applyNumberFormat="1" applyFont="1" applyFill="1" applyBorder="1" applyAlignment="1">
      <alignment vertical="center" wrapText="1"/>
    </xf>
    <xf numFmtId="0" fontId="43" fillId="23" borderId="14" xfId="0" applyFont="1" applyFill="1" applyBorder="1" applyAlignment="1">
      <alignment vertical="center"/>
    </xf>
    <xf numFmtId="0" fontId="43" fillId="23" borderId="26" xfId="0" applyFont="1" applyFill="1" applyBorder="1" applyAlignment="1">
      <alignment vertical="center"/>
    </xf>
    <xf numFmtId="0" fontId="4" fillId="23" borderId="16" xfId="0" applyFont="1" applyFill="1" applyBorder="1" applyAlignment="1">
      <alignment horizontal="center" vertical="center" wrapText="1"/>
    </xf>
    <xf numFmtId="0" fontId="13" fillId="23" borderId="16" xfId="0" applyFont="1" applyFill="1" applyBorder="1" applyAlignment="1">
      <alignment horizontal="center" vertical="center" wrapText="1"/>
    </xf>
    <xf numFmtId="0" fontId="13" fillId="23" borderId="16" xfId="0" applyFont="1" applyFill="1" applyBorder="1" applyAlignment="1">
      <alignment vertical="center"/>
    </xf>
    <xf numFmtId="1" fontId="49" fillId="23" borderId="16" xfId="0" quotePrefix="1" applyNumberFormat="1" applyFont="1" applyFill="1" applyBorder="1" applyAlignment="1">
      <alignment horizontal="center" vertical="center"/>
    </xf>
    <xf numFmtId="1" fontId="4" fillId="23" borderId="16" xfId="0" applyNumberFormat="1" applyFont="1" applyFill="1" applyBorder="1" applyAlignment="1">
      <alignment horizontal="center" vertical="center"/>
    </xf>
    <xf numFmtId="3" fontId="4" fillId="23" borderId="16" xfId="0" applyNumberFormat="1" applyFont="1" applyFill="1" applyBorder="1" applyAlignment="1">
      <alignment vertical="center"/>
    </xf>
    <xf numFmtId="3" fontId="4" fillId="23" borderId="16" xfId="0" applyNumberFormat="1" applyFont="1" applyFill="1" applyBorder="1" applyAlignment="1">
      <alignment horizontal="center" vertical="center"/>
    </xf>
    <xf numFmtId="3" fontId="4" fillId="23" borderId="14" xfId="0" applyNumberFormat="1" applyFont="1" applyFill="1" applyBorder="1" applyAlignment="1">
      <alignment vertical="center"/>
    </xf>
    <xf numFmtId="0" fontId="4" fillId="23" borderId="14" xfId="0" applyFont="1" applyFill="1" applyBorder="1" applyAlignment="1">
      <alignment horizontal="center" vertical="center"/>
    </xf>
    <xf numFmtId="3" fontId="4" fillId="23" borderId="15" xfId="0" applyNumberFormat="1" applyFont="1" applyFill="1" applyBorder="1" applyAlignment="1">
      <alignment horizontal="left" vertical="center" wrapText="1"/>
    </xf>
    <xf numFmtId="0" fontId="43" fillId="23" borderId="15" xfId="0" applyFont="1" applyFill="1" applyBorder="1" applyAlignment="1">
      <alignment vertical="center"/>
    </xf>
    <xf numFmtId="3" fontId="4" fillId="23" borderId="14" xfId="0" applyNumberFormat="1" applyFont="1" applyFill="1" applyBorder="1" applyAlignment="1">
      <alignment vertical="center" wrapText="1"/>
    </xf>
    <xf numFmtId="3" fontId="4" fillId="23" borderId="15" xfId="0" quotePrefix="1" applyNumberFormat="1" applyFont="1" applyFill="1" applyBorder="1" applyAlignment="1">
      <alignment vertical="center" wrapText="1"/>
    </xf>
    <xf numFmtId="0" fontId="5" fillId="20" borderId="0" xfId="0" applyFont="1" applyFill="1" applyBorder="1"/>
    <xf numFmtId="0" fontId="5" fillId="20" borderId="0" xfId="0" applyFont="1" applyFill="1"/>
    <xf numFmtId="0" fontId="5" fillId="20" borderId="0" xfId="0" applyFont="1" applyFill="1" applyBorder="1"/>
    <xf numFmtId="0" fontId="5" fillId="20" borderId="0" xfId="0" applyFont="1" applyFill="1"/>
    <xf numFmtId="0" fontId="43" fillId="20" borderId="33" xfId="0" applyFont="1" applyFill="1" applyBorder="1" applyAlignment="1">
      <alignment vertical="center"/>
    </xf>
    <xf numFmtId="0" fontId="43" fillId="20" borderId="17" xfId="0" applyFont="1" applyFill="1" applyBorder="1" applyAlignment="1">
      <alignment vertical="center"/>
    </xf>
    <xf numFmtId="0" fontId="69" fillId="20" borderId="30" xfId="0" applyFont="1" applyFill="1" applyBorder="1" applyAlignment="1">
      <alignment vertical="center"/>
    </xf>
    <xf numFmtId="3" fontId="4" fillId="20" borderId="30" xfId="0" applyNumberFormat="1" applyFont="1" applyFill="1" applyBorder="1" applyAlignment="1">
      <alignment horizontal="center" vertical="center"/>
    </xf>
    <xf numFmtId="3" fontId="4" fillId="20" borderId="33" xfId="0" applyNumberFormat="1" applyFont="1" applyFill="1" applyBorder="1" applyAlignment="1">
      <alignment vertical="center"/>
    </xf>
    <xf numFmtId="173" fontId="4" fillId="20" borderId="33" xfId="0" applyNumberFormat="1" applyFont="1" applyFill="1" applyBorder="1" applyAlignment="1">
      <alignment vertical="center"/>
    </xf>
    <xf numFmtId="3" fontId="54" fillId="20" borderId="0" xfId="0" applyNumberFormat="1" applyFont="1" applyFill="1" applyBorder="1" applyAlignment="1">
      <alignment horizontal="left" vertical="center"/>
    </xf>
    <xf numFmtId="3" fontId="5" fillId="0" borderId="18" xfId="0" quotePrefix="1" applyNumberFormat="1" applyFont="1" applyBorder="1" applyAlignment="1">
      <alignment horizontal="center" vertical="center" wrapText="1"/>
    </xf>
    <xf numFmtId="0" fontId="6" fillId="0" borderId="0" xfId="0" applyFont="1" applyFill="1" applyAlignment="1"/>
    <xf numFmtId="0" fontId="11" fillId="0" borderId="0" xfId="0" applyFont="1" applyFill="1" applyAlignment="1"/>
    <xf numFmtId="1" fontId="6" fillId="0" borderId="0" xfId="0" quotePrefix="1" applyNumberFormat="1" applyFont="1" applyFill="1" applyBorder="1" applyAlignment="1">
      <alignment horizontal="center"/>
    </xf>
    <xf numFmtId="3" fontId="4" fillId="0" borderId="17" xfId="0" applyNumberFormat="1" applyFont="1" applyFill="1" applyBorder="1" applyAlignment="1">
      <alignment vertical="center" wrapText="1"/>
    </xf>
    <xf numFmtId="3" fontId="5" fillId="0" borderId="0" xfId="0" applyNumberFormat="1" applyFont="1" applyFill="1"/>
    <xf numFmtId="0" fontId="5" fillId="0" borderId="0" xfId="0" applyFont="1" applyFill="1"/>
    <xf numFmtId="0" fontId="5" fillId="0" borderId="0" xfId="0" applyFont="1" applyFill="1" applyBorder="1"/>
    <xf numFmtId="1" fontId="6" fillId="0" borderId="0" xfId="0" applyNumberFormat="1" applyFont="1" applyFill="1" applyBorder="1" applyAlignment="1">
      <alignment horizontal="center"/>
    </xf>
    <xf numFmtId="0" fontId="4" fillId="0" borderId="0" xfId="0" applyFont="1" applyFill="1" applyBorder="1" applyAlignment="1">
      <alignment wrapText="1"/>
    </xf>
    <xf numFmtId="3" fontId="4" fillId="0" borderId="0" xfId="0" applyNumberFormat="1" applyFont="1" applyFill="1" applyBorder="1" applyAlignment="1">
      <alignment vertical="center" wrapText="1"/>
    </xf>
    <xf numFmtId="0" fontId="5" fillId="0" borderId="0" xfId="0" applyFont="1" applyFill="1" applyBorder="1" applyAlignment="1"/>
    <xf numFmtId="3" fontId="54" fillId="0" borderId="0" xfId="0" applyNumberFormat="1" applyFont="1" applyFill="1" applyBorder="1" applyAlignment="1">
      <alignment horizontal="center" vertical="center"/>
    </xf>
    <xf numFmtId="3" fontId="4" fillId="0" borderId="17" xfId="0" applyNumberFormat="1" applyFont="1" applyFill="1" applyBorder="1" applyAlignment="1">
      <alignment horizontal="center" vertical="center"/>
    </xf>
    <xf numFmtId="174" fontId="5" fillId="0" borderId="0" xfId="28" applyNumberFormat="1" applyFont="1" applyFill="1" applyAlignment="1"/>
    <xf numFmtId="0" fontId="70" fillId="0" borderId="0" xfId="0" applyFont="1" applyFill="1" applyBorder="1" applyAlignment="1">
      <alignment horizontal="center" vertical="center" wrapText="1"/>
    </xf>
    <xf numFmtId="0" fontId="70" fillId="0" borderId="0" xfId="0" quotePrefix="1" applyFont="1" applyFill="1" applyBorder="1" applyAlignment="1">
      <alignment horizontal="center" vertical="center" wrapText="1"/>
    </xf>
    <xf numFmtId="2" fontId="70" fillId="0" borderId="0" xfId="0" applyNumberFormat="1" applyFont="1" applyFill="1" applyBorder="1" applyAlignment="1">
      <alignment horizontal="center" vertical="center" wrapText="1"/>
    </xf>
    <xf numFmtId="3" fontId="70" fillId="0" borderId="0" xfId="0" applyNumberFormat="1" applyFont="1" applyFill="1" applyBorder="1" applyAlignment="1">
      <alignment horizontal="justify" vertical="center" wrapText="1"/>
    </xf>
    <xf numFmtId="0" fontId="5" fillId="0" borderId="0" xfId="0" applyFont="1" applyFill="1" applyBorder="1" applyAlignment="1">
      <alignment horizontal="center" vertical="center"/>
    </xf>
    <xf numFmtId="0" fontId="13" fillId="0" borderId="0" xfId="0" applyFont="1" applyFill="1" applyAlignment="1">
      <alignment horizontal="center" vertical="center"/>
    </xf>
    <xf numFmtId="3" fontId="0" fillId="0" borderId="0" xfId="0" applyNumberFormat="1" applyFill="1" applyAlignment="1">
      <alignment vertical="center"/>
    </xf>
    <xf numFmtId="0" fontId="16" fillId="0" borderId="0" xfId="0" applyFont="1" applyFill="1" applyAlignment="1">
      <alignment vertical="center"/>
    </xf>
    <xf numFmtId="0" fontId="2" fillId="0" borderId="0" xfId="0" applyFont="1" applyFill="1" applyAlignment="1">
      <alignment horizontal="center" vertical="center"/>
    </xf>
    <xf numFmtId="0" fontId="0" fillId="0" borderId="0" xfId="0" applyFill="1" applyAlignment="1">
      <alignment vertical="center"/>
    </xf>
    <xf numFmtId="1" fontId="9" fillId="20" borderId="16" xfId="0" quotePrefix="1" applyNumberFormat="1" applyFont="1" applyFill="1" applyBorder="1" applyAlignment="1">
      <alignment horizontal="center" vertical="center"/>
    </xf>
    <xf numFmtId="1" fontId="13" fillId="20" borderId="16" xfId="0" applyNumberFormat="1" applyFont="1" applyFill="1" applyBorder="1" applyAlignment="1">
      <alignment horizontal="center" vertical="center"/>
    </xf>
    <xf numFmtId="3" fontId="13" fillId="20" borderId="16" xfId="0" applyNumberFormat="1" applyFont="1" applyFill="1" applyBorder="1" applyAlignment="1">
      <alignment vertical="center"/>
    </xf>
    <xf numFmtId="3" fontId="13" fillId="20" borderId="16" xfId="0" applyNumberFormat="1" applyFont="1" applyFill="1" applyBorder="1" applyAlignment="1">
      <alignment horizontal="center" vertical="center"/>
    </xf>
    <xf numFmtId="3" fontId="13" fillId="20" borderId="14" xfId="0" applyNumberFormat="1" applyFont="1" applyFill="1" applyBorder="1" applyAlignment="1">
      <alignment vertical="center"/>
    </xf>
    <xf numFmtId="173" fontId="13" fillId="20" borderId="14" xfId="0" applyNumberFormat="1" applyFont="1" applyFill="1" applyBorder="1" applyAlignment="1">
      <alignment vertical="center"/>
    </xf>
    <xf numFmtId="3" fontId="13" fillId="20" borderId="14" xfId="0" applyNumberFormat="1" applyFont="1" applyFill="1" applyBorder="1" applyAlignment="1">
      <alignment vertical="center" wrapText="1"/>
    </xf>
    <xf numFmtId="1" fontId="9" fillId="20" borderId="16" xfId="0" applyNumberFormat="1" applyFont="1" applyFill="1" applyBorder="1" applyAlignment="1">
      <alignment horizontal="center" vertical="center"/>
    </xf>
    <xf numFmtId="0" fontId="13" fillId="20" borderId="16" xfId="0" applyFont="1" applyFill="1" applyBorder="1" applyAlignment="1">
      <alignment horizontal="center" vertical="center"/>
    </xf>
    <xf numFmtId="9" fontId="13" fillId="20" borderId="16" xfId="46" applyFont="1" applyFill="1" applyBorder="1" applyAlignment="1">
      <alignment horizontal="center" vertical="center"/>
    </xf>
    <xf numFmtId="3" fontId="9" fillId="20" borderId="14" xfId="0" applyNumberFormat="1" applyFont="1" applyFill="1" applyBorder="1" applyAlignment="1">
      <alignment vertical="center"/>
    </xf>
    <xf numFmtId="0" fontId="9" fillId="0" borderId="8" xfId="0" applyFont="1" applyFill="1" applyBorder="1" applyAlignment="1">
      <alignment horizontal="center" vertical="center"/>
    </xf>
    <xf numFmtId="1" fontId="9" fillId="0" borderId="8" xfId="0" applyNumberFormat="1" applyFont="1" applyFill="1" applyBorder="1" applyAlignment="1">
      <alignment horizontal="center" vertical="center"/>
    </xf>
    <xf numFmtId="3" fontId="9" fillId="0" borderId="8" xfId="0" applyNumberFormat="1" applyFont="1" applyFill="1" applyBorder="1" applyAlignment="1">
      <alignment vertical="center"/>
    </xf>
    <xf numFmtId="3" fontId="9" fillId="0" borderId="8" xfId="0" applyNumberFormat="1" applyFont="1" applyFill="1" applyBorder="1" applyAlignment="1">
      <alignment horizontal="center" vertical="center"/>
    </xf>
    <xf numFmtId="4" fontId="9" fillId="0" borderId="8" xfId="0" applyNumberFormat="1" applyFont="1" applyFill="1" applyBorder="1" applyAlignment="1">
      <alignment vertical="center"/>
    </xf>
    <xf numFmtId="3" fontId="9" fillId="20" borderId="8" xfId="0" applyNumberFormat="1" applyFont="1" applyFill="1" applyBorder="1" applyAlignment="1">
      <alignment vertical="center"/>
    </xf>
    <xf numFmtId="0" fontId="13" fillId="20" borderId="14" xfId="0" applyFont="1" applyFill="1" applyBorder="1" applyAlignment="1">
      <alignment vertical="center" wrapText="1"/>
    </xf>
    <xf numFmtId="0" fontId="13" fillId="20" borderId="14" xfId="0" applyFont="1" applyFill="1" applyBorder="1" applyAlignment="1">
      <alignment horizontal="left" vertical="center" wrapText="1"/>
    </xf>
    <xf numFmtId="0" fontId="4" fillId="0" borderId="0" xfId="0" applyFont="1" applyFill="1"/>
    <xf numFmtId="0" fontId="18" fillId="0" borderId="0" xfId="0" applyFont="1" applyFill="1" applyBorder="1" applyAlignment="1"/>
    <xf numFmtId="0" fontId="18" fillId="0" borderId="0" xfId="0" applyFont="1" applyFill="1" applyBorder="1" applyAlignment="1">
      <alignment wrapText="1"/>
    </xf>
    <xf numFmtId="0" fontId="18" fillId="0" borderId="0" xfId="0" applyFont="1" applyFill="1" applyBorder="1" applyAlignment="1">
      <alignment vertical="center"/>
    </xf>
    <xf numFmtId="0" fontId="18" fillId="0" borderId="0" xfId="0" applyFont="1" applyFill="1" applyBorder="1"/>
    <xf numFmtId="0" fontId="18" fillId="0" borderId="0" xfId="0" applyFont="1" applyFill="1" applyBorder="1" applyAlignment="1">
      <alignment horizontal="center"/>
    </xf>
    <xf numFmtId="3" fontId="49" fillId="0" borderId="0" xfId="0" applyNumberFormat="1" applyFont="1" applyFill="1" applyBorder="1" applyAlignment="1">
      <alignment vertical="center"/>
    </xf>
    <xf numFmtId="0" fontId="46" fillId="0" borderId="0" xfId="0" applyFont="1" applyFill="1" applyAlignment="1">
      <alignment horizontal="center"/>
    </xf>
    <xf numFmtId="0" fontId="43" fillId="0" borderId="0" xfId="0" applyFont="1" applyFill="1" applyAlignment="1">
      <alignment vertical="center"/>
    </xf>
    <xf numFmtId="0" fontId="43" fillId="0" borderId="0" xfId="0" applyFont="1" applyFill="1"/>
    <xf numFmtId="0" fontId="43" fillId="0" borderId="0" xfId="0" applyFont="1" applyFill="1" applyAlignment="1">
      <alignment horizontal="center"/>
    </xf>
    <xf numFmtId="0" fontId="49" fillId="0" borderId="0" xfId="0" applyFont="1" applyFill="1" applyAlignment="1"/>
    <xf numFmtId="0" fontId="18" fillId="0" borderId="0" xfId="0" applyFont="1" applyFill="1" applyAlignment="1">
      <alignment wrapText="1"/>
    </xf>
    <xf numFmtId="0" fontId="18" fillId="0" borderId="0" xfId="0" applyFont="1" applyFill="1" applyAlignment="1">
      <alignment vertical="center"/>
    </xf>
    <xf numFmtId="0" fontId="18" fillId="0" borderId="0" xfId="0" applyFont="1" applyFill="1"/>
    <xf numFmtId="0" fontId="18" fillId="0" borderId="0" xfId="0" applyFont="1" applyFill="1" applyAlignment="1">
      <alignment horizontal="center"/>
    </xf>
    <xf numFmtId="0" fontId="43" fillId="0" borderId="0" xfId="0" applyFont="1" applyFill="1" applyAlignment="1">
      <alignment horizontal="left"/>
    </xf>
    <xf numFmtId="0" fontId="45" fillId="0" borderId="0" xfId="0" applyFont="1" applyFill="1" applyAlignment="1">
      <alignment horizontal="left"/>
    </xf>
    <xf numFmtId="0" fontId="45" fillId="0" borderId="0" xfId="0" applyFont="1" applyFill="1" applyAlignment="1">
      <alignment horizontal="left" wrapText="1"/>
    </xf>
    <xf numFmtId="0" fontId="45" fillId="0" borderId="0" xfId="0" applyFont="1" applyFill="1" applyAlignment="1">
      <alignment horizontal="left" vertical="center"/>
    </xf>
    <xf numFmtId="0" fontId="45" fillId="0" borderId="0" xfId="0" applyFont="1" applyFill="1" applyAlignment="1">
      <alignment horizontal="center"/>
    </xf>
    <xf numFmtId="0" fontId="43" fillId="0" borderId="0" xfId="0" applyFont="1" applyFill="1" applyAlignment="1">
      <alignment wrapText="1"/>
    </xf>
    <xf numFmtId="0" fontId="13" fillId="0" borderId="0" xfId="0" applyFont="1" applyFill="1" applyAlignment="1">
      <alignment wrapText="1"/>
    </xf>
    <xf numFmtId="0" fontId="13" fillId="0" borderId="0" xfId="0" applyFont="1" applyFill="1" applyAlignment="1">
      <alignment vertical="center"/>
    </xf>
    <xf numFmtId="0" fontId="13" fillId="0" borderId="0" xfId="0" applyFont="1" applyFill="1" applyAlignment="1">
      <alignment horizontal="center"/>
    </xf>
    <xf numFmtId="0" fontId="13" fillId="0" borderId="0" xfId="0" applyFont="1" applyFill="1" applyBorder="1"/>
    <xf numFmtId="0" fontId="9" fillId="0" borderId="0" xfId="0" applyFont="1" applyFill="1" applyAlignment="1">
      <alignment horizontal="center"/>
    </xf>
    <xf numFmtId="3" fontId="13" fillId="0" borderId="0" xfId="0" applyNumberFormat="1" applyFont="1" applyFill="1" applyAlignment="1">
      <alignment horizontal="center"/>
    </xf>
    <xf numFmtId="0" fontId="9" fillId="0" borderId="0" xfId="0" applyFont="1" applyFill="1" applyAlignment="1">
      <alignment wrapText="1"/>
    </xf>
    <xf numFmtId="0" fontId="10" fillId="0" borderId="0" xfId="0" applyFont="1" applyFill="1" applyAlignment="1"/>
    <xf numFmtId="0" fontId="5" fillId="20" borderId="0" xfId="0" applyFont="1" applyFill="1"/>
    <xf numFmtId="3" fontId="4" fillId="20" borderId="0" xfId="0" applyNumberFormat="1" applyFont="1" applyFill="1" applyBorder="1" applyAlignment="1">
      <alignment horizontal="center" wrapText="1"/>
    </xf>
    <xf numFmtId="0" fontId="49" fillId="20" borderId="0" xfId="0" applyFont="1" applyFill="1" applyAlignment="1"/>
    <xf numFmtId="0" fontId="5" fillId="20" borderId="0" xfId="0" applyFont="1" applyFill="1" applyAlignment="1">
      <alignment horizontal="center"/>
    </xf>
    <xf numFmtId="0" fontId="5" fillId="20" borderId="0" xfId="0" applyFont="1" applyFill="1"/>
    <xf numFmtId="0" fontId="1" fillId="20" borderId="14" xfId="0" applyFont="1" applyFill="1" applyBorder="1" applyAlignment="1">
      <alignment vertical="center" wrapText="1"/>
    </xf>
    <xf numFmtId="1" fontId="13" fillId="20" borderId="16" xfId="0" quotePrefix="1" applyNumberFormat="1" applyFont="1" applyFill="1" applyBorder="1" applyAlignment="1">
      <alignment horizontal="center" vertical="center"/>
    </xf>
    <xf numFmtId="3" fontId="13" fillId="20" borderId="14" xfId="0" applyNumberFormat="1" applyFont="1" applyFill="1" applyBorder="1" applyAlignment="1">
      <alignment horizontal="center" vertical="center"/>
    </xf>
    <xf numFmtId="0" fontId="13" fillId="20" borderId="36" xfId="0" applyFont="1" applyFill="1" applyBorder="1" applyAlignment="1">
      <alignment vertical="center" wrapText="1"/>
    </xf>
    <xf numFmtId="1" fontId="9" fillId="20" borderId="31" xfId="0" quotePrefix="1" applyNumberFormat="1" applyFont="1" applyFill="1" applyBorder="1" applyAlignment="1">
      <alignment horizontal="center" vertical="center"/>
    </xf>
    <xf numFmtId="1" fontId="13" fillId="20" borderId="31" xfId="0" applyNumberFormat="1" applyFont="1" applyFill="1" applyBorder="1" applyAlignment="1">
      <alignment horizontal="center" vertical="center"/>
    </xf>
    <xf numFmtId="3" fontId="13" fillId="20" borderId="31" xfId="0" applyNumberFormat="1" applyFont="1" applyFill="1" applyBorder="1" applyAlignment="1">
      <alignment vertical="center"/>
    </xf>
    <xf numFmtId="3" fontId="13" fillId="20" borderId="31" xfId="0" applyNumberFormat="1" applyFont="1" applyFill="1" applyBorder="1" applyAlignment="1">
      <alignment horizontal="center" vertical="center"/>
    </xf>
    <xf numFmtId="3" fontId="13" fillId="20" borderId="36" xfId="0" applyNumberFormat="1" applyFont="1" applyFill="1" applyBorder="1" applyAlignment="1">
      <alignment vertical="center"/>
    </xf>
    <xf numFmtId="3" fontId="13" fillId="20" borderId="36" xfId="0" applyNumberFormat="1" applyFont="1" applyFill="1" applyBorder="1" applyAlignment="1">
      <alignment vertical="center" wrapText="1"/>
    </xf>
    <xf numFmtId="3" fontId="9" fillId="20" borderId="36" xfId="0" applyNumberFormat="1" applyFont="1" applyFill="1" applyBorder="1" applyAlignment="1">
      <alignment vertical="center"/>
    </xf>
    <xf numFmtId="0" fontId="5" fillId="20" borderId="0" xfId="0" applyFont="1" applyFill="1"/>
    <xf numFmtId="0" fontId="13" fillId="20" borderId="30" xfId="0" quotePrefix="1" applyFont="1" applyFill="1" applyBorder="1" applyAlignment="1">
      <alignment horizontal="center" vertical="center" wrapText="1"/>
    </xf>
    <xf numFmtId="0" fontId="5" fillId="20" borderId="0" xfId="0" applyFont="1" applyFill="1"/>
    <xf numFmtId="0" fontId="5" fillId="0" borderId="0" xfId="0" applyFont="1" applyFill="1"/>
    <xf numFmtId="0" fontId="5" fillId="20" borderId="0" xfId="0" applyFont="1" applyFill="1"/>
    <xf numFmtId="0" fontId="5" fillId="20" borderId="0" xfId="0" applyFont="1" applyFill="1" applyBorder="1"/>
    <xf numFmtId="0" fontId="5" fillId="20" borderId="0" xfId="0" applyFont="1" applyFill="1"/>
    <xf numFmtId="3" fontId="1" fillId="20" borderId="15" xfId="0" applyNumberFormat="1" applyFont="1" applyFill="1" applyBorder="1" applyAlignment="1">
      <alignment vertical="center" wrapText="1"/>
    </xf>
    <xf numFmtId="0" fontId="1" fillId="20" borderId="0" xfId="0" applyFont="1" applyFill="1"/>
    <xf numFmtId="0" fontId="1" fillId="20" borderId="33" xfId="0" applyFont="1" applyFill="1" applyBorder="1" applyAlignment="1">
      <alignment vertical="center" wrapText="1"/>
    </xf>
    <xf numFmtId="1" fontId="9" fillId="20" borderId="30" xfId="0" quotePrefix="1" applyNumberFormat="1" applyFont="1" applyFill="1" applyBorder="1" applyAlignment="1">
      <alignment horizontal="center" vertical="center"/>
    </xf>
    <xf numFmtId="1" fontId="13" fillId="20" borderId="30" xfId="0" applyNumberFormat="1" applyFont="1" applyFill="1" applyBorder="1" applyAlignment="1">
      <alignment horizontal="center" vertical="center"/>
    </xf>
    <xf numFmtId="3" fontId="13" fillId="20" borderId="30" xfId="0" applyNumberFormat="1" applyFont="1" applyFill="1" applyBorder="1" applyAlignment="1">
      <alignment vertical="center"/>
    </xf>
    <xf numFmtId="3" fontId="13" fillId="20" borderId="30" xfId="0" applyNumberFormat="1" applyFont="1" applyFill="1" applyBorder="1" applyAlignment="1">
      <alignment horizontal="center" vertical="center"/>
    </xf>
    <xf numFmtId="3" fontId="13" fillId="20" borderId="33" xfId="0" applyNumberFormat="1" applyFont="1" applyFill="1" applyBorder="1" applyAlignment="1">
      <alignment vertical="center"/>
    </xf>
    <xf numFmtId="173" fontId="13" fillId="20" borderId="33" xfId="0" applyNumberFormat="1" applyFont="1" applyFill="1" applyBorder="1" applyAlignment="1">
      <alignment vertical="center"/>
    </xf>
    <xf numFmtId="3" fontId="9" fillId="20" borderId="33" xfId="0" applyNumberFormat="1" applyFont="1" applyFill="1" applyBorder="1" applyAlignment="1">
      <alignment vertical="center"/>
    </xf>
    <xf numFmtId="0" fontId="4" fillId="20" borderId="33" xfId="0" applyFont="1" applyFill="1" applyBorder="1" applyAlignment="1">
      <alignment horizontal="center" vertical="center"/>
    </xf>
    <xf numFmtId="0" fontId="1" fillId="20" borderId="14" xfId="0" applyFont="1" applyFill="1" applyBorder="1" applyAlignment="1">
      <alignment vertical="center"/>
    </xf>
    <xf numFmtId="0" fontId="1" fillId="20" borderId="16" xfId="0" applyFont="1" applyFill="1" applyBorder="1" applyAlignment="1">
      <alignment horizontal="center" vertical="center" wrapText="1"/>
    </xf>
    <xf numFmtId="1" fontId="1" fillId="20" borderId="16" xfId="0" applyNumberFormat="1" applyFont="1" applyFill="1" applyBorder="1" applyAlignment="1">
      <alignment horizontal="center" vertical="center"/>
    </xf>
    <xf numFmtId="3" fontId="1" fillId="20" borderId="16" xfId="0" applyNumberFormat="1" applyFont="1" applyFill="1" applyBorder="1" applyAlignment="1">
      <alignment vertical="center"/>
    </xf>
    <xf numFmtId="3" fontId="1" fillId="20" borderId="16" xfId="0" applyNumberFormat="1" applyFont="1" applyFill="1" applyBorder="1" applyAlignment="1">
      <alignment horizontal="center" vertical="center"/>
    </xf>
    <xf numFmtId="3" fontId="1" fillId="20" borderId="14" xfId="0" applyNumberFormat="1" applyFont="1" applyFill="1" applyBorder="1" applyAlignment="1">
      <alignment vertical="center"/>
    </xf>
    <xf numFmtId="173" fontId="1" fillId="20" borderId="14" xfId="0" applyNumberFormat="1" applyFont="1" applyFill="1" applyBorder="1" applyAlignment="1">
      <alignment vertical="center"/>
    </xf>
    <xf numFmtId="0" fontId="1" fillId="20" borderId="14" xfId="0" applyFont="1" applyFill="1" applyBorder="1" applyAlignment="1">
      <alignment horizontal="center" vertical="center"/>
    </xf>
    <xf numFmtId="0" fontId="5" fillId="20" borderId="0" xfId="0" applyFont="1" applyFill="1"/>
    <xf numFmtId="3" fontId="13" fillId="20" borderId="16" xfId="0" applyNumberFormat="1" applyFont="1" applyFill="1" applyBorder="1" applyAlignment="1">
      <alignment vertical="center" wrapText="1"/>
    </xf>
    <xf numFmtId="0" fontId="15" fillId="20" borderId="28" xfId="0" applyFont="1" applyFill="1" applyBorder="1"/>
    <xf numFmtId="0" fontId="13" fillId="23" borderId="14" xfId="0" applyFont="1" applyFill="1" applyBorder="1" applyAlignment="1">
      <alignment vertical="center" wrapText="1"/>
    </xf>
    <xf numFmtId="1" fontId="9" fillId="23" borderId="16" xfId="0" quotePrefix="1" applyNumberFormat="1" applyFont="1" applyFill="1" applyBorder="1" applyAlignment="1">
      <alignment horizontal="center" vertical="center"/>
    </xf>
    <xf numFmtId="1" fontId="13" fillId="23" borderId="16" xfId="0" applyNumberFormat="1" applyFont="1" applyFill="1" applyBorder="1" applyAlignment="1">
      <alignment horizontal="center" vertical="center"/>
    </xf>
    <xf numFmtId="3" fontId="13" fillId="23" borderId="16" xfId="0" applyNumberFormat="1" applyFont="1" applyFill="1" applyBorder="1" applyAlignment="1">
      <alignment vertical="center"/>
    </xf>
    <xf numFmtId="3" fontId="13" fillId="23" borderId="16" xfId="0" applyNumberFormat="1" applyFont="1" applyFill="1" applyBorder="1" applyAlignment="1">
      <alignment horizontal="center" vertical="center"/>
    </xf>
    <xf numFmtId="3" fontId="13" fillId="23" borderId="14" xfId="0" applyNumberFormat="1" applyFont="1" applyFill="1" applyBorder="1" applyAlignment="1">
      <alignment vertical="center"/>
    </xf>
    <xf numFmtId="3" fontId="13" fillId="23" borderId="14" xfId="0" applyNumberFormat="1" applyFont="1" applyFill="1" applyBorder="1" applyAlignment="1">
      <alignment vertical="center" wrapText="1"/>
    </xf>
    <xf numFmtId="3" fontId="9" fillId="23" borderId="14" xfId="0" applyNumberFormat="1" applyFont="1" applyFill="1" applyBorder="1" applyAlignment="1">
      <alignment vertical="center"/>
    </xf>
    <xf numFmtId="0" fontId="4" fillId="20" borderId="30" xfId="0" applyFont="1" applyFill="1" applyBorder="1" applyAlignment="1">
      <alignment horizontal="center" vertical="center" wrapText="1"/>
    </xf>
    <xf numFmtId="0" fontId="5" fillId="20" borderId="0" xfId="0" applyFont="1" applyFill="1"/>
    <xf numFmtId="0" fontId="69" fillId="20" borderId="28" xfId="0" applyFont="1" applyFill="1" applyBorder="1" applyAlignment="1">
      <alignment vertical="center"/>
    </xf>
    <xf numFmtId="1" fontId="49" fillId="20" borderId="28" xfId="0" quotePrefix="1" applyNumberFormat="1" applyFont="1" applyFill="1" applyBorder="1" applyAlignment="1">
      <alignment horizontal="center" vertical="center"/>
    </xf>
    <xf numFmtId="1" fontId="4" fillId="20" borderId="28" xfId="0" applyNumberFormat="1" applyFont="1" applyFill="1" applyBorder="1" applyAlignment="1">
      <alignment horizontal="center" vertical="center"/>
    </xf>
    <xf numFmtId="173" fontId="4" fillId="20" borderId="22" xfId="0" applyNumberFormat="1" applyFont="1" applyFill="1" applyBorder="1" applyAlignment="1">
      <alignment vertical="center"/>
    </xf>
    <xf numFmtId="0" fontId="5" fillId="0" borderId="0" xfId="0" applyFont="1" applyAlignment="1">
      <alignment horizontal="center"/>
    </xf>
    <xf numFmtId="0" fontId="5" fillId="0" borderId="0" xfId="0" applyFont="1"/>
    <xf numFmtId="0" fontId="13" fillId="0" borderId="0" xfId="0" applyFont="1" applyFill="1"/>
    <xf numFmtId="0" fontId="5" fillId="0" borderId="0" xfId="0" applyFont="1" applyFill="1"/>
    <xf numFmtId="0" fontId="13" fillId="0" borderId="0" xfId="0" applyFont="1" applyFill="1" applyAlignment="1">
      <alignment horizontal="center"/>
    </xf>
    <xf numFmtId="0" fontId="6" fillId="0" borderId="0" xfId="0" applyFont="1" applyFill="1" applyAlignment="1">
      <alignment horizontal="right"/>
    </xf>
    <xf numFmtId="0" fontId="5" fillId="0" borderId="0" xfId="0" applyFont="1"/>
    <xf numFmtId="0" fontId="43"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5" fillId="20" borderId="0" xfId="0" applyFont="1" applyFill="1" applyBorder="1"/>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Border="1" applyAlignment="1">
      <alignment horizontal="left" vertical="center" wrapText="1"/>
    </xf>
    <xf numFmtId="0" fontId="8" fillId="0" borderId="9" xfId="0" applyFont="1" applyFill="1" applyBorder="1" applyAlignment="1">
      <alignment horizontal="center" vertical="center"/>
    </xf>
    <xf numFmtId="0" fontId="6" fillId="0" borderId="0" xfId="0" applyFont="1" applyAlignment="1">
      <alignment horizontal="right"/>
    </xf>
    <xf numFmtId="0" fontId="18" fillId="0" borderId="0" xfId="0" applyFont="1" applyAlignment="1">
      <alignment horizontal="center"/>
    </xf>
    <xf numFmtId="0" fontId="49" fillId="0" borderId="23"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23" xfId="0" applyFont="1" applyFill="1" applyBorder="1" applyAlignment="1">
      <alignment horizontal="center" vertical="center" wrapText="1"/>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56" fillId="0" borderId="34" xfId="0" applyFont="1" applyFill="1" applyBorder="1" applyAlignment="1">
      <alignment horizontal="center" vertical="center"/>
    </xf>
    <xf numFmtId="0" fontId="56" fillId="0" borderId="23" xfId="0" applyFont="1" applyFill="1" applyBorder="1" applyAlignment="1">
      <alignment horizontal="center" vertical="center"/>
    </xf>
    <xf numFmtId="0" fontId="12" fillId="0" borderId="0" xfId="0" applyFont="1" applyAlignment="1">
      <alignment horizontal="center"/>
    </xf>
    <xf numFmtId="0" fontId="14" fillId="0" borderId="0" xfId="0" applyFont="1" applyFill="1" applyAlignment="1">
      <alignment wrapText="1"/>
    </xf>
    <xf numFmtId="0" fontId="5" fillId="0" borderId="0" xfId="0" applyFont="1" applyFill="1" applyAlignment="1">
      <alignment horizontal="center"/>
    </xf>
    <xf numFmtId="0" fontId="5" fillId="0" borderId="0" xfId="0" applyFont="1" applyFill="1"/>
    <xf numFmtId="0" fontId="18" fillId="0" borderId="0" xfId="0" applyFont="1" applyFill="1" applyAlignment="1">
      <alignment horizontal="center"/>
    </xf>
    <xf numFmtId="0" fontId="13" fillId="0" borderId="0" xfId="0" applyFont="1" applyFill="1"/>
    <xf numFmtId="0" fontId="13" fillId="0" borderId="0" xfId="0" applyFont="1" applyFill="1" applyAlignment="1">
      <alignment horizontal="center"/>
    </xf>
    <xf numFmtId="0" fontId="9" fillId="0" borderId="0" xfId="0" applyFont="1" applyFill="1" applyAlignment="1">
      <alignment horizontal="center"/>
    </xf>
    <xf numFmtId="0" fontId="43" fillId="0" borderId="0" xfId="0" applyFont="1" applyFill="1" applyAlignment="1">
      <alignment horizontal="center"/>
    </xf>
    <xf numFmtId="0" fontId="45" fillId="0" borderId="0" xfId="0" applyFont="1" applyFill="1" applyAlignment="1">
      <alignment horizontal="center"/>
    </xf>
    <xf numFmtId="0" fontId="43" fillId="0" borderId="0" xfId="0" applyFont="1"/>
    <xf numFmtId="0" fontId="11" fillId="0" borderId="0" xfId="0" applyFont="1" applyAlignment="1">
      <alignment horizontal="center"/>
    </xf>
    <xf numFmtId="0" fontId="4" fillId="0" borderId="0" xfId="0" applyFont="1"/>
    <xf numFmtId="0" fontId="1" fillId="20" borderId="14" xfId="0" applyFont="1" applyFill="1" applyBorder="1" applyAlignment="1">
      <alignment horizontal="left" vertical="center" wrapText="1"/>
    </xf>
    <xf numFmtId="0" fontId="6" fillId="0" borderId="0" xfId="0" applyFont="1" applyAlignment="1">
      <alignment horizontal="center"/>
    </xf>
    <xf numFmtId="0" fontId="43" fillId="0" borderId="0" xfId="0" applyFont="1" applyAlignment="1">
      <alignment horizontal="center"/>
    </xf>
    <xf numFmtId="0" fontId="12" fillId="0" borderId="0" xfId="0" applyFont="1" applyAlignment="1">
      <alignment horizontal="center"/>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5" fillId="20" borderId="0" xfId="0" applyFont="1" applyFill="1" applyBorder="1"/>
    <xf numFmtId="0" fontId="8" fillId="0" borderId="10" xfId="0" applyFont="1" applyFill="1" applyBorder="1" applyAlignment="1">
      <alignment horizontal="center" vertical="center"/>
    </xf>
    <xf numFmtId="0" fontId="9" fillId="0" borderId="0" xfId="0" applyFont="1" applyFill="1" applyAlignment="1">
      <alignment horizontal="center"/>
    </xf>
    <xf numFmtId="0" fontId="5" fillId="0" borderId="0" xfId="0" applyFont="1" applyFill="1"/>
    <xf numFmtId="0" fontId="43" fillId="0" borderId="0" xfId="0" applyFont="1" applyFill="1" applyAlignment="1">
      <alignment horizontal="center"/>
    </xf>
    <xf numFmtId="0" fontId="45" fillId="0" borderId="0" xfId="0" applyFont="1" applyFill="1" applyAlignment="1">
      <alignment horizontal="center"/>
    </xf>
    <xf numFmtId="0" fontId="13" fillId="0" borderId="0" xfId="0" applyFont="1" applyFill="1"/>
    <xf numFmtId="0" fontId="13" fillId="0" borderId="0" xfId="0" applyFont="1" applyFill="1" applyAlignment="1">
      <alignment horizontal="center"/>
    </xf>
    <xf numFmtId="3" fontId="67" fillId="0" borderId="0" xfId="0" applyNumberFormat="1" applyFont="1" applyFill="1" applyBorder="1" applyAlignment="1">
      <alignment horizontal="center" vertical="center" wrapText="1"/>
    </xf>
    <xf numFmtId="0" fontId="18" fillId="0" borderId="0" xfId="0" applyFont="1" applyFill="1" applyAlignment="1">
      <alignment horizontal="center"/>
    </xf>
    <xf numFmtId="0" fontId="11" fillId="0" borderId="0" xfId="0" applyFont="1" applyAlignment="1">
      <alignment horizontal="center"/>
    </xf>
    <xf numFmtId="0" fontId="4" fillId="0" borderId="0" xfId="0" applyFont="1"/>
    <xf numFmtId="0" fontId="13" fillId="20" borderId="30" xfId="0" applyFont="1" applyFill="1" applyBorder="1" applyAlignment="1">
      <alignment vertical="center"/>
    </xf>
    <xf numFmtId="0" fontId="13" fillId="20" borderId="39" xfId="0" applyFont="1" applyFill="1" applyBorder="1" applyAlignment="1">
      <alignment vertical="center" wrapText="1"/>
    </xf>
    <xf numFmtId="0" fontId="4" fillId="20" borderId="23" xfId="0" applyFont="1" applyFill="1" applyBorder="1" applyAlignment="1">
      <alignment horizontal="center" vertical="center" wrapText="1"/>
    </xf>
    <xf numFmtId="0" fontId="13" fillId="20" borderId="23" xfId="0" applyFont="1" applyFill="1" applyBorder="1" applyAlignment="1">
      <alignment horizontal="center" vertical="center" wrapText="1"/>
    </xf>
    <xf numFmtId="0" fontId="13" fillId="20" borderId="23" xfId="0" applyFont="1" applyFill="1" applyBorder="1" applyAlignment="1">
      <alignment vertical="center"/>
    </xf>
    <xf numFmtId="1" fontId="9" fillId="20" borderId="23" xfId="0" quotePrefix="1" applyNumberFormat="1" applyFont="1" applyFill="1" applyBorder="1" applyAlignment="1">
      <alignment horizontal="center" vertical="center"/>
    </xf>
    <xf numFmtId="1" fontId="13" fillId="20" borderId="23" xfId="0" applyNumberFormat="1" applyFont="1" applyFill="1" applyBorder="1" applyAlignment="1">
      <alignment horizontal="center" vertical="center"/>
    </xf>
    <xf numFmtId="3" fontId="13" fillId="20" borderId="23" xfId="0" applyNumberFormat="1" applyFont="1" applyFill="1" applyBorder="1" applyAlignment="1">
      <alignment vertical="center"/>
    </xf>
    <xf numFmtId="3" fontId="13" fillId="20" borderId="23" xfId="0" applyNumberFormat="1" applyFont="1" applyFill="1" applyBorder="1" applyAlignment="1">
      <alignment horizontal="center" vertical="center"/>
    </xf>
    <xf numFmtId="3" fontId="13" fillId="20" borderId="27" xfId="0" applyNumberFormat="1" applyFont="1" applyFill="1" applyBorder="1" applyAlignment="1">
      <alignment vertical="center"/>
    </xf>
    <xf numFmtId="3" fontId="13" fillId="20" borderId="39" xfId="0" applyNumberFormat="1" applyFont="1" applyFill="1" applyBorder="1" applyAlignment="1">
      <alignment vertical="center"/>
    </xf>
    <xf numFmtId="3" fontId="13" fillId="20" borderId="39" xfId="0" applyNumberFormat="1" applyFont="1" applyFill="1" applyBorder="1" applyAlignment="1">
      <alignment vertical="center" wrapText="1"/>
    </xf>
    <xf numFmtId="3" fontId="9" fillId="20" borderId="39" xfId="0" applyNumberFormat="1" applyFont="1" applyFill="1" applyBorder="1" applyAlignment="1">
      <alignment vertical="center"/>
    </xf>
    <xf numFmtId="0" fontId="4" fillId="20" borderId="39" xfId="0" applyFont="1" applyFill="1" applyBorder="1" applyAlignment="1">
      <alignment horizontal="center" vertical="center"/>
    </xf>
    <xf numFmtId="3" fontId="4" fillId="20" borderId="21" xfId="0" quotePrefix="1" applyNumberFormat="1" applyFont="1" applyFill="1" applyBorder="1" applyAlignment="1">
      <alignment vertical="center" wrapText="1"/>
    </xf>
    <xf numFmtId="3" fontId="4" fillId="20" borderId="0" xfId="0" quotePrefix="1" applyNumberFormat="1" applyFont="1" applyFill="1" applyBorder="1" applyAlignment="1">
      <alignment vertical="center" wrapText="1"/>
    </xf>
    <xf numFmtId="0" fontId="18" fillId="0" borderId="27" xfId="0" applyFont="1" applyFill="1" applyBorder="1" applyAlignment="1">
      <alignment horizontal="center" vertical="center"/>
    </xf>
    <xf numFmtId="0" fontId="18" fillId="0" borderId="27" xfId="0" quotePrefix="1" applyFont="1" applyFill="1" applyBorder="1" applyAlignment="1">
      <alignment horizontal="center" vertical="center" wrapText="1"/>
    </xf>
    <xf numFmtId="0" fontId="49" fillId="0" borderId="27" xfId="0" quotePrefix="1" applyFont="1" applyFill="1" applyBorder="1" applyAlignment="1">
      <alignment horizontal="center" vertical="center" wrapText="1"/>
    </xf>
    <xf numFmtId="0" fontId="18" fillId="0" borderId="13" xfId="0" quotePrefix="1" applyFont="1" applyFill="1" applyBorder="1" applyAlignment="1">
      <alignment horizontal="center" vertical="center" wrapText="1"/>
    </xf>
    <xf numFmtId="0" fontId="49" fillId="0" borderId="13" xfId="0" quotePrefix="1" applyFont="1" applyFill="1" applyBorder="1" applyAlignment="1">
      <alignment horizontal="center" vertical="center" wrapText="1"/>
    </xf>
    <xf numFmtId="0" fontId="18" fillId="20" borderId="13" xfId="0" quotePrefix="1" applyFont="1" applyFill="1" applyBorder="1" applyAlignment="1">
      <alignment horizontal="center" vertical="center" wrapText="1"/>
    </xf>
    <xf numFmtId="0" fontId="18" fillId="0" borderId="24" xfId="0" quotePrefix="1" applyFont="1" applyFill="1" applyBorder="1" applyAlignment="1">
      <alignment horizontal="center" vertical="center" wrapText="1"/>
    </xf>
    <xf numFmtId="3" fontId="4" fillId="20" borderId="17" xfId="0" quotePrefix="1" applyNumberFormat="1" applyFont="1" applyFill="1" applyBorder="1" applyAlignment="1">
      <alignment vertical="center" wrapText="1"/>
    </xf>
    <xf numFmtId="3" fontId="13" fillId="20" borderId="8" xfId="0" applyNumberFormat="1" applyFont="1" applyFill="1" applyBorder="1" applyAlignment="1">
      <alignment vertical="center"/>
    </xf>
    <xf numFmtId="3" fontId="13" fillId="20" borderId="8" xfId="0" applyNumberFormat="1" applyFont="1" applyFill="1" applyBorder="1" applyAlignment="1">
      <alignment horizontal="center" vertical="center"/>
    </xf>
    <xf numFmtId="3" fontId="13" fillId="20" borderId="8" xfId="0" applyNumberFormat="1" applyFont="1" applyFill="1" applyBorder="1" applyAlignment="1">
      <alignment vertical="center" wrapText="1"/>
    </xf>
    <xf numFmtId="0" fontId="18" fillId="0" borderId="20" xfId="0" applyFont="1" applyFill="1" applyBorder="1" applyAlignment="1">
      <alignment horizontal="left" vertical="center"/>
    </xf>
    <xf numFmtId="0" fontId="18" fillId="0" borderId="41" xfId="0" applyFont="1" applyFill="1" applyBorder="1" applyAlignment="1">
      <alignment horizontal="left" vertical="center"/>
    </xf>
    <xf numFmtId="0" fontId="18" fillId="0" borderId="9" xfId="0" applyFont="1" applyFill="1" applyBorder="1" applyAlignment="1">
      <alignment horizontal="left" vertical="center"/>
    </xf>
    <xf numFmtId="0" fontId="18" fillId="0" borderId="38" xfId="0" applyFont="1" applyFill="1" applyBorder="1" applyAlignment="1">
      <alignment horizontal="left" vertical="center"/>
    </xf>
    <xf numFmtId="3" fontId="9" fillId="0" borderId="19" xfId="0" applyNumberFormat="1" applyFont="1" applyFill="1" applyBorder="1" applyAlignment="1">
      <alignment vertical="center"/>
    </xf>
    <xf numFmtId="3" fontId="49" fillId="20" borderId="0" xfId="0" quotePrefix="1" applyNumberFormat="1" applyFont="1" applyFill="1" applyBorder="1" applyAlignment="1">
      <alignment vertical="center" wrapText="1"/>
    </xf>
    <xf numFmtId="0" fontId="6" fillId="20" borderId="0" xfId="0" applyFont="1" applyFill="1"/>
    <xf numFmtId="0" fontId="49" fillId="20" borderId="9" xfId="0" applyFont="1" applyFill="1" applyBorder="1" applyAlignment="1">
      <alignment horizontal="center" vertical="center"/>
    </xf>
    <xf numFmtId="3" fontId="49" fillId="20" borderId="10" xfId="0" quotePrefix="1" applyNumberFormat="1" applyFont="1" applyFill="1" applyBorder="1" applyAlignment="1">
      <alignment vertical="center" wrapText="1"/>
    </xf>
    <xf numFmtId="0" fontId="18" fillId="0" borderId="10" xfId="0" applyFont="1" applyFill="1" applyBorder="1" applyAlignment="1">
      <alignment horizontal="left" vertical="center"/>
    </xf>
    <xf numFmtId="0" fontId="4" fillId="20" borderId="9" xfId="0" applyFont="1" applyFill="1" applyBorder="1" applyAlignment="1">
      <alignment horizontal="center" vertical="center"/>
    </xf>
    <xf numFmtId="3" fontId="4" fillId="20" borderId="10" xfId="0" quotePrefix="1" applyNumberFormat="1" applyFont="1" applyFill="1" applyBorder="1" applyAlignment="1">
      <alignment vertical="center" wrapText="1"/>
    </xf>
    <xf numFmtId="3" fontId="9" fillId="20" borderId="22" xfId="0" applyNumberFormat="1" applyFont="1" applyFill="1" applyBorder="1" applyAlignment="1">
      <alignment vertical="center"/>
    </xf>
    <xf numFmtId="0" fontId="49" fillId="0" borderId="9" xfId="0" quotePrefix="1" applyFont="1" applyFill="1" applyBorder="1" applyAlignment="1">
      <alignment horizontal="center" vertical="center" wrapText="1"/>
    </xf>
    <xf numFmtId="0" fontId="18" fillId="20" borderId="9" xfId="0" quotePrefix="1" applyFont="1" applyFill="1" applyBorder="1" applyAlignment="1">
      <alignment horizontal="center" vertical="center" wrapText="1"/>
    </xf>
    <xf numFmtId="1" fontId="1" fillId="20" borderId="28" xfId="0" applyNumberFormat="1" applyFont="1" applyFill="1" applyBorder="1" applyAlignment="1">
      <alignment horizontal="center" vertical="center"/>
    </xf>
    <xf numFmtId="3" fontId="1" fillId="20" borderId="28" xfId="0" applyNumberFormat="1" applyFont="1" applyFill="1" applyBorder="1" applyAlignment="1">
      <alignment vertical="center"/>
    </xf>
    <xf numFmtId="3" fontId="1" fillId="20" borderId="28" xfId="0" applyNumberFormat="1" applyFont="1" applyFill="1" applyBorder="1" applyAlignment="1">
      <alignment horizontal="center" vertical="center"/>
    </xf>
    <xf numFmtId="3" fontId="1" fillId="20" borderId="22" xfId="0" applyNumberFormat="1" applyFont="1" applyFill="1" applyBorder="1" applyAlignment="1">
      <alignment vertical="center"/>
    </xf>
    <xf numFmtId="173" fontId="1" fillId="20" borderId="22" xfId="0" applyNumberFormat="1" applyFont="1" applyFill="1" applyBorder="1" applyAlignment="1">
      <alignment vertical="center"/>
    </xf>
    <xf numFmtId="0" fontId="1" fillId="20" borderId="16" xfId="0" applyFont="1" applyFill="1" applyBorder="1" applyAlignment="1">
      <alignment horizontal="center" vertical="center"/>
    </xf>
    <xf numFmtId="3" fontId="1" fillId="20" borderId="14" xfId="0" applyNumberFormat="1" applyFont="1" applyFill="1" applyBorder="1" applyAlignment="1">
      <alignment vertical="center" wrapText="1"/>
    </xf>
    <xf numFmtId="1" fontId="1" fillId="20" borderId="16" xfId="0" quotePrefix="1" applyNumberFormat="1" applyFont="1" applyFill="1" applyBorder="1" applyAlignment="1">
      <alignment horizontal="center" vertical="center"/>
    </xf>
    <xf numFmtId="3" fontId="1" fillId="20" borderId="14" xfId="0" applyNumberFormat="1" applyFont="1" applyFill="1" applyBorder="1" applyAlignment="1">
      <alignment horizontal="center" vertical="center"/>
    </xf>
    <xf numFmtId="9" fontId="1" fillId="20" borderId="16" xfId="46" applyFont="1" applyFill="1" applyBorder="1" applyAlignment="1">
      <alignment horizontal="center" vertical="center"/>
    </xf>
    <xf numFmtId="1" fontId="1" fillId="20" borderId="30" xfId="0" applyNumberFormat="1" applyFont="1" applyFill="1" applyBorder="1" applyAlignment="1">
      <alignment horizontal="center" vertical="center"/>
    </xf>
    <xf numFmtId="3" fontId="1" fillId="20" borderId="30" xfId="0" applyNumberFormat="1" applyFont="1" applyFill="1" applyBorder="1" applyAlignment="1">
      <alignment vertical="center"/>
    </xf>
    <xf numFmtId="3" fontId="1" fillId="20" borderId="30" xfId="0" applyNumberFormat="1" applyFont="1" applyFill="1" applyBorder="1" applyAlignment="1">
      <alignment horizontal="center" vertical="center"/>
    </xf>
    <xf numFmtId="3" fontId="1" fillId="20" borderId="33" xfId="0" applyNumberFormat="1" applyFont="1" applyFill="1" applyBorder="1" applyAlignment="1">
      <alignment vertical="center"/>
    </xf>
    <xf numFmtId="173" fontId="1" fillId="20" borderId="33" xfId="0" applyNumberFormat="1" applyFont="1" applyFill="1" applyBorder="1" applyAlignment="1">
      <alignment vertical="center"/>
    </xf>
    <xf numFmtId="3" fontId="1" fillId="20" borderId="33" xfId="0" applyNumberFormat="1" applyFont="1" applyFill="1" applyBorder="1" applyAlignment="1">
      <alignment vertical="center" wrapText="1"/>
    </xf>
    <xf numFmtId="0" fontId="9" fillId="0" borderId="8" xfId="0" applyFont="1" applyFill="1" applyBorder="1" applyAlignment="1">
      <alignment vertical="center"/>
    </xf>
    <xf numFmtId="0" fontId="9" fillId="0" borderId="9" xfId="0" applyFont="1" applyFill="1" applyBorder="1" applyAlignment="1">
      <alignment horizontal="center" vertical="center"/>
    </xf>
    <xf numFmtId="0" fontId="9" fillId="0" borderId="38" xfId="0" applyFont="1" applyFill="1" applyBorder="1" applyAlignment="1">
      <alignment horizontal="center" vertical="center"/>
    </xf>
    <xf numFmtId="0" fontId="9" fillId="0" borderId="10" xfId="0" applyFont="1" applyFill="1" applyBorder="1" applyAlignment="1">
      <alignment horizontal="center" vertical="center"/>
    </xf>
    <xf numFmtId="0" fontId="13" fillId="20" borderId="30" xfId="0" applyFont="1" applyFill="1" applyBorder="1" applyAlignment="1">
      <alignment horizontal="center" vertical="center"/>
    </xf>
    <xf numFmtId="0" fontId="1" fillId="20" borderId="22" xfId="0" applyFont="1" applyFill="1" applyBorder="1" applyAlignment="1">
      <alignment vertical="center" wrapText="1"/>
    </xf>
    <xf numFmtId="0" fontId="6" fillId="0" borderId="0" xfId="0" applyFont="1" applyFill="1" applyAlignment="1">
      <alignment horizontal="right" vertical="center"/>
    </xf>
    <xf numFmtId="0" fontId="6" fillId="0" borderId="0" xfId="0" applyFont="1" applyFill="1" applyAlignment="1">
      <alignment vertical="center"/>
    </xf>
    <xf numFmtId="0" fontId="43" fillId="0" borderId="0" xfId="0" applyFont="1" applyFill="1" applyAlignment="1">
      <alignment horizontal="center" vertical="center"/>
    </xf>
    <xf numFmtId="0" fontId="11" fillId="0" borderId="0" xfId="0" applyFont="1" applyFill="1" applyAlignment="1">
      <alignment vertical="center"/>
    </xf>
    <xf numFmtId="0" fontId="49" fillId="0" borderId="0" xfId="0" applyFont="1" applyFill="1" applyAlignment="1">
      <alignment vertical="center"/>
    </xf>
    <xf numFmtId="0" fontId="15" fillId="0" borderId="0" xfId="0" applyFont="1" applyFill="1" applyAlignment="1">
      <alignment vertical="center"/>
    </xf>
    <xf numFmtId="0" fontId="1" fillId="0" borderId="0" xfId="0" applyFont="1" applyFill="1"/>
    <xf numFmtId="0" fontId="6" fillId="0" borderId="0" xfId="0" applyFont="1" applyFill="1"/>
    <xf numFmtId="0" fontId="59" fillId="0" borderId="34" xfId="0" applyFont="1" applyBorder="1" applyAlignment="1">
      <alignment horizontal="center" vertical="center" wrapText="1"/>
    </xf>
    <xf numFmtId="0" fontId="71" fillId="24" borderId="8" xfId="0" applyFont="1" applyFill="1" applyBorder="1" applyAlignment="1">
      <alignment horizontal="center" vertical="center" wrapText="1"/>
    </xf>
    <xf numFmtId="0" fontId="71" fillId="24" borderId="8" xfId="0" applyFont="1" applyFill="1" applyBorder="1" applyAlignment="1">
      <alignment horizontal="justify" vertical="center" wrapText="1"/>
    </xf>
    <xf numFmtId="0" fontId="71" fillId="0" borderId="8" xfId="0" applyFont="1" applyFill="1" applyBorder="1" applyAlignment="1">
      <alignment horizontal="center" vertical="center" wrapText="1"/>
    </xf>
    <xf numFmtId="0" fontId="71" fillId="0" borderId="8" xfId="0" applyFont="1" applyBorder="1" applyAlignment="1">
      <alignment horizontal="center" vertical="center" wrapText="1"/>
    </xf>
    <xf numFmtId="0" fontId="43" fillId="20" borderId="29" xfId="0" quotePrefix="1" applyFont="1" applyFill="1" applyBorder="1" applyAlignment="1">
      <alignment horizontal="center" vertical="center"/>
    </xf>
    <xf numFmtId="0" fontId="43" fillId="20" borderId="10" xfId="0" quotePrefix="1" applyFont="1" applyFill="1" applyBorder="1" applyAlignment="1">
      <alignment horizontal="center" vertical="center"/>
    </xf>
    <xf numFmtId="0" fontId="18" fillId="20" borderId="10" xfId="0" quotePrefix="1" applyFont="1" applyFill="1" applyBorder="1" applyAlignment="1">
      <alignment horizontal="center" vertical="center"/>
    </xf>
    <xf numFmtId="0" fontId="43" fillId="20" borderId="15" xfId="0" quotePrefix="1" applyFont="1" applyFill="1" applyBorder="1" applyAlignment="1">
      <alignment horizontal="center" vertical="center"/>
    </xf>
    <xf numFmtId="0" fontId="0" fillId="0" borderId="8" xfId="0" applyBorder="1" applyAlignment="1">
      <alignment vertical="center"/>
    </xf>
    <xf numFmtId="174" fontId="0" fillId="0" borderId="8" xfId="28" applyNumberFormat="1" applyFont="1" applyBorder="1" applyAlignment="1">
      <alignment vertical="center"/>
    </xf>
    <xf numFmtId="174" fontId="9" fillId="0" borderId="8" xfId="28" applyNumberFormat="1" applyFont="1" applyBorder="1" applyAlignment="1">
      <alignment vertical="center"/>
    </xf>
    <xf numFmtId="0" fontId="5" fillId="20" borderId="0" xfId="0" quotePrefix="1" applyFont="1" applyFill="1" applyBorder="1" applyAlignment="1">
      <alignment horizontal="center" vertical="center" wrapText="1"/>
    </xf>
    <xf numFmtId="0" fontId="5" fillId="20" borderId="0" xfId="0" applyFont="1" applyFill="1" applyBorder="1"/>
    <xf numFmtId="0" fontId="5" fillId="20" borderId="0" xfId="0" applyFont="1" applyFill="1"/>
    <xf numFmtId="0" fontId="71" fillId="20" borderId="8" xfId="0" applyFont="1" applyFill="1" applyBorder="1" applyAlignment="1">
      <alignment horizontal="center" vertical="center" wrapText="1"/>
    </xf>
    <xf numFmtId="0" fontId="71" fillId="20" borderId="8" xfId="0" applyFont="1" applyFill="1" applyBorder="1" applyAlignment="1">
      <alignment horizontal="justify" vertical="center" wrapText="1"/>
    </xf>
    <xf numFmtId="174" fontId="0" fillId="20" borderId="8" xfId="28" applyNumberFormat="1" applyFont="1" applyFill="1" applyBorder="1" applyAlignment="1">
      <alignment vertical="center"/>
    </xf>
    <xf numFmtId="0" fontId="0" fillId="20" borderId="33" xfId="0" applyFont="1" applyFill="1" applyBorder="1" applyAlignment="1">
      <alignment vertical="center" wrapText="1"/>
    </xf>
    <xf numFmtId="0" fontId="72" fillId="20" borderId="30" xfId="0" applyFont="1" applyFill="1" applyBorder="1" applyAlignment="1">
      <alignment horizontal="center" vertical="center" wrapText="1"/>
    </xf>
    <xf numFmtId="0" fontId="0" fillId="20" borderId="30" xfId="0" applyFont="1" applyFill="1" applyBorder="1" applyAlignment="1">
      <alignment vertical="center"/>
    </xf>
    <xf numFmtId="3" fontId="0" fillId="20" borderId="30" xfId="0" applyNumberFormat="1" applyFont="1" applyFill="1" applyBorder="1" applyAlignment="1">
      <alignment vertical="center"/>
    </xf>
    <xf numFmtId="3" fontId="0" fillId="20" borderId="33" xfId="0" applyNumberFormat="1" applyFont="1" applyFill="1" applyBorder="1" applyAlignment="1">
      <alignment vertical="center"/>
    </xf>
    <xf numFmtId="3" fontId="72" fillId="20" borderId="17" xfId="0" applyNumberFormat="1" applyFont="1" applyFill="1" applyBorder="1" applyAlignment="1">
      <alignment vertical="center" wrapText="1"/>
    </xf>
    <xf numFmtId="0" fontId="13" fillId="20" borderId="28" xfId="0" applyFont="1" applyFill="1" applyBorder="1" applyAlignment="1">
      <alignment horizontal="center" vertical="center"/>
    </xf>
    <xf numFmtId="1" fontId="9" fillId="20" borderId="28" xfId="0" quotePrefix="1" applyNumberFormat="1" applyFont="1" applyFill="1" applyBorder="1" applyAlignment="1">
      <alignment horizontal="center" vertical="center"/>
    </xf>
    <xf numFmtId="3" fontId="1" fillId="20" borderId="16" xfId="0" applyNumberFormat="1" applyFont="1" applyFill="1" applyBorder="1" applyAlignment="1">
      <alignment vertical="center" wrapText="1"/>
    </xf>
    <xf numFmtId="0" fontId="1" fillId="20" borderId="28" xfId="0" applyFont="1" applyFill="1" applyBorder="1"/>
    <xf numFmtId="0" fontId="5" fillId="20" borderId="0" xfId="0" applyFont="1" applyFill="1"/>
    <xf numFmtId="0" fontId="0" fillId="20" borderId="16" xfId="0" applyFont="1" applyFill="1" applyBorder="1" applyAlignment="1">
      <alignment horizontal="center" vertical="center"/>
    </xf>
    <xf numFmtId="0" fontId="43" fillId="22" borderId="29" xfId="0" quotePrefix="1" applyFont="1" applyFill="1" applyBorder="1" applyAlignment="1">
      <alignment horizontal="center" vertical="center"/>
    </xf>
    <xf numFmtId="3" fontId="1" fillId="22" borderId="16" xfId="0" applyNumberFormat="1" applyFont="1" applyFill="1" applyBorder="1" applyAlignment="1">
      <alignment vertical="center"/>
    </xf>
    <xf numFmtId="3" fontId="1" fillId="22" borderId="14" xfId="0" applyNumberFormat="1" applyFont="1" applyFill="1" applyBorder="1" applyAlignment="1">
      <alignment vertical="center"/>
    </xf>
    <xf numFmtId="3" fontId="9" fillId="22" borderId="14" xfId="0" applyNumberFormat="1" applyFont="1" applyFill="1" applyBorder="1" applyAlignment="1">
      <alignment vertical="center"/>
    </xf>
    <xf numFmtId="3" fontId="1" fillId="22" borderId="30" xfId="0" applyNumberFormat="1" applyFont="1" applyFill="1" applyBorder="1" applyAlignment="1">
      <alignment vertical="center"/>
    </xf>
    <xf numFmtId="0" fontId="73" fillId="20" borderId="30" xfId="0" applyFont="1" applyFill="1" applyBorder="1" applyAlignment="1">
      <alignment horizontal="center" vertical="center" wrapText="1"/>
    </xf>
    <xf numFmtId="3" fontId="73" fillId="20" borderId="17" xfId="0" applyNumberFormat="1" applyFont="1" applyFill="1" applyBorder="1" applyAlignment="1">
      <alignment vertical="center" wrapText="1"/>
    </xf>
    <xf numFmtId="0" fontId="5" fillId="20" borderId="0" xfId="0" applyFont="1" applyFill="1"/>
    <xf numFmtId="0" fontId="18" fillId="0" borderId="0" xfId="0" applyFont="1" applyBorder="1" applyAlignment="1">
      <alignment horizontal="center"/>
    </xf>
    <xf numFmtId="0" fontId="43" fillId="20" borderId="24" xfId="0" applyFont="1" applyFill="1" applyBorder="1" applyAlignment="1">
      <alignment horizontal="center" vertical="center"/>
    </xf>
    <xf numFmtId="0" fontId="1" fillId="20" borderId="30" xfId="0" applyFont="1" applyFill="1" applyBorder="1" applyAlignment="1">
      <alignment vertical="center"/>
    </xf>
    <xf numFmtId="0" fontId="1" fillId="20" borderId="30" xfId="0" applyFont="1" applyFill="1" applyBorder="1" applyAlignment="1">
      <alignment horizontal="center" vertical="center"/>
    </xf>
    <xf numFmtId="1" fontId="9" fillId="20" borderId="30" xfId="0" applyNumberFormat="1" applyFont="1" applyFill="1" applyBorder="1" applyAlignment="1">
      <alignment horizontal="center" vertical="center"/>
    </xf>
    <xf numFmtId="0" fontId="1" fillId="22" borderId="33" xfId="0" applyFont="1" applyFill="1" applyBorder="1" applyAlignment="1">
      <alignment vertical="center" wrapText="1"/>
    </xf>
    <xf numFmtId="0" fontId="4" fillId="22" borderId="30" xfId="0" applyFont="1" applyFill="1" applyBorder="1" applyAlignment="1">
      <alignment horizontal="center" vertical="center" wrapText="1"/>
    </xf>
    <xf numFmtId="0" fontId="13" fillId="22" borderId="30" xfId="0" applyFont="1" applyFill="1" applyBorder="1" applyAlignment="1">
      <alignment vertical="center"/>
    </xf>
    <xf numFmtId="0" fontId="1" fillId="22" borderId="30" xfId="0" applyFont="1" applyFill="1" applyBorder="1" applyAlignment="1">
      <alignment vertical="center"/>
    </xf>
    <xf numFmtId="0" fontId="1" fillId="22" borderId="16" xfId="0" applyFont="1" applyFill="1" applyBorder="1" applyAlignment="1">
      <alignment horizontal="center" vertical="center"/>
    </xf>
    <xf numFmtId="1" fontId="9" fillId="22" borderId="30" xfId="0" applyNumberFormat="1" applyFont="1" applyFill="1" applyBorder="1" applyAlignment="1">
      <alignment horizontal="center" vertical="center"/>
    </xf>
    <xf numFmtId="0" fontId="1" fillId="22" borderId="30" xfId="0" applyFont="1" applyFill="1" applyBorder="1" applyAlignment="1">
      <alignment horizontal="center" vertical="center"/>
    </xf>
    <xf numFmtId="3" fontId="0" fillId="22" borderId="30" xfId="0" applyNumberFormat="1" applyFont="1" applyFill="1" applyBorder="1" applyAlignment="1">
      <alignment vertical="center"/>
    </xf>
    <xf numFmtId="3" fontId="1" fillId="22" borderId="30" xfId="0" applyNumberFormat="1" applyFont="1" applyFill="1" applyBorder="1" applyAlignment="1">
      <alignment horizontal="center" vertical="center"/>
    </xf>
    <xf numFmtId="3" fontId="1" fillId="22" borderId="33" xfId="0" applyNumberFormat="1" applyFont="1" applyFill="1" applyBorder="1" applyAlignment="1">
      <alignment vertical="center"/>
    </xf>
    <xf numFmtId="3" fontId="1" fillId="22" borderId="33" xfId="0" applyNumberFormat="1" applyFont="1" applyFill="1" applyBorder="1" applyAlignment="1">
      <alignment vertical="center" wrapText="1"/>
    </xf>
    <xf numFmtId="0" fontId="4" fillId="22" borderId="33" xfId="0" applyFont="1" applyFill="1" applyBorder="1" applyAlignment="1">
      <alignment horizontal="center" vertical="center"/>
    </xf>
    <xf numFmtId="3" fontId="4" fillId="22" borderId="17" xfId="0" applyNumberFormat="1" applyFont="1" applyFill="1" applyBorder="1" applyAlignment="1">
      <alignment vertical="center" wrapText="1"/>
    </xf>
    <xf numFmtId="0" fontId="1" fillId="22" borderId="14" xfId="0" applyFont="1" applyFill="1" applyBorder="1" applyAlignment="1">
      <alignment vertical="center" wrapText="1"/>
    </xf>
    <xf numFmtId="0" fontId="13" fillId="22" borderId="16" xfId="0" quotePrefix="1" applyFont="1" applyFill="1" applyBorder="1" applyAlignment="1">
      <alignment horizontal="center" vertical="center" wrapText="1"/>
    </xf>
    <xf numFmtId="0" fontId="69" fillId="22" borderId="16" xfId="0" applyFont="1" applyFill="1" applyBorder="1" applyAlignment="1">
      <alignment vertical="center"/>
    </xf>
    <xf numFmtId="0" fontId="13" fillId="22" borderId="16" xfId="0" applyFont="1" applyFill="1" applyBorder="1" applyAlignment="1">
      <alignment horizontal="center" vertical="center"/>
    </xf>
    <xf numFmtId="1" fontId="9" fillId="22" borderId="16" xfId="0" applyNumberFormat="1" applyFont="1" applyFill="1" applyBorder="1" applyAlignment="1">
      <alignment horizontal="center" vertical="center"/>
    </xf>
    <xf numFmtId="1" fontId="1" fillId="22" borderId="16" xfId="0" applyNumberFormat="1" applyFont="1" applyFill="1" applyBorder="1" applyAlignment="1">
      <alignment horizontal="center" vertical="center"/>
    </xf>
    <xf numFmtId="3" fontId="1" fillId="22" borderId="28" xfId="0" applyNumberFormat="1" applyFont="1" applyFill="1" applyBorder="1" applyAlignment="1">
      <alignment horizontal="center" vertical="center"/>
    </xf>
    <xf numFmtId="3" fontId="4" fillId="22" borderId="15" xfId="0" applyNumberFormat="1" applyFont="1" applyFill="1" applyBorder="1" applyAlignment="1">
      <alignment vertical="center" wrapText="1"/>
    </xf>
    <xf numFmtId="0" fontId="5" fillId="0" borderId="0" xfId="0" applyFont="1"/>
    <xf numFmtId="0" fontId="43" fillId="0" borderId="0" xfId="0" applyFont="1" applyAlignment="1">
      <alignment horizontal="center"/>
    </xf>
    <xf numFmtId="0" fontId="5" fillId="0" borderId="0" xfId="0" applyFont="1" applyAlignment="1">
      <alignment horizontal="center"/>
    </xf>
    <xf numFmtId="3" fontId="5" fillId="0" borderId="0" xfId="0" applyNumberFormat="1" applyFont="1"/>
    <xf numFmtId="0" fontId="6" fillId="0" borderId="0" xfId="0" applyFont="1" applyAlignment="1">
      <alignment horizontal="center"/>
    </xf>
    <xf numFmtId="0" fontId="6" fillId="0" borderId="0" xfId="0" applyFont="1"/>
    <xf numFmtId="0" fontId="45" fillId="0" borderId="0" xfId="0" applyFont="1" applyAlignment="1">
      <alignment horizontal="center"/>
    </xf>
    <xf numFmtId="0" fontId="5" fillId="20" borderId="0" xfId="0" applyFont="1" applyFill="1" applyBorder="1"/>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Border="1" applyAlignment="1">
      <alignment horizontal="left" vertical="center" wrapText="1"/>
    </xf>
    <xf numFmtId="0" fontId="8" fillId="0" borderId="9"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0" xfId="0" applyFont="1" applyAlignment="1">
      <alignment horizontal="right"/>
    </xf>
    <xf numFmtId="0" fontId="18" fillId="0" borderId="0" xfId="0" applyFont="1" applyAlignment="1">
      <alignment horizontal="center"/>
    </xf>
    <xf numFmtId="0" fontId="16" fillId="0" borderId="0" xfId="0" applyFont="1" applyFill="1" applyAlignment="1">
      <alignment horizontal="center"/>
    </xf>
    <xf numFmtId="3" fontId="48" fillId="19" borderId="40" xfId="0" applyNumberFormat="1" applyFont="1" applyFill="1" applyBorder="1" applyAlignment="1">
      <alignment horizontal="center" vertical="center" wrapText="1"/>
    </xf>
    <xf numFmtId="3" fontId="48" fillId="19" borderId="0" xfId="0" applyNumberFormat="1" applyFont="1" applyFill="1" applyBorder="1" applyAlignment="1">
      <alignment horizontal="center" vertical="center" wrapText="1"/>
    </xf>
    <xf numFmtId="0" fontId="6" fillId="0" borderId="0" xfId="0" applyFont="1" applyFill="1" applyAlignment="1">
      <alignment horizontal="center"/>
    </xf>
    <xf numFmtId="0" fontId="18" fillId="0" borderId="9" xfId="0" applyFont="1" applyFill="1" applyBorder="1" applyAlignment="1">
      <alignment horizontal="center" vertical="center" wrapText="1"/>
    </xf>
    <xf numFmtId="0" fontId="18" fillId="0" borderId="38"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49" fillId="0" borderId="9" xfId="0" applyFont="1" applyFill="1" applyBorder="1" applyAlignment="1">
      <alignment horizontal="center" vertical="center" wrapText="1"/>
    </xf>
    <xf numFmtId="0" fontId="49" fillId="0" borderId="10" xfId="0" applyFont="1" applyFill="1" applyBorder="1" applyAlignment="1">
      <alignment horizontal="center" vertical="center" wrapText="1"/>
    </xf>
    <xf numFmtId="0" fontId="49" fillId="20" borderId="35" xfId="0" applyFont="1" applyFill="1" applyBorder="1" applyAlignment="1">
      <alignment horizontal="center" vertical="center" wrapText="1"/>
    </xf>
    <xf numFmtId="0" fontId="49" fillId="20" borderId="39" xfId="0" applyFont="1" applyFill="1" applyBorder="1" applyAlignment="1">
      <alignment horizontal="center" vertical="center" wrapText="1"/>
    </xf>
    <xf numFmtId="0" fontId="49" fillId="0" borderId="34" xfId="0" applyFont="1" applyFill="1" applyBorder="1" applyAlignment="1">
      <alignment horizontal="center" vertical="center" wrapText="1"/>
    </xf>
    <xf numFmtId="0" fontId="49" fillId="0" borderId="23" xfId="0" applyFont="1" applyFill="1" applyBorder="1" applyAlignment="1">
      <alignment horizontal="center" vertical="center" wrapText="1"/>
    </xf>
    <xf numFmtId="0" fontId="49" fillId="0" borderId="35" xfId="0" applyFont="1" applyFill="1" applyBorder="1" applyAlignment="1">
      <alignment horizontal="center" vertical="center" wrapText="1"/>
    </xf>
    <xf numFmtId="0" fontId="49" fillId="0" borderId="32" xfId="0" applyFont="1" applyFill="1" applyBorder="1" applyAlignment="1">
      <alignment horizontal="center" vertical="center" wrapText="1"/>
    </xf>
    <xf numFmtId="0" fontId="49" fillId="0" borderId="39" xfId="0" applyFont="1" applyFill="1" applyBorder="1" applyAlignment="1">
      <alignment horizontal="center" vertical="center" wrapText="1"/>
    </xf>
    <xf numFmtId="0" fontId="49" fillId="0" borderId="21"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18" fillId="20" borderId="34" xfId="0" applyFont="1" applyFill="1" applyBorder="1" applyAlignment="1">
      <alignment horizontal="center" vertical="center" wrapText="1"/>
    </xf>
    <xf numFmtId="0" fontId="18" fillId="20" borderId="23" xfId="0" applyFont="1" applyFill="1" applyBorder="1" applyAlignment="1">
      <alignment horizontal="center" vertical="center" wrapText="1"/>
    </xf>
    <xf numFmtId="0" fontId="18" fillId="21" borderId="34" xfId="0" applyFont="1" applyFill="1" applyBorder="1" applyAlignment="1">
      <alignment horizontal="center" vertical="center" wrapText="1"/>
    </xf>
    <xf numFmtId="0" fontId="18" fillId="21" borderId="23" xfId="0" applyFont="1" applyFill="1" applyBorder="1" applyAlignment="1">
      <alignment horizontal="center" vertical="center" wrapText="1"/>
    </xf>
    <xf numFmtId="0" fontId="18" fillId="0" borderId="34" xfId="0" applyFont="1" applyFill="1" applyBorder="1" applyAlignment="1">
      <alignment horizontal="center" vertical="center" wrapText="1"/>
    </xf>
    <xf numFmtId="0" fontId="18" fillId="0" borderId="23" xfId="0" applyFont="1" applyFill="1" applyBorder="1" applyAlignment="1">
      <alignment horizontal="center" vertical="center" wrapText="1"/>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56" fillId="0" borderId="34" xfId="0" applyFont="1" applyFill="1" applyBorder="1" applyAlignment="1">
      <alignment horizontal="center" vertical="center"/>
    </xf>
    <xf numFmtId="0" fontId="56" fillId="0" borderId="23" xfId="0" applyFont="1" applyFill="1" applyBorder="1" applyAlignment="1">
      <alignment horizontal="center" vertical="center"/>
    </xf>
    <xf numFmtId="0" fontId="15" fillId="0" borderId="0" xfId="0" applyFont="1" applyAlignment="1">
      <alignment horizontal="center"/>
    </xf>
    <xf numFmtId="0" fontId="14" fillId="0" borderId="0" xfId="0" applyFont="1" applyAlignment="1">
      <alignment wrapText="1"/>
    </xf>
    <xf numFmtId="0" fontId="12" fillId="0" borderId="0" xfId="0" applyFont="1" applyAlignment="1">
      <alignment horizontal="center"/>
    </xf>
    <xf numFmtId="0" fontId="5" fillId="0" borderId="0" xfId="0" applyFont="1" applyFill="1"/>
    <xf numFmtId="0" fontId="45" fillId="0" borderId="0" xfId="0" applyFont="1" applyFill="1" applyAlignment="1">
      <alignment horizontal="center"/>
    </xf>
    <xf numFmtId="3" fontId="5" fillId="0" borderId="0" xfId="0" applyNumberFormat="1" applyFont="1" applyFill="1"/>
    <xf numFmtId="0" fontId="43" fillId="0" borderId="0" xfId="0" applyFont="1" applyFill="1" applyAlignment="1">
      <alignment horizontal="center"/>
    </xf>
    <xf numFmtId="0" fontId="13" fillId="0" borderId="0" xfId="0" applyFont="1" applyFill="1" applyAlignment="1">
      <alignment horizontal="center"/>
    </xf>
    <xf numFmtId="3" fontId="13" fillId="0" borderId="0" xfId="0" applyNumberFormat="1" applyFont="1" applyFill="1"/>
    <xf numFmtId="0" fontId="13" fillId="0" borderId="0" xfId="0" applyFont="1" applyFill="1"/>
    <xf numFmtId="0" fontId="9" fillId="0" borderId="0" xfId="0" applyFont="1" applyFill="1" applyAlignment="1">
      <alignment horizontal="center"/>
    </xf>
    <xf numFmtId="0" fontId="9" fillId="0" borderId="0" xfId="0" applyFont="1" applyFill="1"/>
    <xf numFmtId="0" fontId="10" fillId="0" borderId="0" xfId="0" applyFont="1" applyFill="1" applyAlignment="1">
      <alignment horizontal="center"/>
    </xf>
    <xf numFmtId="3" fontId="67" fillId="0" borderId="40" xfId="0" applyNumberFormat="1" applyFont="1" applyFill="1" applyBorder="1" applyAlignment="1">
      <alignment horizontal="center" vertical="center" wrapText="1"/>
    </xf>
    <xf numFmtId="3" fontId="67" fillId="0" borderId="0" xfId="0" applyNumberFormat="1" applyFont="1" applyFill="1" applyBorder="1" applyAlignment="1">
      <alignment horizontal="center" vertical="center" wrapText="1"/>
    </xf>
    <xf numFmtId="0" fontId="18" fillId="0" borderId="20" xfId="0" applyFont="1" applyFill="1" applyBorder="1" applyAlignment="1">
      <alignment horizontal="center" vertical="center"/>
    </xf>
    <xf numFmtId="0" fontId="18" fillId="0" borderId="41" xfId="0" applyFont="1" applyFill="1" applyBorder="1" applyAlignment="1">
      <alignment horizontal="center" vertical="center"/>
    </xf>
    <xf numFmtId="0" fontId="18" fillId="0" borderId="19" xfId="0" applyFont="1" applyFill="1" applyBorder="1" applyAlignment="1">
      <alignment horizontal="center" vertical="center"/>
    </xf>
    <xf numFmtId="0" fontId="18" fillId="0" borderId="0" xfId="0" applyFont="1" applyFill="1" applyAlignment="1">
      <alignment horizontal="center"/>
    </xf>
    <xf numFmtId="0" fontId="14" fillId="0" borderId="0" xfId="0" applyFont="1" applyFill="1" applyAlignment="1">
      <alignment wrapText="1"/>
    </xf>
    <xf numFmtId="0" fontId="5" fillId="0" borderId="0" xfId="0" applyFont="1" applyFill="1" applyAlignment="1">
      <alignment horizontal="center"/>
    </xf>
    <xf numFmtId="3" fontId="48" fillId="20" borderId="40" xfId="0" applyNumberFormat="1" applyFont="1" applyFill="1" applyBorder="1" applyAlignment="1">
      <alignment horizontal="center" vertical="center" wrapText="1"/>
    </xf>
    <xf numFmtId="3" fontId="48" fillId="20" borderId="0" xfId="0" applyNumberFormat="1" applyFont="1" applyFill="1" applyBorder="1" applyAlignment="1">
      <alignment horizontal="center" vertical="center" wrapText="1"/>
    </xf>
    <xf numFmtId="0" fontId="9" fillId="0" borderId="0" xfId="0" applyFont="1" applyAlignment="1">
      <alignment horizontal="center"/>
    </xf>
    <xf numFmtId="0" fontId="43" fillId="0" borderId="0" xfId="0" applyFont="1"/>
    <xf numFmtId="0" fontId="41" fillId="0" borderId="0" xfId="0" applyFont="1" applyAlignment="1">
      <alignment wrapText="1"/>
    </xf>
    <xf numFmtId="0" fontId="6" fillId="0" borderId="8" xfId="0" applyFont="1" applyBorder="1" applyAlignment="1">
      <alignment horizontal="center" vertical="center"/>
    </xf>
    <xf numFmtId="0" fontId="12" fillId="0" borderId="0" xfId="0" applyFont="1" applyAlignment="1">
      <alignment horizontal="center" wrapText="1"/>
    </xf>
    <xf numFmtId="0" fontId="8" fillId="0" borderId="8" xfId="0" applyFont="1" applyBorder="1" applyAlignment="1">
      <alignment horizontal="center" vertical="center"/>
    </xf>
    <xf numFmtId="0" fontId="11" fillId="0" borderId="0" xfId="0" applyFont="1" applyAlignment="1">
      <alignment horizontal="center"/>
    </xf>
    <xf numFmtId="0" fontId="16" fillId="0" borderId="0" xfId="0" applyFont="1" applyFill="1" applyAlignment="1">
      <alignment horizontal="center" vertical="center"/>
    </xf>
    <xf numFmtId="0" fontId="8" fillId="0" borderId="0" xfId="0" applyFont="1" applyFill="1" applyAlignment="1">
      <alignment horizontal="left" vertical="center" wrapText="1"/>
    </xf>
    <xf numFmtId="0" fontId="5" fillId="0" borderId="0" xfId="0" applyFont="1" applyFill="1" applyBorder="1" applyAlignment="1">
      <alignment horizontal="left" vertical="center" wrapText="1"/>
    </xf>
    <xf numFmtId="0" fontId="0" fillId="0" borderId="0" xfId="0" applyAlignment="1">
      <alignment horizontal="center"/>
    </xf>
    <xf numFmtId="0" fontId="59" fillId="0" borderId="0" xfId="0" applyFont="1" applyAlignment="1">
      <alignment horizontal="center"/>
    </xf>
    <xf numFmtId="0" fontId="16" fillId="0" borderId="0" xfId="0" applyFont="1" applyAlignment="1">
      <alignment horizontal="right"/>
    </xf>
    <xf numFmtId="0" fontId="64" fillId="0" borderId="0" xfId="0" applyFont="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61" fillId="0" borderId="9" xfId="0" applyFont="1" applyBorder="1" applyAlignment="1">
      <alignment horizontal="center" vertical="center" wrapText="1"/>
    </xf>
    <xf numFmtId="0" fontId="61" fillId="0" borderId="10" xfId="0" applyFont="1" applyBorder="1" applyAlignment="1">
      <alignment horizontal="center" vertical="center" wrapText="1"/>
    </xf>
    <xf numFmtId="0" fontId="10" fillId="0" borderId="0" xfId="0" applyFont="1" applyAlignment="1">
      <alignment horizont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44" fillId="0" borderId="9" xfId="0" quotePrefix="1" applyFont="1" applyBorder="1" applyAlignment="1">
      <alignment horizontal="center" vertical="center" wrapText="1"/>
    </xf>
    <xf numFmtId="0" fontId="44" fillId="0" borderId="10" xfId="0" applyFont="1" applyBorder="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center"/>
    </xf>
    <xf numFmtId="0" fontId="6" fillId="0" borderId="0" xfId="0" applyFont="1" applyAlignment="1">
      <alignment horizontal="left"/>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34" xfId="0" applyFont="1" applyBorder="1" applyAlignment="1">
      <alignment horizontal="center" vertical="center"/>
    </xf>
    <xf numFmtId="0" fontId="8" fillId="0" borderId="23" xfId="0" applyFont="1" applyBorder="1" applyAlignment="1">
      <alignment horizontal="center" vertical="center"/>
    </xf>
    <xf numFmtId="0" fontId="8" fillId="0" borderId="8" xfId="0" applyFont="1" applyBorder="1" applyAlignment="1">
      <alignment horizontal="center" vertical="center" wrapText="1"/>
    </xf>
    <xf numFmtId="0" fontId="2" fillId="0" borderId="0" xfId="0" applyFont="1" applyBorder="1" applyAlignment="1">
      <alignment horizontal="center" vertical="center"/>
    </xf>
    <xf numFmtId="0" fontId="4" fillId="0" borderId="0" xfId="0" applyFont="1"/>
    <xf numFmtId="0" fontId="8" fillId="0" borderId="34" xfId="0" applyFont="1" applyBorder="1" applyAlignment="1">
      <alignment horizontal="center" vertical="center" wrapText="1"/>
    </xf>
    <xf numFmtId="0" fontId="8" fillId="0" borderId="23" xfId="0" applyFont="1" applyBorder="1" applyAlignment="1">
      <alignment horizontal="center" vertical="center" wrapText="1"/>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 xfId="28" builtinId="3"/>
    <cellStyle name="Comma0" xfId="29"/>
    <cellStyle name="Currency0" xfId="30"/>
    <cellStyle name="Check Cell" xfId="27" builtinId="23" customBuiltin="1"/>
    <cellStyle name="Date" xfId="31"/>
    <cellStyle name="Euro" xfId="32"/>
    <cellStyle name="Explanatory Text" xfId="33" builtinId="53" customBuiltin="1"/>
    <cellStyle name="Fixed" xfId="34"/>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 2" xfId="43"/>
    <cellStyle name="Note" xfId="44" builtinId="10" customBuiltin="1"/>
    <cellStyle name="Output" xfId="45" builtinId="21" customBuiltin="1"/>
    <cellStyle name="Percent" xfId="46" builtinId="5"/>
    <cellStyle name="Title" xfId="47" builtinId="15" customBuiltin="1"/>
    <cellStyle name="Total" xfId="48" builtinId="25" customBuiltin="1"/>
    <cellStyle name="Warning Text" xfId="49" builtinId="11" customBuiltin="1"/>
    <cellStyle name="똿뗦먛귟 [0.00]_PRODUCT DETAIL Q1" xfId="50"/>
    <cellStyle name="똿뗦먛귟_PRODUCT DETAIL Q1" xfId="51"/>
    <cellStyle name="믅됞 [0.00]_PRODUCT DETAIL Q1" xfId="52"/>
    <cellStyle name="믅됞_PRODUCT DETAIL Q1" xfId="53"/>
    <cellStyle name="백분율_HOBONG" xfId="54"/>
    <cellStyle name="뷭?_BOOKSHIP" xfId="55"/>
    <cellStyle name="콤마 [0]_1202" xfId="56"/>
    <cellStyle name="콤마_1202" xfId="57"/>
    <cellStyle name="통화 [0]_1202" xfId="58"/>
    <cellStyle name="통화_1202" xfId="59"/>
    <cellStyle name="표준_(정보부문)월별인원계획" xfId="60"/>
  </cellStyles>
  <dxfs count="57">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top style="dotted">
          <color indexed="64"/>
        </top>
        <bottom/>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i val="0"/>
        <strike val="0"/>
        <condense val="0"/>
        <extend val="0"/>
        <outline val="0"/>
        <shadow val="0"/>
        <u val="none"/>
        <vertAlign val="baseline"/>
        <sz val="9"/>
        <color auto="1"/>
        <name val="Times New Roman"/>
        <scheme val="none"/>
      </font>
      <alignment horizontal="center"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border diagonalUp="0" diagonalDown="0" outline="0">
        <left/>
        <right/>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i val="0"/>
        <strike val="0"/>
        <condense val="0"/>
        <extend val="0"/>
        <outline val="0"/>
        <shadow val="0"/>
        <u val="none"/>
        <vertAlign val="baseline"/>
        <sz val="9"/>
        <color auto="1"/>
        <name val="Times New Roman"/>
        <scheme val="none"/>
      </font>
      <alignment horizontal="general" vertical="bottom" textRotation="0" wrapText="1" indent="0" justifyLastLine="0" shrinkToFit="0" readingOrder="0"/>
      <border diagonalUp="0" diagonalDown="0" outline="0">
        <left/>
        <right/>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dotted">
          <color indexed="64"/>
        </top>
        <bottom/>
        <vertical/>
        <horizontal/>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style="dotted">
          <color indexed="64"/>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bottom/>
        <vertical/>
        <horizontal/>
      </border>
    </dxf>
    <dxf>
      <border outline="0">
        <left style="thin">
          <color indexed="64"/>
        </left>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general" vertical="center" textRotation="0" wrapText="1" indent="0" justifyLastLine="0" shrinkToFit="0" readingOrder="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theme" Target="theme/theme1.xml"/><Relationship Id="rId2" Type="http://schemas.openxmlformats.org/officeDocument/2006/relationships/worksheet" Target="worksheets/sheet2.xml"/><Relationship Id="rId16" Type="http://schemas.microsoft.com/office/2007/relationships/slicerCache" Target="slicerCaches/slicerCach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2" name="Straight Connector 1"/>
        <xdr:cNvCxnSpPr/>
      </xdr:nvCxnSpPr>
      <xdr:spPr>
        <a:xfrm>
          <a:off x="1057275" y="428625"/>
          <a:ext cx="10401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541676</xdr:colOff>
      <xdr:row>2</xdr:row>
      <xdr:rowOff>9525</xdr:rowOff>
    </xdr:from>
    <xdr:to>
      <xdr:col>4</xdr:col>
      <xdr:colOff>488962</xdr:colOff>
      <xdr:row>2</xdr:row>
      <xdr:rowOff>9525</xdr:rowOff>
    </xdr:to>
    <xdr:cxnSp macro="">
      <xdr:nvCxnSpPr>
        <xdr:cNvPr id="2" name="Straight Connector 1"/>
        <xdr:cNvCxnSpPr/>
      </xdr:nvCxnSpPr>
      <xdr:spPr>
        <a:xfrm>
          <a:off x="1970426" y="390525"/>
          <a:ext cx="8045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561975</xdr:colOff>
      <xdr:row>1</xdr:row>
      <xdr:rowOff>194310</xdr:rowOff>
    </xdr:from>
    <xdr:to>
      <xdr:col>3</xdr:col>
      <xdr:colOff>647700</xdr:colOff>
      <xdr:row>1</xdr:row>
      <xdr:rowOff>194310</xdr:rowOff>
    </xdr:to>
    <xdr:cxnSp macro="">
      <xdr:nvCxnSpPr>
        <xdr:cNvPr id="3" name="Straight Connector 2"/>
        <xdr:cNvCxnSpPr/>
      </xdr:nvCxnSpPr>
      <xdr:spPr>
        <a:xfrm>
          <a:off x="819150" y="400050"/>
          <a:ext cx="1257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3" name="Straight Connector 2"/>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absolute">
    <xdr:from>
      <xdr:col>29</xdr:col>
      <xdr:colOff>381000</xdr:colOff>
      <xdr:row>1</xdr:row>
      <xdr:rowOff>57150</xdr:rowOff>
    </xdr:from>
    <xdr:to>
      <xdr:col>33</xdr:col>
      <xdr:colOff>390525</xdr:colOff>
      <xdr:row>13</xdr:row>
      <xdr:rowOff>19050</xdr:rowOff>
    </xdr:to>
    <mc:AlternateContent xmlns:mc="http://schemas.openxmlformats.org/markup-compatibility/2006" xmlns:sle15="http://schemas.microsoft.com/office/drawing/2012/slicer">
      <mc:Choice Requires="sle15">
        <xdr:graphicFrame macro="">
          <xdr:nvGraphicFramePr>
            <xdr:cNvPr id="2" name="Column31"/>
            <xdr:cNvGraphicFramePr/>
          </xdr:nvGraphicFramePr>
          <xdr:xfrm>
            <a:off x="0" y="0"/>
            <a:ext cx="0" cy="0"/>
          </xdr:xfrm>
          <a:graphic>
            <a:graphicData uri="http://schemas.microsoft.com/office/drawing/2010/slicer">
              <sle:slicer xmlns:sle="http://schemas.microsoft.com/office/drawing/2010/slicer" name="Column31"/>
            </a:graphicData>
          </a:graphic>
        </xdr:graphicFrame>
      </mc:Choice>
      <mc:Fallback xmlns="">
        <xdr:sp macro="" textlink="">
          <xdr:nvSpPr>
            <xdr:cNvPr id="0" name=""/>
            <xdr:cNvSpPr>
              <a:spLocks noTextEdit="1"/>
            </xdr:cNvSpPr>
          </xdr:nvSpPr>
          <xdr:spPr>
            <a:xfrm>
              <a:off x="17487900" y="247650"/>
              <a:ext cx="3590925" cy="26670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wsDr>
</file>

<file path=xl/drawings/drawing7.xml><?xml version="1.0" encoding="utf-8"?>
<xdr:wsDr xmlns:xdr="http://schemas.openxmlformats.org/drawingml/2006/spreadsheetDrawing" xmlns:a="http://schemas.openxmlformats.org/drawingml/2006/main">
  <xdr:twoCellAnchor>
    <xdr:from>
      <xdr:col>1</xdr:col>
      <xdr:colOff>883227</xdr:colOff>
      <xdr:row>1</xdr:row>
      <xdr:rowOff>190500</xdr:rowOff>
    </xdr:from>
    <xdr:to>
      <xdr:col>2</xdr:col>
      <xdr:colOff>683049</xdr:colOff>
      <xdr:row>1</xdr:row>
      <xdr:rowOff>190500</xdr:rowOff>
    </xdr:to>
    <xdr:cxnSp macro="">
      <xdr:nvCxnSpPr>
        <xdr:cNvPr id="3" name="Straight Connector 2"/>
        <xdr:cNvCxnSpPr/>
      </xdr:nvCxnSpPr>
      <xdr:spPr>
        <a:xfrm>
          <a:off x="1186295" y="389659"/>
          <a:ext cx="103909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544830</xdr:colOff>
      <xdr:row>2</xdr:row>
      <xdr:rowOff>11430</xdr:rowOff>
    </xdr:from>
    <xdr:to>
      <xdr:col>3</xdr:col>
      <xdr:colOff>257189</xdr:colOff>
      <xdr:row>2</xdr:row>
      <xdr:rowOff>11430</xdr:rowOff>
    </xdr:to>
    <xdr:cxnSp macro="">
      <xdr:nvCxnSpPr>
        <xdr:cNvPr id="2" name="Straight Connector 1"/>
        <xdr:cNvCxnSpPr/>
      </xdr:nvCxnSpPr>
      <xdr:spPr>
        <a:xfrm>
          <a:off x="1438275" y="419100"/>
          <a:ext cx="10572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857250</xdr:colOff>
      <xdr:row>2</xdr:row>
      <xdr:rowOff>0</xdr:rowOff>
    </xdr:from>
    <xdr:to>
      <xdr:col>3</xdr:col>
      <xdr:colOff>95250</xdr:colOff>
      <xdr:row>2</xdr:row>
      <xdr:rowOff>0</xdr:rowOff>
    </xdr:to>
    <xdr:cxnSp macro="">
      <xdr:nvCxnSpPr>
        <xdr:cNvPr id="3" name="Straight Connector 2"/>
        <xdr:cNvCxnSpPr/>
      </xdr:nvCxnSpPr>
      <xdr:spPr>
        <a:xfrm>
          <a:off x="1143000" y="400050"/>
          <a:ext cx="790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LIEUMAYCU/Quynh%20chung/Quynh%20Exel/2024/T01-24%20-%20STK%20SACOMBANK.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LIEUMAYCU/Quynh%20chung/Quynh%20Exel/2024/Tong%20hop/NHAP%20-%20TONG%20THU%20NHAP%20TOAN%20TRUONG%20T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COM"/>
    </sheetNames>
    <sheetDataSet>
      <sheetData sheetId="0">
        <row r="7">
          <cell r="B7" t="str">
            <v>Phạm Hữu Lộc</v>
          </cell>
          <cell r="C7" t="str">
            <v>0903828252</v>
          </cell>
        </row>
        <row r="8">
          <cell r="B8" t="str">
            <v>Đinh Văn Đệ</v>
          </cell>
          <cell r="C8" t="str">
            <v>01344338868</v>
          </cell>
        </row>
        <row r="9">
          <cell r="B9" t="str">
            <v>Đinh Hồng Minh</v>
          </cell>
          <cell r="C9" t="str">
            <v>060310677992</v>
          </cell>
        </row>
        <row r="10">
          <cell r="B10" t="str">
            <v>Châu Văn Bảo</v>
          </cell>
          <cell r="C10" t="str">
            <v>060310678093</v>
          </cell>
        </row>
        <row r="11">
          <cell r="B11" t="str">
            <v>Lâm Viết Dũng</v>
          </cell>
          <cell r="C11" t="str">
            <v>060310678204</v>
          </cell>
        </row>
        <row r="12">
          <cell r="B12" t="str">
            <v>Lưu Hoàng Hải Yến</v>
          </cell>
          <cell r="C12" t="str">
            <v>060281357452</v>
          </cell>
        </row>
        <row r="13">
          <cell r="B13" t="str">
            <v>Huỳnh Thị Minh Ly</v>
          </cell>
          <cell r="C13" t="str">
            <v>060310665501</v>
          </cell>
        </row>
        <row r="14">
          <cell r="B14" t="str">
            <v>Phan Thị Ngọc Phượng</v>
          </cell>
          <cell r="C14" t="str">
            <v>060281357916</v>
          </cell>
        </row>
        <row r="15">
          <cell r="B15" t="str">
            <v>Vũ Như Quỳnh</v>
          </cell>
          <cell r="C15" t="str">
            <v>062812061983</v>
          </cell>
        </row>
        <row r="16">
          <cell r="B16" t="str">
            <v>Nguyễn Thị Bích Liễu</v>
          </cell>
          <cell r="C16" t="str">
            <v>060282384984</v>
          </cell>
        </row>
        <row r="17">
          <cell r="B17" t="str">
            <v>Nguyễn Văn Chì</v>
          </cell>
          <cell r="C17" t="str">
            <v xml:space="preserve">060310664106 </v>
          </cell>
        </row>
        <row r="18">
          <cell r="B18" t="str">
            <v>Trần Thị Ánh Phượng</v>
          </cell>
          <cell r="C18" t="str">
            <v xml:space="preserve">060310664181 </v>
          </cell>
        </row>
        <row r="19">
          <cell r="B19" t="str">
            <v>Trần Thị Phương Oanh</v>
          </cell>
          <cell r="C19" t="str">
            <v>060281360593</v>
          </cell>
        </row>
        <row r="20">
          <cell r="B20" t="str">
            <v>Nguyễn Thị Vân</v>
          </cell>
          <cell r="C20" t="str">
            <v>060281867361</v>
          </cell>
        </row>
        <row r="21">
          <cell r="B21" t="str">
            <v>Thân Thị Nhung</v>
          </cell>
          <cell r="C21" t="str">
            <v>060281390239</v>
          </cell>
        </row>
        <row r="22">
          <cell r="B22" t="str">
            <v>Lê Thị Hải Đăng</v>
          </cell>
          <cell r="C22" t="str">
            <v>060310681884</v>
          </cell>
        </row>
        <row r="23">
          <cell r="B23" t="str">
            <v>Lê Quang Liêm</v>
          </cell>
          <cell r="C23" t="str">
            <v>060310851941</v>
          </cell>
        </row>
        <row r="24">
          <cell r="B24" t="str">
            <v>Nguyễn Văn Thành</v>
          </cell>
          <cell r="C24" t="str">
            <v>060280247408</v>
          </cell>
        </row>
        <row r="25">
          <cell r="B25" t="str">
            <v>Nguyễn Trọng Phú</v>
          </cell>
          <cell r="C25" t="str">
            <v>060310902831</v>
          </cell>
        </row>
        <row r="26">
          <cell r="B26" t="str">
            <v>Vũ Ngọc Quang</v>
          </cell>
          <cell r="C26" t="str">
            <v>060310750223</v>
          </cell>
        </row>
        <row r="27">
          <cell r="B27" t="str">
            <v>Giáp Văn Thịnh</v>
          </cell>
          <cell r="C27" t="str">
            <v>060310750290</v>
          </cell>
        </row>
        <row r="28">
          <cell r="B28" t="str">
            <v>Lê Hồng Anh Tuấn</v>
          </cell>
          <cell r="C28" t="str">
            <v>060934666015</v>
          </cell>
        </row>
        <row r="29">
          <cell r="B29" t="str">
            <v>Ninh Đỗ Hiệp</v>
          </cell>
          <cell r="C29" t="str">
            <v>060982526986</v>
          </cell>
        </row>
        <row r="30">
          <cell r="B30" t="str">
            <v>Nguyễn Tiến Việt Dũng</v>
          </cell>
          <cell r="C30" t="str">
            <v>060291469143</v>
          </cell>
        </row>
        <row r="31">
          <cell r="B31" t="str">
            <v>Nguyễn Cao Thắng</v>
          </cell>
          <cell r="C31" t="str">
            <v>060310855106</v>
          </cell>
        </row>
        <row r="32">
          <cell r="B32" t="str">
            <v>Bùi Đặng Hoàng Tuấn</v>
          </cell>
          <cell r="C32" t="str">
            <v>060280926534</v>
          </cell>
        </row>
        <row r="33">
          <cell r="B33" t="str">
            <v>Võ Tấn Kiệt</v>
          </cell>
          <cell r="C33" t="str">
            <v>060291469216</v>
          </cell>
        </row>
        <row r="34">
          <cell r="B34" t="str">
            <v>Phan Đức Long</v>
          </cell>
          <cell r="C34" t="str">
            <v>060310750134</v>
          </cell>
        </row>
        <row r="35">
          <cell r="B35" t="str">
            <v>Phan Hữu Tước</v>
          </cell>
          <cell r="C35" t="str">
            <v>060310750843</v>
          </cell>
        </row>
        <row r="36">
          <cell r="B36" t="str">
            <v>Bùi Thị Dương</v>
          </cell>
          <cell r="C36" t="str">
            <v>060311261293</v>
          </cell>
        </row>
        <row r="37">
          <cell r="B37" t="str">
            <v>Trang Thị Xuân Uyên</v>
          </cell>
          <cell r="C37" t="str">
            <v>060311136804</v>
          </cell>
        </row>
        <row r="38">
          <cell r="B38" t="str">
            <v>Bùi Thị Lan Anh</v>
          </cell>
          <cell r="C38" t="str">
            <v>060310682481</v>
          </cell>
        </row>
        <row r="39">
          <cell r="B39" t="str">
            <v>Nguyễn Kính</v>
          </cell>
          <cell r="C39" t="str">
            <v>0913667668</v>
          </cell>
        </row>
        <row r="40">
          <cell r="B40" t="str">
            <v>Hồng Mộng Tuyết Dung</v>
          </cell>
          <cell r="C40" t="str">
            <v>060310885811</v>
          </cell>
        </row>
        <row r="41">
          <cell r="B41" t="str">
            <v>Trần Thị Minh Thoa</v>
          </cell>
          <cell r="C41" t="str">
            <v>060310879765</v>
          </cell>
        </row>
        <row r="42">
          <cell r="B42" t="str">
            <v>Nguyễn Thị Hồng Thắm</v>
          </cell>
          <cell r="C42" t="str">
            <v>0703715911</v>
          </cell>
        </row>
        <row r="43">
          <cell r="B43" t="str">
            <v>Võ Thị Lệ Trân</v>
          </cell>
          <cell r="C43" t="str">
            <v>0933064859</v>
          </cell>
        </row>
        <row r="44">
          <cell r="B44" t="str">
            <v>Nguyễn Văn Chiến</v>
          </cell>
          <cell r="C44" t="str">
            <v>060310885781</v>
          </cell>
        </row>
        <row r="45">
          <cell r="B45" t="str">
            <v>Nguyễn Thùy Dương</v>
          </cell>
          <cell r="C45" t="str">
            <v>060311058080</v>
          </cell>
        </row>
        <row r="46">
          <cell r="B46" t="str">
            <v>Lê Xuân Thiện</v>
          </cell>
          <cell r="C46" t="str">
            <v>060310936335</v>
          </cell>
        </row>
        <row r="47">
          <cell r="B47" t="str">
            <v>Nguyễn Thị Kim Anh</v>
          </cell>
          <cell r="C47" t="str">
            <v>060310937129</v>
          </cell>
        </row>
        <row r="48">
          <cell r="B48" t="str">
            <v>Nguyễn Ngọc Hiệp</v>
          </cell>
          <cell r="C48" t="str">
            <v>060310827511</v>
          </cell>
        </row>
        <row r="49">
          <cell r="B49" t="str">
            <v>Phạm Thị Lê Chi</v>
          </cell>
          <cell r="C49" t="str">
            <v>060311199415</v>
          </cell>
        </row>
        <row r="50">
          <cell r="B50" t="str">
            <v>Trần Thị Thu Hà</v>
          </cell>
          <cell r="C50" t="str">
            <v>060310936548</v>
          </cell>
        </row>
        <row r="51">
          <cell r="B51" t="str">
            <v>Mai Thu Hương</v>
          </cell>
          <cell r="C51" t="str">
            <v>060310952527</v>
          </cell>
        </row>
        <row r="52">
          <cell r="B52" t="str">
            <v>Nguyễn Tất Thắng</v>
          </cell>
          <cell r="C52" t="str">
            <v>060311003553</v>
          </cell>
        </row>
        <row r="53">
          <cell r="B53" t="str">
            <v>Nguyễn Thị Ngọc Anh</v>
          </cell>
          <cell r="C53" t="str">
            <v>060310835830</v>
          </cell>
        </row>
        <row r="54">
          <cell r="B54" t="str">
            <v>Nguyễn Thành Nam</v>
          </cell>
          <cell r="C54" t="str">
            <v>060182713905</v>
          </cell>
        </row>
        <row r="55">
          <cell r="B55" t="str">
            <v>Võ Thị Xuân Thơ</v>
          </cell>
          <cell r="C55" t="str">
            <v>060310829490</v>
          </cell>
        </row>
        <row r="56">
          <cell r="B56" t="str">
            <v>Nguyễn Thị Thanh Thảo</v>
          </cell>
          <cell r="C56" t="str">
            <v>060310829075</v>
          </cell>
        </row>
        <row r="57">
          <cell r="B57" t="str">
            <v>Giáp Thị Vượng</v>
          </cell>
          <cell r="C57" t="str">
            <v>060310837892</v>
          </cell>
        </row>
        <row r="58">
          <cell r="B58" t="str">
            <v>Huỳnh Thị Cẩm Hoa</v>
          </cell>
          <cell r="C58" t="str">
            <v>060310832939</v>
          </cell>
        </row>
        <row r="59">
          <cell r="B59" t="str">
            <v>Nguyễn Thị Thùy</v>
          </cell>
          <cell r="C59" t="str">
            <v>060311389516</v>
          </cell>
        </row>
        <row r="60">
          <cell r="B60" t="str">
            <v>Nguyễn Thị Hải Hà</v>
          </cell>
          <cell r="C60" t="str">
            <v>060310832394</v>
          </cell>
        </row>
        <row r="61">
          <cell r="B61" t="str">
            <v>Thái Thị My Sa</v>
          </cell>
          <cell r="C61" t="str">
            <v>060310937927</v>
          </cell>
        </row>
        <row r="62">
          <cell r="B62" t="str">
            <v>Mai Nguyễn Hoàng Yến</v>
          </cell>
          <cell r="C62" t="str">
            <v>060311192836</v>
          </cell>
        </row>
        <row r="63">
          <cell r="B63" t="str">
            <v>Nguyễn Chí Nhân</v>
          </cell>
          <cell r="C63" t="str">
            <v>060282013102</v>
          </cell>
        </row>
        <row r="64">
          <cell r="B64" t="str">
            <v>Nguyễn Thị Kim Dung</v>
          </cell>
          <cell r="C64" t="str">
            <v>060310964886</v>
          </cell>
        </row>
        <row r="65">
          <cell r="B65" t="str">
            <v>Nguyễn Thanh Sơn</v>
          </cell>
          <cell r="C65" t="str">
            <v>060311394579</v>
          </cell>
        </row>
        <row r="66">
          <cell r="B66" t="str">
            <v>Vũ Thị Thu Thủy</v>
          </cell>
          <cell r="C66" t="str">
            <v>060281548967</v>
          </cell>
        </row>
        <row r="67">
          <cell r="B67" t="str">
            <v>Nguyễn Thị Tuyết</v>
          </cell>
          <cell r="C67" t="str">
            <v>060282013455</v>
          </cell>
        </row>
        <row r="68">
          <cell r="B68" t="str">
            <v>Lương Minh Dũng</v>
          </cell>
          <cell r="C68" t="str">
            <v>060282012971</v>
          </cell>
        </row>
        <row r="69">
          <cell r="B69" t="str">
            <v>Trương Thị Hồng</v>
          </cell>
          <cell r="C69" t="str">
            <v>060278317180</v>
          </cell>
        </row>
        <row r="70">
          <cell r="B70" t="str">
            <v>Nguyễn Hữu Thiện</v>
          </cell>
          <cell r="C70" t="str">
            <v>060311484640</v>
          </cell>
        </row>
        <row r="71">
          <cell r="B71" t="str">
            <v>Trương Hữu Lộc</v>
          </cell>
          <cell r="C71" t="str">
            <v>060278317857</v>
          </cell>
        </row>
        <row r="72">
          <cell r="B72" t="str">
            <v>Vương Hội Khánh</v>
          </cell>
          <cell r="C72" t="str">
            <v>060310935800</v>
          </cell>
        </row>
        <row r="73">
          <cell r="B73" t="str">
            <v>Nguyễn Trọng Nghĩa</v>
          </cell>
          <cell r="C73" t="str">
            <v>060286858913</v>
          </cell>
        </row>
        <row r="74">
          <cell r="B74" t="str">
            <v>Đặng Thu Hà</v>
          </cell>
          <cell r="C74" t="str">
            <v>060311059176</v>
          </cell>
        </row>
        <row r="75">
          <cell r="B75" t="str">
            <v>Trần Thị Diễm Thúy</v>
          </cell>
          <cell r="C75" t="str">
            <v>060310750312</v>
          </cell>
        </row>
        <row r="76">
          <cell r="B76" t="str">
            <v>Nguyễn Tứ Cảnh</v>
          </cell>
          <cell r="C76" t="str">
            <v>060310885722</v>
          </cell>
        </row>
        <row r="77">
          <cell r="B77" t="str">
            <v>Phạm Quang Vũ</v>
          </cell>
          <cell r="C77" t="str">
            <v>060310837851</v>
          </cell>
        </row>
        <row r="78">
          <cell r="B78" t="str">
            <v>Trình Minh Phong</v>
          </cell>
          <cell r="C78" t="str">
            <v>060310393242</v>
          </cell>
        </row>
        <row r="79">
          <cell r="B79" t="str">
            <v>Trần Ngọc Tuấn</v>
          </cell>
          <cell r="C79" t="str">
            <v>060310837280</v>
          </cell>
        </row>
        <row r="80">
          <cell r="B80" t="str">
            <v>Trịnh Hoàng Hiệp</v>
          </cell>
          <cell r="C80" t="str">
            <v>060310839577</v>
          </cell>
        </row>
        <row r="81">
          <cell r="B81" t="str">
            <v>Trần Thị Ngọc Dung</v>
          </cell>
          <cell r="C81" t="str">
            <v>060284970368</v>
          </cell>
        </row>
        <row r="82">
          <cell r="B82" t="str">
            <v>Cao Xuân Giang</v>
          </cell>
          <cell r="C82" t="str">
            <v>060282332496</v>
          </cell>
        </row>
        <row r="83">
          <cell r="B83" t="str">
            <v>Phạm Quỳnh Như</v>
          </cell>
          <cell r="C83" t="str">
            <v>060288333338</v>
          </cell>
        </row>
        <row r="84">
          <cell r="B84" t="str">
            <v>Lê Thị Thúy Oanh</v>
          </cell>
          <cell r="C84" t="str">
            <v>060288717055</v>
          </cell>
        </row>
        <row r="85">
          <cell r="B85" t="str">
            <v>Lê Thị Thu Thảo</v>
          </cell>
          <cell r="C85" t="str">
            <v>060285316750</v>
          </cell>
        </row>
        <row r="86">
          <cell r="B86" t="str">
            <v>Nguyễn Mỹ Tiên</v>
          </cell>
          <cell r="C86" t="str">
            <v>060292764963</v>
          </cell>
        </row>
        <row r="87">
          <cell r="B87" t="str">
            <v>Lưu Thị Thúy</v>
          </cell>
          <cell r="C87" t="str">
            <v>060289586507</v>
          </cell>
        </row>
        <row r="88">
          <cell r="B88" t="str">
            <v>Võ Thị Kim Thư</v>
          </cell>
          <cell r="C88" t="str">
            <v>060289551851</v>
          </cell>
        </row>
        <row r="89">
          <cell r="B89" t="str">
            <v>Lữ Xuân Trang</v>
          </cell>
          <cell r="C89" t="str">
            <v>060282998461</v>
          </cell>
        </row>
        <row r="90">
          <cell r="B90" t="str">
            <v>Nguyễn Thị Minh Thùy</v>
          </cell>
          <cell r="C90" t="str">
            <v>060280833978</v>
          </cell>
        </row>
        <row r="91">
          <cell r="B91" t="str">
            <v>Hồ Gia Bảo</v>
          </cell>
          <cell r="C91" t="str">
            <v>060278701061</v>
          </cell>
        </row>
        <row r="92">
          <cell r="B92" t="str">
            <v>Nguyễn Hoàng Thanh Ngân</v>
          </cell>
          <cell r="C92" t="str">
            <v>060280954635</v>
          </cell>
        </row>
        <row r="93">
          <cell r="B93" t="str">
            <v>Nguyễn Thị Thanh Hòa</v>
          </cell>
          <cell r="C93" t="str">
            <v>060288333087</v>
          </cell>
        </row>
        <row r="94">
          <cell r="B94" t="str">
            <v>Đinh Thị Trâm</v>
          </cell>
          <cell r="C94" t="str">
            <v>060310902961</v>
          </cell>
        </row>
        <row r="95">
          <cell r="B95" t="str">
            <v>Huỳnh Kim Liên</v>
          </cell>
          <cell r="C95" t="str">
            <v>060310902848</v>
          </cell>
        </row>
        <row r="96">
          <cell r="B96" t="str">
            <v>Lê Hồng Ngọc My</v>
          </cell>
          <cell r="C96" t="str">
            <v>060310902899</v>
          </cell>
        </row>
        <row r="97">
          <cell r="B97" t="str">
            <v>Nguyễn Huỳnh Lưu Phương</v>
          </cell>
          <cell r="C97" t="str">
            <v>060310886915</v>
          </cell>
        </row>
        <row r="98">
          <cell r="B98" t="str">
            <v>Lâm Thị Phương Thùy</v>
          </cell>
          <cell r="C98" t="str">
            <v>060310937196</v>
          </cell>
        </row>
        <row r="99">
          <cell r="B99" t="str">
            <v>Nguyễn Bạch Cẩm Dung</v>
          </cell>
          <cell r="C99" t="str">
            <v>0901332377</v>
          </cell>
        </row>
        <row r="100">
          <cell r="B100" t="str">
            <v>Nguyễn Ngọc Thọ</v>
          </cell>
          <cell r="C100" t="str">
            <v>060311005467</v>
          </cell>
        </row>
        <row r="101">
          <cell r="B101" t="str">
            <v>Nguyễn Thị Hiền</v>
          </cell>
          <cell r="C101" t="str">
            <v>060928978968</v>
          </cell>
        </row>
        <row r="102">
          <cell r="B102" t="str">
            <v>Bùi Thị Ngọc Sương</v>
          </cell>
          <cell r="C102" t="str">
            <v>060311001461</v>
          </cell>
        </row>
        <row r="103">
          <cell r="B103" t="str">
            <v>Chế Vân Cầm</v>
          </cell>
          <cell r="C103" t="str">
            <v>060311005092</v>
          </cell>
        </row>
        <row r="104">
          <cell r="B104" t="str">
            <v>Phạm Thị Thanh Thúy</v>
          </cell>
          <cell r="C104" t="str">
            <v>060310839461</v>
          </cell>
        </row>
        <row r="105">
          <cell r="B105" t="str">
            <v>Trần Hồng Thảo</v>
          </cell>
          <cell r="C105" t="str">
            <v>060311272929</v>
          </cell>
        </row>
        <row r="106">
          <cell r="B106" t="str">
            <v>Lê Thị Phương Thảo</v>
          </cell>
          <cell r="C106" t="str">
            <v>060310836969</v>
          </cell>
        </row>
        <row r="107">
          <cell r="B107" t="str">
            <v>Nguyễn Thị Nhuận</v>
          </cell>
          <cell r="C107" t="str">
            <v>060278830384</v>
          </cell>
        </row>
        <row r="108">
          <cell r="B108" t="str">
            <v>Nguyễn Thị Huyền Nga</v>
          </cell>
          <cell r="C108" t="str">
            <v xml:space="preserve">060310766383 </v>
          </cell>
        </row>
        <row r="109">
          <cell r="B109" t="str">
            <v>Nguyễn Phương Hà</v>
          </cell>
          <cell r="C109" t="str">
            <v>060278309730</v>
          </cell>
        </row>
        <row r="110">
          <cell r="B110" t="str">
            <v>Trịnh Khắc Vũ</v>
          </cell>
          <cell r="C110" t="str">
            <v>060310649891</v>
          </cell>
        </row>
        <row r="111">
          <cell r="B111" t="str">
            <v>Lê Minh Phong</v>
          </cell>
          <cell r="C111" t="str">
            <v>060278691368</v>
          </cell>
        </row>
        <row r="112">
          <cell r="B112" t="str">
            <v>Nguyễn Văn Đông</v>
          </cell>
          <cell r="C112" t="str">
            <v>060278309455</v>
          </cell>
        </row>
        <row r="113">
          <cell r="B113" t="str">
            <v>Đặng Thị Kiến Trúc</v>
          </cell>
          <cell r="C113" t="str">
            <v>060278312057</v>
          </cell>
        </row>
        <row r="114">
          <cell r="B114" t="str">
            <v>Nguyễn Thanh Tú</v>
          </cell>
          <cell r="C114" t="str">
            <v>060278675771</v>
          </cell>
        </row>
        <row r="115">
          <cell r="B115" t="str">
            <v>Trần Thị Ánh Tuyết</v>
          </cell>
          <cell r="C115" t="str">
            <v>060278315870</v>
          </cell>
        </row>
        <row r="116">
          <cell r="B116" t="str">
            <v>Lê Văn Bình</v>
          </cell>
          <cell r="C116" t="str">
            <v>060278335731</v>
          </cell>
        </row>
        <row r="117">
          <cell r="B117" t="str">
            <v>Phạm Thị Thu Nga</v>
          </cell>
          <cell r="C117" t="str">
            <v>060278695541</v>
          </cell>
        </row>
        <row r="118">
          <cell r="B118" t="str">
            <v>Nguyễn Thị Cẩm Thạch</v>
          </cell>
          <cell r="C118" t="str">
            <v>060983403300</v>
          </cell>
        </row>
        <row r="119">
          <cell r="B119" t="str">
            <v>Hà Như Mai</v>
          </cell>
          <cell r="C119" t="str">
            <v>060278311948</v>
          </cell>
        </row>
        <row r="120">
          <cell r="B120" t="str">
            <v>Nguyễn Thị Thủy</v>
          </cell>
          <cell r="C120" t="str">
            <v>060278713299</v>
          </cell>
        </row>
        <row r="121">
          <cell r="B121" t="str">
            <v>Dương Đức Kiên</v>
          </cell>
          <cell r="C121" t="str">
            <v>060278705156</v>
          </cell>
        </row>
        <row r="122">
          <cell r="B122" t="str">
            <v>Nguyễn Văn Hậu</v>
          </cell>
          <cell r="C122" t="str">
            <v>060066980629</v>
          </cell>
        </row>
        <row r="123">
          <cell r="B123" t="str">
            <v>Lê Thái Hùng</v>
          </cell>
          <cell r="C123" t="str">
            <v>060278706470</v>
          </cell>
        </row>
        <row r="124">
          <cell r="B124" t="str">
            <v>Nguyễn Phú Tân</v>
          </cell>
          <cell r="C124" t="str">
            <v>060310649239</v>
          </cell>
        </row>
        <row r="125">
          <cell r="B125" t="str">
            <v>Nguyễn Mạnh Phương</v>
          </cell>
          <cell r="C125" t="str">
            <v>060310650121</v>
          </cell>
        </row>
        <row r="126">
          <cell r="B126" t="str">
            <v>Giang Phi Hùng</v>
          </cell>
          <cell r="C126" t="str">
            <v>060278313401</v>
          </cell>
        </row>
        <row r="127">
          <cell r="B127" t="str">
            <v>Ngô Thanh Điền</v>
          </cell>
          <cell r="C127" t="str">
            <v>060278335715</v>
          </cell>
        </row>
        <row r="128">
          <cell r="B128" t="str">
            <v>Vương Thanh Thủy</v>
          </cell>
          <cell r="C128" t="str">
            <v>060278675273</v>
          </cell>
        </row>
        <row r="129">
          <cell r="B129" t="str">
            <v>Nguyễn Thị Bảo Trân</v>
          </cell>
          <cell r="C129" t="str">
            <v>060278311786</v>
          </cell>
        </row>
        <row r="130">
          <cell r="B130" t="str">
            <v>Nguyễn Thị Thu Tâm</v>
          </cell>
          <cell r="C130" t="str">
            <v>060311078251</v>
          </cell>
        </row>
        <row r="131">
          <cell r="B131" t="str">
            <v>Nguyễn Thị Thanh Tú</v>
          </cell>
          <cell r="C131" t="str">
            <v>060311078375</v>
          </cell>
        </row>
        <row r="132">
          <cell r="B132" t="str">
            <v>Võ Thị Hồng Lan</v>
          </cell>
          <cell r="C132" t="str">
            <v>060278713272</v>
          </cell>
        </row>
        <row r="133">
          <cell r="B133" t="str">
            <v>Lê Nguyễn Mỹ Trâm</v>
          </cell>
          <cell r="C133" t="str">
            <v>060278315706</v>
          </cell>
        </row>
        <row r="134">
          <cell r="B134" t="str">
            <v>Nguyễn Thị Thu Hà</v>
          </cell>
          <cell r="C134" t="str">
            <v>060278691740</v>
          </cell>
        </row>
        <row r="135">
          <cell r="B135" t="str">
            <v>Phạm Thị Thu Hiền</v>
          </cell>
          <cell r="C135" t="str">
            <v>060278309838</v>
          </cell>
        </row>
        <row r="136">
          <cell r="B136" t="str">
            <v>Nguyễn Thiện Bình</v>
          </cell>
          <cell r="C136" t="str">
            <v>060278308580</v>
          </cell>
        </row>
        <row r="137">
          <cell r="B137" t="str">
            <v>Trần Thanh Trúc</v>
          </cell>
          <cell r="C137" t="str">
            <v>060278002457</v>
          </cell>
        </row>
        <row r="138">
          <cell r="B138" t="str">
            <v>Lâm Thị Phương Thảo</v>
          </cell>
          <cell r="C138" t="str">
            <v>060278335642</v>
          </cell>
        </row>
        <row r="139">
          <cell r="B139" t="str">
            <v>Lê Thu Hà</v>
          </cell>
          <cell r="C139" t="str">
            <v>060311486686</v>
          </cell>
        </row>
        <row r="140">
          <cell r="B140" t="str">
            <v>Nguyễn Ngọc Quỳnh LLCT</v>
          </cell>
          <cell r="C140" t="str">
            <v>060286473272</v>
          </cell>
        </row>
        <row r="141">
          <cell r="B141" t="str">
            <v>Lê Thị Hồng Vân</v>
          </cell>
          <cell r="C141" t="str">
            <v>060286400178</v>
          </cell>
        </row>
        <row r="142">
          <cell r="B142" t="str">
            <v>Phan Thị Thùy Trang</v>
          </cell>
          <cell r="C142" t="str">
            <v>060310886079</v>
          </cell>
        </row>
        <row r="143">
          <cell r="B143" t="str">
            <v>Lê Thị Mai Hường</v>
          </cell>
          <cell r="C143" t="str">
            <v>060310885870</v>
          </cell>
        </row>
        <row r="144">
          <cell r="B144" t="str">
            <v>Nguyễn Thị Dinh</v>
          </cell>
          <cell r="C144" t="str">
            <v>060310879587</v>
          </cell>
        </row>
        <row r="145">
          <cell r="B145" t="str">
            <v>Đỗ Thị Ngát</v>
          </cell>
          <cell r="C145" t="str">
            <v>060310885560</v>
          </cell>
        </row>
        <row r="146">
          <cell r="B146" t="str">
            <v>Nguyễn Anh Kiệt</v>
          </cell>
          <cell r="C146" t="str">
            <v>060310885935</v>
          </cell>
        </row>
        <row r="147">
          <cell r="B147" t="str">
            <v>Trần Thị Hồng Thu</v>
          </cell>
          <cell r="C147" t="str">
            <v>060286416481</v>
          </cell>
        </row>
        <row r="148">
          <cell r="B148" t="str">
            <v>Đinh Thị Huyên</v>
          </cell>
          <cell r="C148" t="str">
            <v>060286857641</v>
          </cell>
        </row>
        <row r="149">
          <cell r="B149" t="str">
            <v>Cao Thị Hồng Thắm</v>
          </cell>
          <cell r="C149" t="str">
            <v>060310947337</v>
          </cell>
        </row>
        <row r="150">
          <cell r="B150" t="str">
            <v>Đỗ Thị Thơm</v>
          </cell>
          <cell r="C150" t="str">
            <v>060290176894</v>
          </cell>
        </row>
        <row r="151">
          <cell r="B151" t="str">
            <v>Phạm Thị Vinh</v>
          </cell>
          <cell r="C151" t="str">
            <v>060286597842</v>
          </cell>
        </row>
        <row r="152">
          <cell r="B152" t="str">
            <v>Hoàng Thị Trang</v>
          </cell>
          <cell r="C152" t="str">
            <v>060286835182</v>
          </cell>
        </row>
        <row r="153">
          <cell r="B153" t="str">
            <v>Bùi Thành Dũng</v>
          </cell>
          <cell r="C153" t="str">
            <v>060286412990</v>
          </cell>
        </row>
        <row r="154">
          <cell r="B154" t="str">
            <v>Trần Văn Lượng</v>
          </cell>
          <cell r="C154" t="str">
            <v>060286397878</v>
          </cell>
        </row>
        <row r="155">
          <cell r="B155" t="str">
            <v>Nguyễn Nguyên Hoàng Ngọc Quyên</v>
          </cell>
          <cell r="C155" t="str">
            <v>060278317113</v>
          </cell>
        </row>
        <row r="156">
          <cell r="B156" t="str">
            <v>Nguyễn Sanh Cường</v>
          </cell>
          <cell r="C156" t="str">
            <v>060280270884</v>
          </cell>
        </row>
        <row r="157">
          <cell r="B157" t="str">
            <v>Lê Quý Hưng Quốc</v>
          </cell>
          <cell r="C157" t="str">
            <v>060278695436</v>
          </cell>
        </row>
        <row r="158">
          <cell r="B158" t="str">
            <v>Bùi Văn Dũng</v>
          </cell>
          <cell r="C158" t="str">
            <v>060310956621</v>
          </cell>
        </row>
        <row r="159">
          <cell r="B159" t="str">
            <v>Nguyễn Văn Minh</v>
          </cell>
          <cell r="C159" t="str">
            <v>060278313916</v>
          </cell>
        </row>
        <row r="160">
          <cell r="B160" t="str">
            <v>Nguyễn Thị Khánh Thư</v>
          </cell>
          <cell r="C160" t="str">
            <v>060278696483</v>
          </cell>
        </row>
        <row r="161">
          <cell r="B161" t="str">
            <v>Trần Việt Khánh</v>
          </cell>
          <cell r="C161" t="str">
            <v>060278317105</v>
          </cell>
        </row>
        <row r="162">
          <cell r="B162" t="str">
            <v>Đỗ Thị Hải Yến</v>
          </cell>
          <cell r="C162" t="str">
            <v>060278697900</v>
          </cell>
        </row>
        <row r="163">
          <cell r="B163" t="str">
            <v>Lê Hồng Thái</v>
          </cell>
          <cell r="C163" t="str">
            <v>060278678019</v>
          </cell>
        </row>
        <row r="164">
          <cell r="B164" t="str">
            <v>Đặng Ngọc Đoàn</v>
          </cell>
          <cell r="C164" t="str">
            <v>060278318101</v>
          </cell>
        </row>
        <row r="165">
          <cell r="B165" t="str">
            <v>Nguyễn Văn Đôn</v>
          </cell>
          <cell r="C165" t="str">
            <v>060278678701</v>
          </cell>
        </row>
        <row r="166">
          <cell r="B166" t="str">
            <v>Huỳnh Quốc Dũng</v>
          </cell>
          <cell r="C166" t="str">
            <v>060278694601</v>
          </cell>
        </row>
        <row r="167">
          <cell r="B167" t="str">
            <v>Hồ Ngọc Chi</v>
          </cell>
          <cell r="C167" t="str">
            <v>060278693931</v>
          </cell>
        </row>
        <row r="168">
          <cell r="B168" t="str">
            <v>Dương Ngọc Vọng</v>
          </cell>
          <cell r="C168" t="str">
            <v>060278698621</v>
          </cell>
        </row>
        <row r="169">
          <cell r="B169" t="str">
            <v>Nguyễn Ngọc Tuyên</v>
          </cell>
          <cell r="C169" t="str">
            <v>060310839437</v>
          </cell>
        </row>
        <row r="170">
          <cell r="B170" t="str">
            <v>Nguyễn Cao Phong</v>
          </cell>
          <cell r="C170" t="str">
            <v>060311197587</v>
          </cell>
        </row>
        <row r="171">
          <cell r="B171" t="str">
            <v>Mai Chiếm Tuấn</v>
          </cell>
          <cell r="C171" t="str">
            <v>060278317024</v>
          </cell>
        </row>
        <row r="172">
          <cell r="B172" t="str">
            <v>Đỗ Tuấn Việt</v>
          </cell>
          <cell r="C172" t="str">
            <v>060278335448</v>
          </cell>
        </row>
        <row r="173">
          <cell r="B173" t="str">
            <v>Vũ Thị Thái Linh</v>
          </cell>
          <cell r="C173" t="str">
            <v>060278679910</v>
          </cell>
        </row>
        <row r="174">
          <cell r="B174" t="str">
            <v>Trần Vĩnh Xuyên</v>
          </cell>
          <cell r="C174" t="str">
            <v>060278317083</v>
          </cell>
        </row>
        <row r="175">
          <cell r="B175" t="str">
            <v>Đào Lê Phương Anh</v>
          </cell>
          <cell r="C175" t="str">
            <v>060310951482</v>
          </cell>
        </row>
        <row r="176">
          <cell r="B176" t="str">
            <v>Nguyễn Duy Lộc</v>
          </cell>
          <cell r="C176" t="str">
            <v>060310937668</v>
          </cell>
        </row>
        <row r="177">
          <cell r="B177" t="str">
            <v>Chung Trần Thế Vinh</v>
          </cell>
          <cell r="C177" t="str">
            <v>060278316461</v>
          </cell>
        </row>
        <row r="178">
          <cell r="B178" t="str">
            <v>Đỗ Thị Phương Khanh</v>
          </cell>
          <cell r="C178" t="str">
            <v>060278335812</v>
          </cell>
        </row>
        <row r="179">
          <cell r="B179" t="str">
            <v>Trương Thị Phương Hồng</v>
          </cell>
          <cell r="C179" t="str">
            <v>060310902783</v>
          </cell>
        </row>
        <row r="180">
          <cell r="B180" t="str">
            <v>Dương Minh Chung</v>
          </cell>
          <cell r="C180" t="str">
            <v>060278308981</v>
          </cell>
        </row>
        <row r="181">
          <cell r="B181" t="str">
            <v>Phan Văn Thành</v>
          </cell>
          <cell r="C181" t="str">
            <v>060278709119</v>
          </cell>
        </row>
        <row r="182">
          <cell r="B182" t="str">
            <v>Vũ Đức Pháp</v>
          </cell>
          <cell r="C182" t="str">
            <v>060278708181</v>
          </cell>
        </row>
        <row r="183">
          <cell r="B183" t="str">
            <v>Vũ Quang Khải</v>
          </cell>
          <cell r="C183" t="str">
            <v>060278708686</v>
          </cell>
        </row>
        <row r="184">
          <cell r="B184" t="str">
            <v>Nguyễn Thanh Vũ</v>
          </cell>
          <cell r="C184" t="str">
            <v>060278315994</v>
          </cell>
        </row>
        <row r="185">
          <cell r="B185" t="str">
            <v>Phan Thị Xuân Trang</v>
          </cell>
          <cell r="C185" t="str">
            <v>060278674315</v>
          </cell>
        </row>
        <row r="186">
          <cell r="B186" t="str">
            <v>Trần Đình Khải</v>
          </cell>
          <cell r="C186" t="str">
            <v>060278313649</v>
          </cell>
        </row>
        <row r="187">
          <cell r="B187" t="str">
            <v>Lư Thị Yến Vũ</v>
          </cell>
          <cell r="C187" t="str">
            <v>060278704710</v>
          </cell>
        </row>
        <row r="188">
          <cell r="B188" t="str">
            <v>Nguyễn Tiến Dũng</v>
          </cell>
          <cell r="C188" t="str">
            <v>060310990038</v>
          </cell>
        </row>
        <row r="189">
          <cell r="B189" t="str">
            <v>Nguyễn Thành Long</v>
          </cell>
          <cell r="C189" t="str">
            <v>060278313827</v>
          </cell>
        </row>
        <row r="190">
          <cell r="B190" t="str">
            <v>Nguyễn Ngọc Quỳnh CK</v>
          </cell>
          <cell r="C190" t="str">
            <v>060278314742</v>
          </cell>
        </row>
        <row r="191">
          <cell r="B191" t="str">
            <v>Nguyễn Duy Hải</v>
          </cell>
          <cell r="C191" t="str">
            <v>060278705989</v>
          </cell>
        </row>
        <row r="192">
          <cell r="B192" t="str">
            <v>Bùi Anh Tuấn</v>
          </cell>
          <cell r="C192" t="str">
            <v>060278315811</v>
          </cell>
        </row>
        <row r="193">
          <cell r="B193" t="str">
            <v>Trần Thị Hương</v>
          </cell>
          <cell r="C193" t="str">
            <v>060311210451</v>
          </cell>
        </row>
        <row r="194">
          <cell r="B194" t="str">
            <v>Trần Minh Thông</v>
          </cell>
          <cell r="C194" t="str">
            <v>060278696947</v>
          </cell>
        </row>
        <row r="195">
          <cell r="B195" t="str">
            <v>Nguyễn Thanh Vĩnh Phúc</v>
          </cell>
          <cell r="C195" t="str">
            <v>060278316192</v>
          </cell>
        </row>
        <row r="196">
          <cell r="B196" t="str">
            <v>Võ Minh Quang</v>
          </cell>
          <cell r="C196" t="str">
            <v>060278314726</v>
          </cell>
        </row>
        <row r="197">
          <cell r="B197" t="str">
            <v>Dương Thị Hồng</v>
          </cell>
          <cell r="C197" t="str">
            <v>060278709471</v>
          </cell>
        </row>
        <row r="198">
          <cell r="B198" t="str">
            <v>Nguyễn Thanh Giang</v>
          </cell>
          <cell r="C198" t="str">
            <v>060278309609</v>
          </cell>
        </row>
        <row r="199">
          <cell r="B199" t="str">
            <v>Nguyễn Hồng Phúc</v>
          </cell>
          <cell r="C199" t="str">
            <v>060278316257</v>
          </cell>
        </row>
        <row r="200">
          <cell r="B200" t="str">
            <v>Nguyễn Duy Tân</v>
          </cell>
          <cell r="C200" t="str">
            <v>060310669035</v>
          </cell>
        </row>
        <row r="201">
          <cell r="B201" t="str">
            <v>Nguyễn Văn Sơn</v>
          </cell>
          <cell r="C201" t="str">
            <v>060278701975</v>
          </cell>
        </row>
        <row r="202">
          <cell r="B202" t="str">
            <v>Nguyễn Khắc Huy</v>
          </cell>
          <cell r="C202" t="str">
            <v>060278313576</v>
          </cell>
        </row>
        <row r="203">
          <cell r="B203" t="str">
            <v>Võ Hoài Sơn</v>
          </cell>
          <cell r="C203" t="str">
            <v>060310902929</v>
          </cell>
        </row>
        <row r="204">
          <cell r="B204" t="str">
            <v>Nguyễn Thị Xuân Chinh</v>
          </cell>
          <cell r="C204" t="str">
            <v>060277095184</v>
          </cell>
        </row>
        <row r="205">
          <cell r="B205" t="str">
            <v>Tạ Minh Cường</v>
          </cell>
          <cell r="C205" t="str">
            <v>060284076772</v>
          </cell>
        </row>
        <row r="206">
          <cell r="B206" t="str">
            <v>Phạm Minh Nghĩa</v>
          </cell>
          <cell r="C206" t="str">
            <v>060282642061</v>
          </cell>
        </row>
        <row r="207">
          <cell r="B207" t="str">
            <v>Nguyễn Văn Yên</v>
          </cell>
          <cell r="C207" t="str">
            <v>060282653020</v>
          </cell>
        </row>
        <row r="208">
          <cell r="B208" t="str">
            <v>Nguyễn Minh Đức</v>
          </cell>
          <cell r="C208" t="str">
            <v>060310832300</v>
          </cell>
        </row>
        <row r="209">
          <cell r="B209" t="str">
            <v>Nguyễn Anh Tăng</v>
          </cell>
          <cell r="C209" t="str">
            <v>060285196984</v>
          </cell>
        </row>
        <row r="210">
          <cell r="B210" t="str">
            <v>Lê Thế Huân</v>
          </cell>
          <cell r="C210" t="str">
            <v>060282653101</v>
          </cell>
        </row>
        <row r="211">
          <cell r="B211" t="str">
            <v>Trần Trung Hiếu</v>
          </cell>
          <cell r="C211" t="str">
            <v>060283235346</v>
          </cell>
        </row>
        <row r="212">
          <cell r="B212" t="str">
            <v>Trần Nguyên Bảo Trân</v>
          </cell>
          <cell r="C212" t="str">
            <v>060284383659</v>
          </cell>
        </row>
        <row r="213">
          <cell r="B213" t="str">
            <v>Quách Minh Thử</v>
          </cell>
          <cell r="C213" t="str">
            <v>060282652970</v>
          </cell>
        </row>
        <row r="214">
          <cell r="B214" t="str">
            <v>Mạnh Lê Hoàn</v>
          </cell>
          <cell r="C214" t="str">
            <v>060285497119</v>
          </cell>
        </row>
        <row r="215">
          <cell r="B215" t="str">
            <v>Ngô Hoàng Anh</v>
          </cell>
          <cell r="C215" t="str">
            <v>060284970678</v>
          </cell>
        </row>
        <row r="216">
          <cell r="B216" t="str">
            <v>Nguyễn Thùy Linh</v>
          </cell>
          <cell r="C216" t="str">
            <v>060285040909</v>
          </cell>
        </row>
        <row r="217">
          <cell r="B217" t="str">
            <v>Vũ Hạnh Chiêu</v>
          </cell>
          <cell r="C217" t="str">
            <v>060284970139</v>
          </cell>
        </row>
        <row r="218">
          <cell r="B218" t="str">
            <v>Đỗ Huỳnh Thanh Phong</v>
          </cell>
          <cell r="C218" t="str">
            <v>060285044165</v>
          </cell>
        </row>
        <row r="219">
          <cell r="B219" t="str">
            <v>Nguyễn Minh Đức Cường</v>
          </cell>
          <cell r="C219" t="str">
            <v>060282641685</v>
          </cell>
        </row>
        <row r="220">
          <cell r="B220" t="str">
            <v>Huỳnh Ngọc Mai</v>
          </cell>
          <cell r="C220" t="str">
            <v>060283981031</v>
          </cell>
        </row>
        <row r="221">
          <cell r="B221" t="str">
            <v>Nguyễn Hồng Đức</v>
          </cell>
          <cell r="C221" t="str">
            <v>060283491318</v>
          </cell>
        </row>
        <row r="222">
          <cell r="B222" t="str">
            <v>Trần Công Tiến</v>
          </cell>
          <cell r="C222" t="str">
            <v>060282653578</v>
          </cell>
        </row>
        <row r="223">
          <cell r="B223" t="str">
            <v>Nguyễn Trần Thanh Nhàn</v>
          </cell>
          <cell r="C223" t="str">
            <v>060288312421</v>
          </cell>
        </row>
        <row r="224">
          <cell r="B224" t="str">
            <v>Tăng Cẩm Huê</v>
          </cell>
          <cell r="C224" t="str">
            <v>060282657727</v>
          </cell>
        </row>
        <row r="225">
          <cell r="B225" t="str">
            <v>Trần Hiếu Trinh</v>
          </cell>
          <cell r="C225" t="str">
            <v>060310836101</v>
          </cell>
        </row>
        <row r="226">
          <cell r="B226" t="str">
            <v>Nguyễn Thị Tố Nga</v>
          </cell>
          <cell r="C226" t="str">
            <v>060282641987</v>
          </cell>
        </row>
        <row r="227">
          <cell r="B227" t="str">
            <v>Đặng Đức Minh</v>
          </cell>
          <cell r="C227" t="str">
            <v>060284383081</v>
          </cell>
        </row>
        <row r="228">
          <cell r="B228" t="str">
            <v>Nguyễn Thị Ngọc Hiền</v>
          </cell>
          <cell r="C228" t="str">
            <v>060284382911</v>
          </cell>
        </row>
        <row r="229">
          <cell r="B229" t="str">
            <v>Nguyễn Khương Thành</v>
          </cell>
          <cell r="C229" t="str">
            <v>060310839331</v>
          </cell>
        </row>
        <row r="230">
          <cell r="B230" t="str">
            <v>Huỳnh Duy An</v>
          </cell>
          <cell r="C230" t="str">
            <v>060310832051</v>
          </cell>
        </row>
        <row r="231">
          <cell r="B231" t="str">
            <v>Ngô Phong Cường</v>
          </cell>
          <cell r="C231" t="str">
            <v>060282990612</v>
          </cell>
        </row>
        <row r="232">
          <cell r="B232" t="str">
            <v>Cao Văn Tuấn</v>
          </cell>
          <cell r="C232" t="str">
            <v>060282641561</v>
          </cell>
        </row>
        <row r="233">
          <cell r="B233" t="str">
            <v>Trần Nam Anh</v>
          </cell>
          <cell r="C233" t="str">
            <v>060282653217</v>
          </cell>
        </row>
        <row r="234">
          <cell r="B234" t="str">
            <v>Trần Giang Nam</v>
          </cell>
          <cell r="C234" t="str">
            <v>060285317331</v>
          </cell>
        </row>
        <row r="235">
          <cell r="B235" t="str">
            <v>Phan Thanh Hoàng</v>
          </cell>
          <cell r="C235" t="str">
            <v>060311236302</v>
          </cell>
        </row>
        <row r="236">
          <cell r="B236" t="str">
            <v>Nguyễn Anh Tuấn</v>
          </cell>
          <cell r="C236" t="str">
            <v>0903660165</v>
          </cell>
        </row>
        <row r="237">
          <cell r="B237" t="str">
            <v>Võ Đắc Thịnh</v>
          </cell>
          <cell r="C237" t="str">
            <v>060283572903</v>
          </cell>
        </row>
        <row r="238">
          <cell r="B238" t="str">
            <v>Nguyễn Hữu Mạnh</v>
          </cell>
          <cell r="C238" t="str">
            <v>060284959887</v>
          </cell>
        </row>
        <row r="239">
          <cell r="B239" t="str">
            <v>Phan Anh Tuấn Kiệt</v>
          </cell>
          <cell r="C239" t="str">
            <v>060283490818</v>
          </cell>
        </row>
        <row r="240">
          <cell r="B240" t="str">
            <v>Triệu Phú Nguyên</v>
          </cell>
          <cell r="C240" t="str">
            <v>060284969947</v>
          </cell>
        </row>
        <row r="241">
          <cell r="B241" t="str">
            <v>Nguyễn Thành Đức</v>
          </cell>
          <cell r="C241" t="str">
            <v>060284961040</v>
          </cell>
        </row>
        <row r="242">
          <cell r="B242" t="str">
            <v>Nguyễn Minh Thái</v>
          </cell>
          <cell r="C242" t="str">
            <v>060256711888</v>
          </cell>
        </row>
        <row r="243">
          <cell r="B243" t="str">
            <v>Đặng Thái Sơn</v>
          </cell>
          <cell r="C243" t="str">
            <v>060284970813</v>
          </cell>
        </row>
        <row r="244">
          <cell r="B244" t="str">
            <v>Nguyễn Thái Bình</v>
          </cell>
          <cell r="C244" t="str">
            <v>060283490605</v>
          </cell>
        </row>
        <row r="245">
          <cell r="B245" t="str">
            <v>Kiều Trung Tín</v>
          </cell>
          <cell r="C245" t="str">
            <v>060284969351</v>
          </cell>
        </row>
        <row r="246">
          <cell r="B246" t="str">
            <v>Trần Quốc Duy</v>
          </cell>
          <cell r="C246" t="str">
            <v>060283491032</v>
          </cell>
        </row>
        <row r="247">
          <cell r="B247" t="str">
            <v>Nguyễn Hữu Lương</v>
          </cell>
          <cell r="C247" t="str">
            <v>060278678663</v>
          </cell>
        </row>
        <row r="248">
          <cell r="B248" t="str">
            <v>Huỳnh Đình Văn</v>
          </cell>
          <cell r="C248" t="str">
            <v>060197924333</v>
          </cell>
        </row>
        <row r="249">
          <cell r="B249" t="str">
            <v>Hồ Văn Hóa</v>
          </cell>
          <cell r="C249" t="str">
            <v>060284960486</v>
          </cell>
        </row>
        <row r="250">
          <cell r="B250" t="str">
            <v>Nguyễn Thanh Hùng</v>
          </cell>
          <cell r="C250" t="str">
            <v>060284970600</v>
          </cell>
        </row>
        <row r="251">
          <cell r="B251" t="str">
            <v>Hà Quốc Bảo</v>
          </cell>
          <cell r="C251" t="str">
            <v>060284984725</v>
          </cell>
        </row>
        <row r="252">
          <cell r="B252" t="str">
            <v>Hoàng Phúc Bảo</v>
          </cell>
          <cell r="C252" t="str">
            <v>060283572970</v>
          </cell>
        </row>
        <row r="253">
          <cell r="B253" t="str">
            <v>Nguyễn Lương Tâm</v>
          </cell>
          <cell r="C253" t="str">
            <v>060283572717</v>
          </cell>
        </row>
        <row r="254">
          <cell r="B254" t="str">
            <v>Trần Thế Sơn</v>
          </cell>
          <cell r="C254" t="str">
            <v>060283491751</v>
          </cell>
        </row>
        <row r="255">
          <cell r="B255" t="str">
            <v>Trần Văn Đông</v>
          </cell>
          <cell r="C255" t="str">
            <v>060284957191</v>
          </cell>
        </row>
        <row r="256">
          <cell r="B256" t="str">
            <v>Lý Văn Trung</v>
          </cell>
          <cell r="C256" t="str">
            <v>060283584774</v>
          </cell>
        </row>
        <row r="257">
          <cell r="B257" t="str">
            <v>Đỗ Hoàng Duy</v>
          </cell>
          <cell r="C257" t="str">
            <v>060283572822</v>
          </cell>
        </row>
        <row r="258">
          <cell r="B258" t="str">
            <v>Nguyễn Hoàng Vinh</v>
          </cell>
          <cell r="C258" t="str">
            <v>060284984687</v>
          </cell>
        </row>
        <row r="259">
          <cell r="B259" t="str">
            <v>Bùi Trọng Tân</v>
          </cell>
          <cell r="C259" t="str">
            <v>060284969505</v>
          </cell>
        </row>
        <row r="260">
          <cell r="B260" t="str">
            <v>Võ Quốc Duy</v>
          </cell>
          <cell r="C260" t="str">
            <v>060285004317</v>
          </cell>
        </row>
        <row r="261">
          <cell r="B261" t="str">
            <v>Giang Văn Tiến</v>
          </cell>
          <cell r="C261" t="str">
            <v>060283546228</v>
          </cell>
        </row>
        <row r="262">
          <cell r="B262" t="str">
            <v>Đinh Đồng Hiệp</v>
          </cell>
          <cell r="C262" t="str">
            <v>060311390425</v>
          </cell>
        </row>
        <row r="263">
          <cell r="B263" t="str">
            <v>Đặng Thế Huân</v>
          </cell>
          <cell r="C263" t="str">
            <v>060310828321</v>
          </cell>
        </row>
        <row r="264">
          <cell r="B264" t="str">
            <v>Võ Anh Hào</v>
          </cell>
          <cell r="C264" t="str">
            <v>060310937791</v>
          </cell>
        </row>
        <row r="265">
          <cell r="B265" t="str">
            <v>Phan Văn Hòa</v>
          </cell>
          <cell r="C265" t="str">
            <v>060310836438</v>
          </cell>
        </row>
        <row r="266">
          <cell r="B266" t="str">
            <v>Trần Đình Khoa</v>
          </cell>
          <cell r="C266" t="str">
            <v>060908819603</v>
          </cell>
        </row>
        <row r="267">
          <cell r="B267" t="str">
            <v>Đỗ Trọng Quý</v>
          </cell>
          <cell r="C267" t="str">
            <v>060310838759</v>
          </cell>
        </row>
        <row r="268">
          <cell r="B268" t="str">
            <v>Nguyễn Vũ Xuân Thì</v>
          </cell>
          <cell r="C268" t="str">
            <v>060311005351</v>
          </cell>
        </row>
        <row r="269">
          <cell r="B269" t="str">
            <v>Hoàng Văn Viết</v>
          </cell>
          <cell r="C269" t="str">
            <v>060310963766</v>
          </cell>
        </row>
        <row r="270">
          <cell r="B270" t="str">
            <v>Nguyễn Thanh Dũng</v>
          </cell>
          <cell r="C270" t="str">
            <v>060310964452</v>
          </cell>
        </row>
        <row r="271">
          <cell r="B271" t="str">
            <v>Lương Xuân Thịnh</v>
          </cell>
          <cell r="C271" t="str">
            <v>0981820082</v>
          </cell>
        </row>
        <row r="272">
          <cell r="B272" t="str">
            <v>Đỗ Thị Tâm</v>
          </cell>
          <cell r="C272" t="str">
            <v>060310751270</v>
          </cell>
        </row>
        <row r="273">
          <cell r="B273" t="str">
            <v>Phạm Hữu Thành Phú</v>
          </cell>
          <cell r="C273" t="str">
            <v xml:space="preserve">060310664912 </v>
          </cell>
        </row>
        <row r="274">
          <cell r="B274" t="str">
            <v>Huỳnh Thanh Nhàn</v>
          </cell>
          <cell r="C274" t="str">
            <v xml:space="preserve">060310832297 </v>
          </cell>
        </row>
        <row r="275">
          <cell r="B275" t="str">
            <v>Nguyễn Thanh Hiền</v>
          </cell>
          <cell r="C275" t="str">
            <v>060282190837</v>
          </cell>
        </row>
        <row r="276">
          <cell r="B276" t="str">
            <v>Huỳnh Ngọc Liên</v>
          </cell>
          <cell r="C276" t="str">
            <v xml:space="preserve">060310704809 </v>
          </cell>
        </row>
        <row r="277">
          <cell r="B277" t="str">
            <v>Dương Văn Tâm</v>
          </cell>
          <cell r="C277" t="str">
            <v xml:space="preserve">060310665099 </v>
          </cell>
        </row>
        <row r="278">
          <cell r="B278" t="str">
            <v>Võ Tấn Đức</v>
          </cell>
          <cell r="C278" t="str">
            <v>060310750096</v>
          </cell>
        </row>
        <row r="279">
          <cell r="B279" t="str">
            <v>Ngô Ngọc Của</v>
          </cell>
          <cell r="C279" t="str">
            <v>060310749268</v>
          </cell>
        </row>
        <row r="280">
          <cell r="B280" t="str">
            <v>Đỗ Công Thành</v>
          </cell>
          <cell r="C280" t="str">
            <v>060987245810</v>
          </cell>
        </row>
        <row r="281">
          <cell r="B281" t="str">
            <v>Lương Thị Thắm</v>
          </cell>
          <cell r="C281" t="str">
            <v>060310749136</v>
          </cell>
        </row>
        <row r="282">
          <cell r="B282" t="str">
            <v>Nguyễn Hoàng Hải</v>
          </cell>
          <cell r="C282" t="str">
            <v>060310750916</v>
          </cell>
        </row>
        <row r="283">
          <cell r="B283" t="str">
            <v>Đồng Anh Tuấn</v>
          </cell>
          <cell r="C283" t="str">
            <v>060312106186</v>
          </cell>
        </row>
        <row r="284">
          <cell r="B284" t="str">
            <v>Lê Hồng Sơn</v>
          </cell>
          <cell r="C284" t="str">
            <v>060311132469</v>
          </cell>
        </row>
        <row r="285">
          <cell r="B285" t="str">
            <v>Lê Hồng Phúc</v>
          </cell>
          <cell r="C285" t="str">
            <v>060311132264</v>
          </cell>
        </row>
        <row r="286">
          <cell r="B286" t="str">
            <v>Phạm Hữu Tấn</v>
          </cell>
          <cell r="C286" t="str">
            <v>060310664343</v>
          </cell>
        </row>
        <row r="287">
          <cell r="B287" t="str">
            <v>Nguyễn Hữu Xuân Vũ</v>
          </cell>
          <cell r="C287" t="str">
            <v>060282740322</v>
          </cell>
        </row>
        <row r="288">
          <cell r="B288" t="str">
            <v>Phạm Quang Tùng</v>
          </cell>
          <cell r="C288" t="str">
            <v xml:space="preserve">060310672796 </v>
          </cell>
        </row>
        <row r="289">
          <cell r="B289" t="str">
            <v>Trần Thanh Cường</v>
          </cell>
          <cell r="C289" t="str">
            <v>060901910739</v>
          </cell>
        </row>
        <row r="290">
          <cell r="B290" t="str">
            <v>Vũ Anh Hiếu</v>
          </cell>
          <cell r="C290" t="str">
            <v>060311114691</v>
          </cell>
        </row>
        <row r="291">
          <cell r="B291" t="str">
            <v>Trần Việt Anh</v>
          </cell>
          <cell r="C291" t="str">
            <v>060310951679</v>
          </cell>
        </row>
        <row r="292">
          <cell r="B292" t="str">
            <v>Huỳnh Thị Xuân Mai</v>
          </cell>
          <cell r="C292" t="str">
            <v>060310666028</v>
          </cell>
        </row>
        <row r="293">
          <cell r="B293" t="str">
            <v>Trần Văn Cu Anh</v>
          </cell>
          <cell r="C293" t="str">
            <v xml:space="preserve">060310667083 </v>
          </cell>
        </row>
        <row r="294">
          <cell r="B294" t="str">
            <v>Dương Thị Thủy</v>
          </cell>
          <cell r="C294" t="str">
            <v>060310750304</v>
          </cell>
        </row>
        <row r="295">
          <cell r="B295" t="str">
            <v>Tạ Quốc Tấn</v>
          </cell>
          <cell r="C295" t="str">
            <v>060310750274</v>
          </cell>
        </row>
        <row r="296">
          <cell r="B296" t="str">
            <v>Nguyễn Xuân Lợi</v>
          </cell>
          <cell r="C296" t="str">
            <v>060311482761</v>
          </cell>
        </row>
        <row r="297">
          <cell r="B297" t="str">
            <v>Huỳnh Bá Triết</v>
          </cell>
          <cell r="C297" t="str">
            <v>061828031994</v>
          </cell>
        </row>
        <row r="298">
          <cell r="B298" t="str">
            <v>Giáp Đức Nhận</v>
          </cell>
          <cell r="C298" t="str">
            <v>060310749314</v>
          </cell>
        </row>
        <row r="299">
          <cell r="B299" t="str">
            <v>Trần Thị Thu</v>
          </cell>
          <cell r="C299" t="str">
            <v>060310750797</v>
          </cell>
        </row>
        <row r="300">
          <cell r="B300" t="str">
            <v>Đỗ Thị Bích Thủy</v>
          </cell>
          <cell r="C300" t="str">
            <v>060310748369</v>
          </cell>
        </row>
        <row r="301">
          <cell r="B301" t="str">
            <v>Trịnh Tuấn Vũ</v>
          </cell>
          <cell r="C301" t="str">
            <v>060310749055</v>
          </cell>
        </row>
        <row r="302">
          <cell r="B302" t="str">
            <v>Võ Thị Tuyết</v>
          </cell>
          <cell r="C302" t="str">
            <v>060310751688</v>
          </cell>
        </row>
        <row r="303">
          <cell r="B303" t="str">
            <v>Trần Kim Tươi</v>
          </cell>
          <cell r="C303" t="str">
            <v>060310750339</v>
          </cell>
        </row>
        <row r="304">
          <cell r="B304" t="str">
            <v>Trương Thị Định</v>
          </cell>
          <cell r="C304" t="str">
            <v>060311534699</v>
          </cell>
        </row>
        <row r="305">
          <cell r="B305" t="str">
            <v>Trương Thị Bắc</v>
          </cell>
          <cell r="C305" t="str">
            <v>060310749349</v>
          </cell>
        </row>
        <row r="306">
          <cell r="B306" t="str">
            <v>Phạm Thị Hoàng Diễm</v>
          </cell>
          <cell r="C306" t="str">
            <v>060310747923</v>
          </cell>
        </row>
        <row r="307">
          <cell r="B307" t="str">
            <v>Nguyễn Văn Hiển</v>
          </cell>
          <cell r="C307" t="str">
            <v>060311210605</v>
          </cell>
        </row>
        <row r="308">
          <cell r="B308" t="str">
            <v>Trần Thanh Phương</v>
          </cell>
          <cell r="C308" t="str">
            <v>060281693924</v>
          </cell>
        </row>
        <row r="309">
          <cell r="B309" t="str">
            <v>Lê Thị Huyền</v>
          </cell>
          <cell r="C309" t="str">
            <v>060310682015</v>
          </cell>
        </row>
        <row r="310">
          <cell r="B310" t="str">
            <v>Trần Thị Thảo Vân</v>
          </cell>
          <cell r="C310" t="str">
            <v>0977414676</v>
          </cell>
        </row>
        <row r="311">
          <cell r="B311" t="str">
            <v>Nguyễn Thụy Nghiêm</v>
          </cell>
          <cell r="C311" t="str">
            <v>0902915225</v>
          </cell>
        </row>
        <row r="312">
          <cell r="B312" t="str">
            <v>Huỳnh Như Ý</v>
          </cell>
          <cell r="C312" t="str">
            <v>060311042826</v>
          </cell>
        </row>
        <row r="313">
          <cell r="B313" t="str">
            <v>Nguyễn Chiến Thắng</v>
          </cell>
          <cell r="C313" t="str">
            <v>060310886001</v>
          </cell>
        </row>
        <row r="314">
          <cell r="B314" t="str">
            <v>Huỳnh Văn Hiếu</v>
          </cell>
          <cell r="C314" t="str">
            <v>060310828079</v>
          </cell>
        </row>
        <row r="315">
          <cell r="B315" t="str">
            <v>Trần Anh Mỹ</v>
          </cell>
          <cell r="C315" t="str">
            <v>060310836772</v>
          </cell>
        </row>
        <row r="316">
          <cell r="B316" t="str">
            <v>Nguyễn Trung Dũng</v>
          </cell>
          <cell r="C316" t="str">
            <v>0358800688</v>
          </cell>
        </row>
        <row r="317">
          <cell r="B317" t="str">
            <v>Phạm Huy Hoàng</v>
          </cell>
          <cell r="C317" t="str">
            <v>060278335766</v>
          </cell>
        </row>
        <row r="318">
          <cell r="B318" t="str">
            <v>Bùi Đức Phước</v>
          </cell>
          <cell r="C318" t="str">
            <v>060278713264</v>
          </cell>
        </row>
        <row r="319">
          <cell r="B319" t="str">
            <v>Lưu Hoàng Bảo Châu</v>
          </cell>
          <cell r="C319" t="str">
            <v>060310936742</v>
          </cell>
        </row>
        <row r="320">
          <cell r="B320" t="str">
            <v>Nguyễn Thị Thảo</v>
          </cell>
          <cell r="C320" t="str">
            <v>060310837000</v>
          </cell>
        </row>
        <row r="321">
          <cell r="B321" t="str">
            <v>Phạm Huỳnh Kim Ngân</v>
          </cell>
          <cell r="C321" t="str">
            <v>060310668179</v>
          </cell>
        </row>
        <row r="322">
          <cell r="B322" t="str">
            <v>Nguyễn Đan Trường</v>
          </cell>
          <cell r="C322" t="str">
            <v>060310987118</v>
          </cell>
        </row>
        <row r="323">
          <cell r="B323" t="str">
            <v>Lương Công Phi</v>
          </cell>
          <cell r="C323" t="str">
            <v>060311078200</v>
          </cell>
        </row>
        <row r="324">
          <cell r="B324" t="str">
            <v>Nguyễn Yến Nhi</v>
          </cell>
          <cell r="C324" t="str">
            <v>060282013358</v>
          </cell>
        </row>
        <row r="325">
          <cell r="B325" t="str">
            <v>Nguyễn Khắc Huân</v>
          </cell>
          <cell r="C325" t="str">
            <v>060263702789</v>
          </cell>
        </row>
        <row r="326">
          <cell r="B326" t="str">
            <v>Nguyễn Thị Trang</v>
          </cell>
          <cell r="C326" t="str">
            <v>060310837061</v>
          </cell>
        </row>
        <row r="327">
          <cell r="B327" t="str">
            <v>Hà Thị Hậu</v>
          </cell>
          <cell r="C327" t="str">
            <v>060310750118</v>
          </cell>
        </row>
        <row r="328">
          <cell r="B328" t="str">
            <v>Lư Diễm Phúc</v>
          </cell>
          <cell r="C328" t="str">
            <v>060311028599</v>
          </cell>
        </row>
        <row r="329">
          <cell r="B329" t="str">
            <v>Lê Tiến Dũng</v>
          </cell>
          <cell r="C329" t="str">
            <v xml:space="preserve">060310667458 </v>
          </cell>
        </row>
        <row r="330">
          <cell r="B330" t="str">
            <v>Lê Trần Thanh Nga</v>
          </cell>
          <cell r="C330" t="str">
            <v>060310701389</v>
          </cell>
        </row>
        <row r="331">
          <cell r="B331" t="str">
            <v>Nguyễn Việt Tiến</v>
          </cell>
          <cell r="C331" t="str">
            <v>060311001951</v>
          </cell>
        </row>
        <row r="332">
          <cell r="B332" t="str">
            <v>Nguyễn Thị Tất</v>
          </cell>
          <cell r="C332" t="str">
            <v>060310828656</v>
          </cell>
        </row>
        <row r="333">
          <cell r="B333" t="str">
            <v>Sỹ Thị Chung</v>
          </cell>
          <cell r="C333" t="str">
            <v>060310826122</v>
          </cell>
        </row>
        <row r="334">
          <cell r="B334" t="str">
            <v>Nguyễn Thị Nhung</v>
          </cell>
          <cell r="C334" t="str">
            <v>060311390204</v>
          </cell>
        </row>
        <row r="335">
          <cell r="B335" t="str">
            <v>Trần Nhật Thịnh</v>
          </cell>
          <cell r="C335" t="str">
            <v>060311004101</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TN"/>
      <sheetName val="HD"/>
      <sheetName val="T01"/>
      <sheetName val="T02"/>
      <sheetName val="T3"/>
      <sheetName val="Sheet3"/>
      <sheetName val="BĐC-BC T01.2024"/>
      <sheetName val="Sheet1"/>
      <sheetName val="Anh Tuyet"/>
      <sheetName val="Sheet2"/>
    </sheetNames>
    <sheetDataSet>
      <sheetData sheetId="0"/>
      <sheetData sheetId="1"/>
      <sheetData sheetId="2">
        <row r="14">
          <cell r="D14" t="str">
            <v>Phạm Hữu Lộc</v>
          </cell>
          <cell r="G14" t="str">
            <v>BGH</v>
          </cell>
        </row>
        <row r="15">
          <cell r="D15" t="str">
            <v>Đinh Văn Đệ</v>
          </cell>
          <cell r="G15" t="str">
            <v>BGH</v>
          </cell>
        </row>
        <row r="16">
          <cell r="D16" t="str">
            <v>Đinh Hồng Minh</v>
          </cell>
          <cell r="G16" t="str">
            <v>BGH</v>
          </cell>
        </row>
        <row r="17">
          <cell r="D17" t="str">
            <v>Châu Văn Bảo</v>
          </cell>
          <cell r="G17" t="str">
            <v>BGH</v>
          </cell>
        </row>
        <row r="18">
          <cell r="D18" t="str">
            <v>Lâm Viết Dũng</v>
          </cell>
          <cell r="G18" t="str">
            <v>TCHCTH</v>
          </cell>
        </row>
        <row r="19">
          <cell r="D19" t="str">
            <v>Lê Quang Liêm</v>
          </cell>
          <cell r="G19" t="str">
            <v>QTDV</v>
          </cell>
        </row>
        <row r="20">
          <cell r="D20" t="str">
            <v>Nguyễn Văn Thành</v>
          </cell>
          <cell r="G20" t="str">
            <v>QTDV</v>
          </cell>
        </row>
        <row r="21">
          <cell r="D21" t="str">
            <v>Phan Đức Long</v>
          </cell>
          <cell r="G21" t="str">
            <v>QTDV</v>
          </cell>
        </row>
        <row r="22">
          <cell r="D22" t="str">
            <v>Phan Hữu Tước</v>
          </cell>
          <cell r="G22" t="str">
            <v>QTDV</v>
          </cell>
        </row>
        <row r="23">
          <cell r="D23" t="str">
            <v>Trang Thị Xuân Uyên</v>
          </cell>
          <cell r="G23" t="str">
            <v>TTYT</v>
          </cell>
        </row>
        <row r="24">
          <cell r="D24" t="str">
            <v>Nguyễn Kính</v>
          </cell>
          <cell r="G24" t="str">
            <v>KHTC</v>
          </cell>
        </row>
        <row r="25">
          <cell r="D25" t="str">
            <v>Lê Xuân Thiện</v>
          </cell>
          <cell r="G25" t="str">
            <v>TTrGD</v>
          </cell>
        </row>
        <row r="26">
          <cell r="D26" t="str">
            <v>Nguyễn Ngọc Hiệp</v>
          </cell>
          <cell r="G26" t="str">
            <v>CK</v>
          </cell>
        </row>
        <row r="27">
          <cell r="D27" t="str">
            <v>Nguyễn Tất Thắng</v>
          </cell>
          <cell r="G27" t="str">
            <v>TTrGD</v>
          </cell>
        </row>
        <row r="28">
          <cell r="D28" t="str">
            <v>Võ Thị Xuân Thơ</v>
          </cell>
          <cell r="G28" t="str">
            <v>TSĐT</v>
          </cell>
        </row>
        <row r="29">
          <cell r="D29" t="str">
            <v>Nguyễn Chí Nhân</v>
          </cell>
          <cell r="G29" t="str">
            <v>KTĐBCL</v>
          </cell>
        </row>
        <row r="30">
          <cell r="D30" t="str">
            <v>Nguyễn Thanh Sơn</v>
          </cell>
          <cell r="G30" t="str">
            <v>KTĐBCL</v>
          </cell>
        </row>
        <row r="31">
          <cell r="D31" t="str">
            <v>Nguyễn Tứ Cảnh</v>
          </cell>
          <cell r="G31" t="str">
            <v>TTTV</v>
          </cell>
        </row>
        <row r="32">
          <cell r="D32" t="str">
            <v>Nguyễn Trọng Nghĩa</v>
          </cell>
          <cell r="G32" t="str">
            <v>QLKH</v>
          </cell>
        </row>
        <row r="33">
          <cell r="D33" t="str">
            <v>Phạm Thị Thanh Thúy</v>
          </cell>
          <cell r="G33" t="str">
            <v>DLKS</v>
          </cell>
        </row>
        <row r="34">
          <cell r="D34" t="str">
            <v>Nguyễn Thị Nhuận</v>
          </cell>
          <cell r="G34" t="str">
            <v>KHCB</v>
          </cell>
        </row>
        <row r="35">
          <cell r="D35" t="str">
            <v>Nguyễn Thị Huyền Nga</v>
          </cell>
          <cell r="G35" t="str">
            <v>KHCB</v>
          </cell>
        </row>
        <row r="36">
          <cell r="D36" t="str">
            <v>Nguyễn Văn Đông</v>
          </cell>
          <cell r="G36" t="str">
            <v>KHCB</v>
          </cell>
        </row>
        <row r="37">
          <cell r="D37" t="str">
            <v>Nguyễn Thanh Tú</v>
          </cell>
          <cell r="G37" t="str">
            <v>KHCB</v>
          </cell>
        </row>
        <row r="38">
          <cell r="D38" t="str">
            <v>Phạm Thị Thu Nga</v>
          </cell>
          <cell r="G38" t="str">
            <v>KHCB</v>
          </cell>
        </row>
        <row r="39">
          <cell r="D39" t="str">
            <v>Nguyễn Thị Cẩm Thạch</v>
          </cell>
          <cell r="G39" t="str">
            <v>KHCB</v>
          </cell>
        </row>
        <row r="40">
          <cell r="D40" t="str">
            <v>Vương Thanh Thủy</v>
          </cell>
          <cell r="G40" t="str">
            <v>NN</v>
          </cell>
        </row>
        <row r="41">
          <cell r="D41" t="str">
            <v>Nguyễn Thị Bảo Trân</v>
          </cell>
          <cell r="G41" t="str">
            <v>NN</v>
          </cell>
        </row>
        <row r="42">
          <cell r="D42" t="str">
            <v>Nguyễn Thị Thu Tâm</v>
          </cell>
          <cell r="G42" t="str">
            <v>NN</v>
          </cell>
        </row>
        <row r="43">
          <cell r="D43" t="str">
            <v>Võ Thị Hồng Lan</v>
          </cell>
          <cell r="G43" t="str">
            <v>NN</v>
          </cell>
        </row>
        <row r="44">
          <cell r="D44" t="str">
            <v>Nguyễn Thị Dinh</v>
          </cell>
          <cell r="G44" t="str">
            <v>LLCT</v>
          </cell>
        </row>
        <row r="45">
          <cell r="D45" t="str">
            <v>Nguyễn Anh Kiệt</v>
          </cell>
          <cell r="G45" t="str">
            <v>LLCT</v>
          </cell>
        </row>
        <row r="46">
          <cell r="D46" t="str">
            <v>Đỗ Thị Phương Khanh</v>
          </cell>
          <cell r="G46" t="str">
            <v>CK</v>
          </cell>
        </row>
        <row r="47">
          <cell r="D47" t="str">
            <v>Trương Thị Phương Hồng</v>
          </cell>
          <cell r="G47" t="str">
            <v>CK</v>
          </cell>
        </row>
        <row r="48">
          <cell r="D48" t="str">
            <v>Phan Văn Thành</v>
          </cell>
          <cell r="G48" t="str">
            <v>CK</v>
          </cell>
        </row>
        <row r="49">
          <cell r="D49" t="str">
            <v>Vũ Quang Khải</v>
          </cell>
          <cell r="G49" t="str">
            <v>CK</v>
          </cell>
        </row>
        <row r="50">
          <cell r="D50" t="str">
            <v>Phan Thị Xuân Trang</v>
          </cell>
          <cell r="G50" t="str">
            <v>CK</v>
          </cell>
        </row>
        <row r="51">
          <cell r="D51" t="str">
            <v>Võ Minh Quang</v>
          </cell>
          <cell r="G51" t="str">
            <v>CK</v>
          </cell>
        </row>
        <row r="52">
          <cell r="D52" t="str">
            <v>Nguyễn Thanh Vĩnh Phúc</v>
          </cell>
          <cell r="G52" t="str">
            <v>CK</v>
          </cell>
        </row>
        <row r="53">
          <cell r="D53" t="str">
            <v>Nguyễn Văn Sơn</v>
          </cell>
          <cell r="G53" t="str">
            <v>CK</v>
          </cell>
        </row>
        <row r="54">
          <cell r="D54" t="str">
            <v>Tạ Minh Cường</v>
          </cell>
          <cell r="G54" t="str">
            <v>Đ-ĐT</v>
          </cell>
        </row>
        <row r="55">
          <cell r="D55" t="str">
            <v>Phạm Minh Nghĩa</v>
          </cell>
          <cell r="G55" t="str">
            <v>Đ-ĐT</v>
          </cell>
        </row>
        <row r="56">
          <cell r="D56" t="str">
            <v>Huỳnh Ngọc Mai</v>
          </cell>
          <cell r="G56" t="str">
            <v>Đ-ĐT</v>
          </cell>
        </row>
        <row r="57">
          <cell r="D57" t="str">
            <v>Nguyễn Văn Yên</v>
          </cell>
          <cell r="G57" t="str">
            <v>Đ-ĐT</v>
          </cell>
        </row>
        <row r="58">
          <cell r="D58" t="str">
            <v>Nguyễn Minh Đức</v>
          </cell>
          <cell r="G58" t="str">
            <v>Đ-ĐT</v>
          </cell>
        </row>
        <row r="59">
          <cell r="D59" t="str">
            <v>Nguyễn Anh Tăng</v>
          </cell>
          <cell r="G59" t="str">
            <v>Đ-ĐT</v>
          </cell>
        </row>
        <row r="60">
          <cell r="D60" t="str">
            <v>Lê Thế Huân</v>
          </cell>
          <cell r="G60" t="str">
            <v>Đ-ĐT</v>
          </cell>
        </row>
        <row r="61">
          <cell r="D61" t="str">
            <v>Trần Trung Hiếu</v>
          </cell>
          <cell r="G61" t="str">
            <v>Đ-ĐT</v>
          </cell>
        </row>
        <row r="62">
          <cell r="D62" t="str">
            <v>Mạnh Lê Hoàn</v>
          </cell>
          <cell r="G62" t="str">
            <v>Đ-ĐT</v>
          </cell>
        </row>
        <row r="63">
          <cell r="D63" t="str">
            <v>Ngô Hoàng Anh</v>
          </cell>
          <cell r="G63" t="str">
            <v>Đ-ĐT</v>
          </cell>
        </row>
        <row r="64">
          <cell r="D64" t="str">
            <v>Nguyễn Hồng Đức</v>
          </cell>
          <cell r="G64" t="str">
            <v>Đ-ĐT</v>
          </cell>
        </row>
        <row r="65">
          <cell r="D65" t="str">
            <v>Trần Công Tiến</v>
          </cell>
          <cell r="G65" t="str">
            <v>Đ-ĐT</v>
          </cell>
        </row>
        <row r="66">
          <cell r="D66" t="str">
            <v>Nguyễn Trần Thanh Nhàn</v>
          </cell>
          <cell r="G66" t="str">
            <v>Đ-ĐT</v>
          </cell>
        </row>
        <row r="67">
          <cell r="D67" t="str">
            <v>Tăng Cẩm Huê</v>
          </cell>
          <cell r="G67" t="str">
            <v>Đ-ĐT</v>
          </cell>
        </row>
        <row r="68">
          <cell r="D68" t="str">
            <v>Trần Hiếu Trinh</v>
          </cell>
          <cell r="G68" t="str">
            <v>Đ-ĐT</v>
          </cell>
        </row>
        <row r="69">
          <cell r="D69" t="str">
            <v>Nguyễn Thị Tố Nga</v>
          </cell>
          <cell r="G69" t="str">
            <v>Đ-ĐT</v>
          </cell>
        </row>
        <row r="70">
          <cell r="D70" t="str">
            <v>Đặng Đức Minh</v>
          </cell>
          <cell r="G70" t="str">
            <v>Đ-ĐT</v>
          </cell>
        </row>
        <row r="71">
          <cell r="D71" t="str">
            <v>Nguyễn Thị Ngọc Hiền</v>
          </cell>
          <cell r="G71" t="str">
            <v>Đ-ĐT</v>
          </cell>
        </row>
        <row r="72">
          <cell r="D72" t="str">
            <v>Võ Đắc Thịnh</v>
          </cell>
          <cell r="G72" t="str">
            <v>ĐL</v>
          </cell>
        </row>
        <row r="73">
          <cell r="D73" t="str">
            <v>Đặng Thế Huân</v>
          </cell>
          <cell r="G73" t="str">
            <v>N-L</v>
          </cell>
        </row>
        <row r="74">
          <cell r="D74" t="str">
            <v>Võ Anh Hào</v>
          </cell>
          <cell r="G74" t="str">
            <v>N-L</v>
          </cell>
        </row>
        <row r="75">
          <cell r="D75" t="str">
            <v>Nguyễn Vũ Xuân Thì</v>
          </cell>
          <cell r="G75" t="str">
            <v>N-L</v>
          </cell>
        </row>
        <row r="76">
          <cell r="D76" t="str">
            <v>Huỳnh Đình Văn</v>
          </cell>
          <cell r="G76" t="str">
            <v>ĐL</v>
          </cell>
        </row>
        <row r="77">
          <cell r="D77" t="str">
            <v>Đào Lê Phương Anh</v>
          </cell>
          <cell r="G77" t="str">
            <v>CNTT</v>
          </cell>
        </row>
        <row r="78">
          <cell r="D78" t="str">
            <v>Nguyễn Duy Lộc</v>
          </cell>
          <cell r="G78" t="str">
            <v>CNTT</v>
          </cell>
        </row>
        <row r="79">
          <cell r="D79" t="str">
            <v>Lê Thu Hà</v>
          </cell>
          <cell r="G79" t="str">
            <v>NN</v>
          </cell>
        </row>
        <row r="80">
          <cell r="D80" t="str">
            <v>Ôn Thị Ngọc Thảo</v>
          </cell>
          <cell r="G80" t="str">
            <v>NN</v>
          </cell>
        </row>
        <row r="81">
          <cell r="D81" t="str">
            <v>Trần Hà Trang</v>
          </cell>
          <cell r="G81" t="str">
            <v>NN</v>
          </cell>
        </row>
        <row r="82">
          <cell r="D82" t="str">
            <v>Lưu Hoàng Hải Yến</v>
          </cell>
          <cell r="G82" t="str">
            <v>TCHCTH</v>
          </cell>
        </row>
        <row r="83">
          <cell r="D83" t="str">
            <v>Huỳnh Thị Minh Ly</v>
          </cell>
          <cell r="G83" t="str">
            <v>TCHCTH</v>
          </cell>
        </row>
        <row r="84">
          <cell r="D84" t="str">
            <v>Nguyễn Văn Chì</v>
          </cell>
          <cell r="G84" t="str">
            <v>TCHCTH</v>
          </cell>
        </row>
        <row r="85">
          <cell r="D85" t="str">
            <v>Nguyễn Thị Vân</v>
          </cell>
          <cell r="G85" t="str">
            <v>TCHCTH</v>
          </cell>
        </row>
        <row r="86">
          <cell r="D86" t="str">
            <v>Phan Thị Ngọc Phượng</v>
          </cell>
          <cell r="G86" t="str">
            <v>TCHCTH</v>
          </cell>
        </row>
        <row r="87">
          <cell r="D87" t="str">
            <v>Trần Thị Ánh Phượng</v>
          </cell>
          <cell r="G87" t="str">
            <v>TCHCTH</v>
          </cell>
        </row>
        <row r="88">
          <cell r="D88" t="str">
            <v>Thân Thị Nhung</v>
          </cell>
          <cell r="G88" t="str">
            <v>TCHCTH</v>
          </cell>
        </row>
        <row r="89">
          <cell r="D89" t="str">
            <v>Trần Thị Phương Oanh</v>
          </cell>
          <cell r="G89" t="str">
            <v>TCHCTH</v>
          </cell>
        </row>
        <row r="90">
          <cell r="D90" t="str">
            <v>Lê Thị Hải Đăng</v>
          </cell>
          <cell r="G90" t="str">
            <v>QLKH</v>
          </cell>
        </row>
        <row r="91">
          <cell r="D91" t="str">
            <v>Vũ Như Quỳnh</v>
          </cell>
          <cell r="G91" t="str">
            <v>TCHCTH</v>
          </cell>
        </row>
        <row r="92">
          <cell r="D92" t="str">
            <v>Nguyễn Thị Bích Liễu</v>
          </cell>
          <cell r="G92" t="str">
            <v>TCHCTH</v>
          </cell>
        </row>
        <row r="93">
          <cell r="D93" t="str">
            <v>Ninh Đỗ Hiệp</v>
          </cell>
          <cell r="G93" t="str">
            <v>QTDV</v>
          </cell>
        </row>
        <row r="94">
          <cell r="D94" t="str">
            <v>Nguyễn Trọng Phú</v>
          </cell>
          <cell r="G94" t="str">
            <v>QTDV</v>
          </cell>
        </row>
        <row r="95">
          <cell r="D95" t="str">
            <v>Lê Hồng Anh Tuấn</v>
          </cell>
          <cell r="G95" t="str">
            <v>QTDV</v>
          </cell>
        </row>
        <row r="96">
          <cell r="D96" t="str">
            <v>Nguyễn Tiến Việt Dũng</v>
          </cell>
          <cell r="G96" t="str">
            <v>TTĐT</v>
          </cell>
        </row>
        <row r="97">
          <cell r="D97" t="str">
            <v>Bùi Đặng Hoàng Tuấn</v>
          </cell>
          <cell r="G97" t="str">
            <v>TTĐT</v>
          </cell>
        </row>
        <row r="98">
          <cell r="D98" t="str">
            <v>Nguyễn Cao Thắng</v>
          </cell>
          <cell r="G98" t="str">
            <v>TTĐT</v>
          </cell>
        </row>
        <row r="99">
          <cell r="D99" t="str">
            <v>Võ Tấn Kiệt</v>
          </cell>
          <cell r="G99" t="str">
            <v>TTĐT</v>
          </cell>
        </row>
        <row r="100">
          <cell r="D100" t="str">
            <v>Giáp Văn Thịnh</v>
          </cell>
          <cell r="G100" t="str">
            <v>QTDV</v>
          </cell>
        </row>
        <row r="101">
          <cell r="D101" t="str">
            <v>Vũ Ngọc Quang</v>
          </cell>
          <cell r="G101" t="str">
            <v>QTDV</v>
          </cell>
        </row>
        <row r="102">
          <cell r="D102" t="str">
            <v>Bùi Thị Dương</v>
          </cell>
          <cell r="G102" t="str">
            <v>QTDV</v>
          </cell>
        </row>
        <row r="103">
          <cell r="D103" t="str">
            <v>Bùi Thị Lan Anh</v>
          </cell>
          <cell r="G103" t="str">
            <v>TTYT</v>
          </cell>
        </row>
        <row r="104">
          <cell r="D104" t="str">
            <v>Võ Thị Lệ Trân</v>
          </cell>
          <cell r="G104" t="str">
            <v>KHTC</v>
          </cell>
        </row>
        <row r="105">
          <cell r="D105" t="str">
            <v>Trần Thị Minh Thoa</v>
          </cell>
          <cell r="G105" t="str">
            <v>KHTC</v>
          </cell>
        </row>
        <row r="106">
          <cell r="D106" t="str">
            <v>Hồng Mộng Tuyết Dung</v>
          </cell>
          <cell r="G106" t="str">
            <v>KHTC</v>
          </cell>
        </row>
        <row r="107">
          <cell r="D107" t="str">
            <v>Nguyễn Thị Hồng Thắm</v>
          </cell>
          <cell r="G107" t="str">
            <v>KHTC</v>
          </cell>
        </row>
        <row r="108">
          <cell r="D108" t="str">
            <v>Lương Xuân Thịnh</v>
          </cell>
          <cell r="G108" t="str">
            <v>TTĐT</v>
          </cell>
        </row>
        <row r="109">
          <cell r="D109" t="str">
            <v>Quách Minh Thử</v>
          </cell>
          <cell r="G109" t="str">
            <v>TSĐT</v>
          </cell>
        </row>
        <row r="110">
          <cell r="D110" t="str">
            <v>Mai Nguyễn Hoàng Yến</v>
          </cell>
          <cell r="G110" t="str">
            <v>TSĐT</v>
          </cell>
        </row>
        <row r="111">
          <cell r="D111" t="str">
            <v>Nguyễn Thị Hải Hà</v>
          </cell>
          <cell r="G111" t="str">
            <v>TSĐT</v>
          </cell>
        </row>
        <row r="112">
          <cell r="D112" t="str">
            <v>Nguyễn Thị Thanh Thảo</v>
          </cell>
          <cell r="G112" t="str">
            <v>TSĐT</v>
          </cell>
        </row>
        <row r="113">
          <cell r="D113" t="str">
            <v>Thái Thị My Sa</v>
          </cell>
          <cell r="G113" t="str">
            <v>TSĐT</v>
          </cell>
        </row>
        <row r="114">
          <cell r="D114" t="str">
            <v>Giáp Thị Vượng</v>
          </cell>
          <cell r="G114" t="str">
            <v>TSĐT</v>
          </cell>
        </row>
        <row r="115">
          <cell r="D115" t="str">
            <v>Huỳnh Thị Cẩm Hoa</v>
          </cell>
          <cell r="G115" t="str">
            <v>TSĐT</v>
          </cell>
        </row>
        <row r="116">
          <cell r="D116" t="str">
            <v>Nguyễn Thị Thùy</v>
          </cell>
          <cell r="G116" t="str">
            <v>TSĐT</v>
          </cell>
        </row>
        <row r="117">
          <cell r="D117" t="str">
            <v>Trần Thị Thu Hà</v>
          </cell>
          <cell r="G117" t="str">
            <v>TTrGD</v>
          </cell>
        </row>
        <row r="118">
          <cell r="D118" t="str">
            <v>Nguyễn Thị Ngọc Anh</v>
          </cell>
          <cell r="G118" t="str">
            <v>TSĐT</v>
          </cell>
        </row>
        <row r="119">
          <cell r="D119" t="str">
            <v>Phạm Thị Lê Chi</v>
          </cell>
          <cell r="G119" t="str">
            <v>TTrGD</v>
          </cell>
        </row>
        <row r="120">
          <cell r="D120" t="str">
            <v>Nguyễn Thị Kim Anh</v>
          </cell>
          <cell r="G120" t="str">
            <v>TTrGD</v>
          </cell>
        </row>
        <row r="121">
          <cell r="D121" t="str">
            <v>Mai Thu Hương</v>
          </cell>
          <cell r="G121" t="str">
            <v>TTrGD</v>
          </cell>
        </row>
        <row r="122">
          <cell r="D122" t="str">
            <v>Nguyễn Thị Kim Dung</v>
          </cell>
          <cell r="G122" t="str">
            <v>KTĐBCL</v>
          </cell>
        </row>
        <row r="123">
          <cell r="D123" t="str">
            <v>Lương Minh Dũng</v>
          </cell>
          <cell r="G123" t="str">
            <v>KTĐBCL</v>
          </cell>
        </row>
        <row r="124">
          <cell r="D124" t="str">
            <v>Trương Thị Hồng</v>
          </cell>
          <cell r="G124" t="str">
            <v>TTĐHDL</v>
          </cell>
        </row>
        <row r="125">
          <cell r="D125" t="str">
            <v>Nguyễn Thị Tuyết</v>
          </cell>
          <cell r="G125" t="str">
            <v>KTĐBCL</v>
          </cell>
        </row>
        <row r="126">
          <cell r="D126" t="str">
            <v>Vũ Thị Thu Thủy</v>
          </cell>
          <cell r="G126" t="str">
            <v>KTĐBCL</v>
          </cell>
        </row>
        <row r="127">
          <cell r="D127" t="str">
            <v>Nguyễn Thành Nam</v>
          </cell>
          <cell r="G127" t="str">
            <v>TSĐT</v>
          </cell>
        </row>
        <row r="128">
          <cell r="D128" t="str">
            <v>Nguyễn Văn Chiến</v>
          </cell>
          <cell r="G128" t="str">
            <v>TTQHDN</v>
          </cell>
        </row>
        <row r="129">
          <cell r="D129" t="str">
            <v>Nguyễn Thùy Dương</v>
          </cell>
          <cell r="G129" t="str">
            <v>TTQHDN</v>
          </cell>
        </row>
        <row r="130">
          <cell r="D130" t="str">
            <v>Nguyễn Hữu Thiện</v>
          </cell>
          <cell r="G130" t="str">
            <v>TTĐHDL</v>
          </cell>
        </row>
        <row r="131">
          <cell r="D131" t="str">
            <v>Vương Hội Khánh</v>
          </cell>
          <cell r="G131" t="str">
            <v>TTĐHDL</v>
          </cell>
        </row>
        <row r="132">
          <cell r="D132" t="str">
            <v>Trương Hữu Lộc</v>
          </cell>
          <cell r="G132" t="str">
            <v>TTĐHDL</v>
          </cell>
        </row>
        <row r="133">
          <cell r="D133" t="str">
            <v>Trịnh Hoàng Hiệp</v>
          </cell>
          <cell r="G133" t="str">
            <v>KT</v>
          </cell>
        </row>
        <row r="134">
          <cell r="D134" t="str">
            <v>Đặng Thu Hà</v>
          </cell>
          <cell r="G134" t="str">
            <v>TTTV</v>
          </cell>
        </row>
        <row r="135">
          <cell r="D135" t="str">
            <v>Trần Thị Diễm Thúy</v>
          </cell>
          <cell r="G135" t="str">
            <v>TTTV</v>
          </cell>
        </row>
        <row r="136">
          <cell r="D136" t="str">
            <v>Đỗ Thị Tâm</v>
          </cell>
          <cell r="G136" t="str">
            <v>TTĐT</v>
          </cell>
        </row>
        <row r="137">
          <cell r="D137" t="str">
            <v>Phạm Quang Vũ</v>
          </cell>
          <cell r="G137" t="str">
            <v>XD</v>
          </cell>
        </row>
        <row r="138">
          <cell r="D138" t="str">
            <v>Trình Minh Phong</v>
          </cell>
          <cell r="G138" t="str">
            <v>XD</v>
          </cell>
        </row>
        <row r="139">
          <cell r="D139" t="str">
            <v>Trần Ngọc Tuấn</v>
          </cell>
          <cell r="G139" t="str">
            <v>XD</v>
          </cell>
        </row>
        <row r="140">
          <cell r="D140" t="str">
            <v>Phạm Quỳnh Như</v>
          </cell>
          <cell r="G140" t="str">
            <v>KT</v>
          </cell>
        </row>
        <row r="141">
          <cell r="D141" t="str">
            <v>Huỳnh Kim Liên</v>
          </cell>
          <cell r="G141" t="str">
            <v>KT</v>
          </cell>
        </row>
        <row r="142">
          <cell r="D142" t="str">
            <v>Nguyễn Huỳnh Lưu Phương</v>
          </cell>
          <cell r="G142" t="str">
            <v>KT</v>
          </cell>
        </row>
        <row r="143">
          <cell r="D143" t="str">
            <v>Lê Thị Thu Thảo</v>
          </cell>
          <cell r="G143" t="str">
            <v>KT</v>
          </cell>
        </row>
        <row r="144">
          <cell r="D144" t="str">
            <v>Lưu Thị Thúy</v>
          </cell>
          <cell r="G144" t="str">
            <v>KT</v>
          </cell>
        </row>
        <row r="145">
          <cell r="D145" t="str">
            <v>Nguyễn Thị Minh Thùy</v>
          </cell>
          <cell r="G145" t="str">
            <v>KT</v>
          </cell>
        </row>
        <row r="146">
          <cell r="D146" t="str">
            <v>Nguyễn Mỹ Tiên</v>
          </cell>
          <cell r="G146" t="str">
            <v>KT</v>
          </cell>
        </row>
        <row r="147">
          <cell r="D147" t="str">
            <v>Trần Thị Ngọc Dung</v>
          </cell>
          <cell r="G147" t="str">
            <v>KT</v>
          </cell>
        </row>
        <row r="148">
          <cell r="D148" t="str">
            <v>Cao Xuân Giang</v>
          </cell>
          <cell r="G148" t="str">
            <v>KT</v>
          </cell>
        </row>
        <row r="149">
          <cell r="D149" t="str">
            <v>Lê Hồng Ngọc My</v>
          </cell>
          <cell r="G149" t="str">
            <v>KT</v>
          </cell>
        </row>
        <row r="150">
          <cell r="D150" t="str">
            <v>Nguyễn Thị Thanh Hòa</v>
          </cell>
          <cell r="G150" t="str">
            <v>KT</v>
          </cell>
        </row>
        <row r="151">
          <cell r="D151" t="str">
            <v>Hồ Gia Bảo</v>
          </cell>
          <cell r="G151" t="str">
            <v>DLKS</v>
          </cell>
        </row>
        <row r="152">
          <cell r="D152" t="str">
            <v>Lữ Xuân Trang</v>
          </cell>
          <cell r="G152" t="str">
            <v>DLKS</v>
          </cell>
        </row>
        <row r="153">
          <cell r="D153" t="str">
            <v>Nguyễn Hoàng Thanh Ngân</v>
          </cell>
          <cell r="G153" t="str">
            <v>DLKS</v>
          </cell>
        </row>
        <row r="154">
          <cell r="D154" t="str">
            <v>Lê Thị Thúy Oanh</v>
          </cell>
          <cell r="G154" t="str">
            <v>DLKS</v>
          </cell>
        </row>
        <row r="155">
          <cell r="D155" t="str">
            <v>Đinh Thị Trâm</v>
          </cell>
          <cell r="G155" t="str">
            <v>DLKS</v>
          </cell>
        </row>
        <row r="156">
          <cell r="D156" t="str">
            <v>Võ Thị Kim Thư</v>
          </cell>
          <cell r="G156" t="str">
            <v>DLKS</v>
          </cell>
        </row>
        <row r="157">
          <cell r="D157" t="str">
            <v>Nguyễn Ngọc Thọ</v>
          </cell>
          <cell r="G157" t="str">
            <v>M-TT</v>
          </cell>
        </row>
        <row r="158">
          <cell r="D158" t="str">
            <v>Nguyễn Bạch Cẩm Dung</v>
          </cell>
          <cell r="G158" t="str">
            <v>M-TT</v>
          </cell>
        </row>
        <row r="159">
          <cell r="D159" t="str">
            <v>Lâm Thị Phương Thùy</v>
          </cell>
          <cell r="G159" t="str">
            <v>M-TT</v>
          </cell>
        </row>
        <row r="160">
          <cell r="D160" t="str">
            <v>Nguyễn Thị Hiền</v>
          </cell>
          <cell r="G160" t="str">
            <v>M-TT</v>
          </cell>
        </row>
        <row r="161">
          <cell r="D161" t="str">
            <v>Chế Vân Cầm</v>
          </cell>
          <cell r="G161" t="str">
            <v>M-TT</v>
          </cell>
        </row>
        <row r="162">
          <cell r="D162" t="str">
            <v>Trần Hồng Thảo</v>
          </cell>
          <cell r="G162" t="str">
            <v>M-TT</v>
          </cell>
        </row>
        <row r="163">
          <cell r="D163" t="str">
            <v>Lê Thị Phương Thảo</v>
          </cell>
          <cell r="G163" t="str">
            <v>M-TT</v>
          </cell>
        </row>
        <row r="164">
          <cell r="D164" t="str">
            <v>Bùi Thị Ngọc Sương</v>
          </cell>
          <cell r="G164" t="str">
            <v>M-TT</v>
          </cell>
        </row>
        <row r="165">
          <cell r="D165" t="str">
            <v>Lê Thái Hùng</v>
          </cell>
          <cell r="G165" t="str">
            <v>KHCB</v>
          </cell>
        </row>
        <row r="166">
          <cell r="D166" t="str">
            <v>Ngô Thanh Điền</v>
          </cell>
          <cell r="G166" t="str">
            <v>KHCB</v>
          </cell>
        </row>
        <row r="167">
          <cell r="D167" t="str">
            <v>Nguyễn Phú Tân</v>
          </cell>
          <cell r="G167" t="str">
            <v>KHCB</v>
          </cell>
        </row>
        <row r="168">
          <cell r="D168" t="str">
            <v>Nguyễn Phương Hà</v>
          </cell>
          <cell r="G168" t="str">
            <v>KHCB</v>
          </cell>
        </row>
        <row r="169">
          <cell r="D169" t="str">
            <v>Trịnh Khắc Vũ</v>
          </cell>
          <cell r="G169" t="str">
            <v>KHCB</v>
          </cell>
        </row>
        <row r="170">
          <cell r="D170" t="str">
            <v>Nguyễn Thị Thủy</v>
          </cell>
          <cell r="G170" t="str">
            <v>KHCB</v>
          </cell>
        </row>
        <row r="171">
          <cell r="D171" t="str">
            <v>Nguyễn Thị Thu Hà</v>
          </cell>
          <cell r="G171" t="str">
            <v>NN</v>
          </cell>
        </row>
        <row r="172">
          <cell r="D172" t="str">
            <v>Lê Văn Bình</v>
          </cell>
          <cell r="G172" t="str">
            <v>NN</v>
          </cell>
        </row>
        <row r="173">
          <cell r="D173" t="str">
            <v>Lê Nguyễn Mỹ Trâm</v>
          </cell>
          <cell r="G173" t="str">
            <v>NN</v>
          </cell>
        </row>
        <row r="174">
          <cell r="D174" t="str">
            <v>Nguyễn Thị Thanh Tú</v>
          </cell>
          <cell r="G174" t="str">
            <v>NN</v>
          </cell>
        </row>
        <row r="175">
          <cell r="D175" t="str">
            <v>Nguyễn Mạnh Phương</v>
          </cell>
          <cell r="G175" t="str">
            <v>KHCB</v>
          </cell>
        </row>
        <row r="176">
          <cell r="D176" t="str">
            <v>Trần Thị Ánh Tuyết</v>
          </cell>
          <cell r="G176" t="str">
            <v>KHCB</v>
          </cell>
        </row>
        <row r="177">
          <cell r="D177" t="str">
            <v>Hà Như Mai</v>
          </cell>
          <cell r="G177" t="str">
            <v>KHCB</v>
          </cell>
        </row>
        <row r="178">
          <cell r="D178" t="str">
            <v>Giang Phi Hùng</v>
          </cell>
          <cell r="G178" t="str">
            <v>KHCB</v>
          </cell>
        </row>
        <row r="179">
          <cell r="D179" t="str">
            <v>Lê Minh Phong</v>
          </cell>
          <cell r="G179" t="str">
            <v>KHCB</v>
          </cell>
        </row>
        <row r="180">
          <cell r="D180" t="str">
            <v>Dương Đức Kiên</v>
          </cell>
          <cell r="G180" t="str">
            <v>KHCB</v>
          </cell>
        </row>
        <row r="181">
          <cell r="D181" t="str">
            <v>Nguyễn Văn Hậu</v>
          </cell>
          <cell r="G181" t="str">
            <v>KHCB</v>
          </cell>
        </row>
        <row r="182">
          <cell r="D182" t="str">
            <v>Trần Thanh Trúc</v>
          </cell>
          <cell r="G182" t="str">
            <v>NN</v>
          </cell>
        </row>
        <row r="183">
          <cell r="D183" t="str">
            <v>Phạm Thị Thu Hiền</v>
          </cell>
          <cell r="G183" t="str">
            <v>NN</v>
          </cell>
        </row>
        <row r="184">
          <cell r="D184" t="str">
            <v>Đặng Thị Kiến Trúc</v>
          </cell>
          <cell r="G184" t="str">
            <v>NN</v>
          </cell>
        </row>
        <row r="185">
          <cell r="D185" t="str">
            <v>Lâm Thị Phương Thảo</v>
          </cell>
          <cell r="G185" t="str">
            <v>NN</v>
          </cell>
        </row>
        <row r="186">
          <cell r="D186" t="str">
            <v>Nguyễn Thiện Bình</v>
          </cell>
          <cell r="G186" t="str">
            <v>NN</v>
          </cell>
        </row>
        <row r="187">
          <cell r="D187" t="str">
            <v>Lê Thị Hồng Vân</v>
          </cell>
          <cell r="G187" t="str">
            <v>LLCT</v>
          </cell>
        </row>
        <row r="188">
          <cell r="D188" t="str">
            <v>Nguyễn Ngọc Quỳnh</v>
          </cell>
          <cell r="G188" t="str">
            <v>LLCT</v>
          </cell>
        </row>
        <row r="189">
          <cell r="D189" t="str">
            <v>Phan Thị Thùy Trang</v>
          </cell>
          <cell r="G189" t="str">
            <v>LLCT</v>
          </cell>
        </row>
        <row r="190">
          <cell r="D190" t="str">
            <v>Lê Thị Mai Hường</v>
          </cell>
          <cell r="G190" t="str">
            <v>LLCT</v>
          </cell>
        </row>
        <row r="191">
          <cell r="D191" t="str">
            <v>Đỗ Thị Ngát</v>
          </cell>
          <cell r="G191" t="str">
            <v>LLCT</v>
          </cell>
        </row>
        <row r="192">
          <cell r="D192" t="str">
            <v>Trần Thị Hồng Thu</v>
          </cell>
          <cell r="G192" t="str">
            <v>LLCT</v>
          </cell>
        </row>
        <row r="193">
          <cell r="D193" t="str">
            <v>Đinh Thị Huyên</v>
          </cell>
          <cell r="G193" t="str">
            <v>LLCT</v>
          </cell>
        </row>
        <row r="194">
          <cell r="D194" t="str">
            <v>Cao Thị Hồng Thắm</v>
          </cell>
          <cell r="G194" t="str">
            <v>LLCT</v>
          </cell>
        </row>
        <row r="195">
          <cell r="D195" t="str">
            <v>Đỗ Thị Thơm</v>
          </cell>
          <cell r="G195" t="str">
            <v>LLCT</v>
          </cell>
        </row>
        <row r="196">
          <cell r="D196" t="str">
            <v>Phạm Thị Vinh</v>
          </cell>
          <cell r="G196" t="str">
            <v>LLCT</v>
          </cell>
        </row>
        <row r="197">
          <cell r="D197" t="str">
            <v>Hoàng Thị Trang</v>
          </cell>
          <cell r="G197" t="str">
            <v>LLCT</v>
          </cell>
        </row>
        <row r="198">
          <cell r="D198" t="str">
            <v>Bùi Thành Dũng</v>
          </cell>
          <cell r="G198" t="str">
            <v>LLCT</v>
          </cell>
        </row>
        <row r="199">
          <cell r="D199" t="str">
            <v>Trần Văn Lượng</v>
          </cell>
          <cell r="G199" t="str">
            <v>LLCT</v>
          </cell>
        </row>
        <row r="200">
          <cell r="D200" t="str">
            <v>Hồ Ngọc Chi</v>
          </cell>
          <cell r="G200" t="str">
            <v>TTTV</v>
          </cell>
        </row>
        <row r="201">
          <cell r="D201" t="str">
            <v>Nguyễn Nguyên Hoàng Ngọc Quyên</v>
          </cell>
          <cell r="G201" t="str">
            <v>CNTT</v>
          </cell>
        </row>
        <row r="202">
          <cell r="D202" t="str">
            <v>Vũ Thị Thái Linh</v>
          </cell>
          <cell r="G202" t="str">
            <v>CNTT</v>
          </cell>
        </row>
        <row r="203">
          <cell r="D203" t="str">
            <v>Nguyễn Sanh Cường</v>
          </cell>
          <cell r="G203" t="str">
            <v>CNTT</v>
          </cell>
        </row>
        <row r="204">
          <cell r="D204" t="str">
            <v>Lê Quý Hưng Quốc</v>
          </cell>
          <cell r="G204" t="str">
            <v>CNTT</v>
          </cell>
        </row>
        <row r="205">
          <cell r="D205" t="str">
            <v>Bùi Văn Dũng</v>
          </cell>
          <cell r="G205" t="str">
            <v>CNTT</v>
          </cell>
        </row>
        <row r="206">
          <cell r="D206" t="str">
            <v>Nguyễn Văn Minh</v>
          </cell>
          <cell r="G206" t="str">
            <v>CNTT</v>
          </cell>
        </row>
        <row r="207">
          <cell r="D207" t="str">
            <v>Nguyễn Thị Khánh Thư</v>
          </cell>
          <cell r="G207" t="str">
            <v>CNTT</v>
          </cell>
        </row>
        <row r="208">
          <cell r="D208" t="str">
            <v>Trần Việt Khánh</v>
          </cell>
          <cell r="G208" t="str">
            <v>CNTT</v>
          </cell>
        </row>
        <row r="209">
          <cell r="D209" t="str">
            <v>Đỗ Thị Hải Yến</v>
          </cell>
          <cell r="G209" t="str">
            <v>CNTT</v>
          </cell>
        </row>
        <row r="210">
          <cell r="D210" t="str">
            <v>Lê Hồng Thái</v>
          </cell>
          <cell r="G210" t="str">
            <v>CNTT</v>
          </cell>
        </row>
        <row r="211">
          <cell r="D211" t="str">
            <v>Đặng Ngọc Đoàn</v>
          </cell>
          <cell r="G211" t="str">
            <v>CNTT</v>
          </cell>
        </row>
        <row r="212">
          <cell r="D212" t="str">
            <v>Nguyễn Văn Đôn</v>
          </cell>
          <cell r="G212" t="str">
            <v>CNTT</v>
          </cell>
        </row>
        <row r="213">
          <cell r="D213" t="str">
            <v>Huỳnh Quốc Dũng</v>
          </cell>
          <cell r="G213" t="str">
            <v>CNTT</v>
          </cell>
        </row>
        <row r="214">
          <cell r="D214" t="str">
            <v>Dương Ngọc Vọng</v>
          </cell>
          <cell r="G214" t="str">
            <v>CNTT</v>
          </cell>
        </row>
        <row r="215">
          <cell r="D215" t="str">
            <v>Nguyễn Ngọc Tuyên</v>
          </cell>
          <cell r="G215" t="str">
            <v>CNTT</v>
          </cell>
        </row>
        <row r="216">
          <cell r="D216" t="str">
            <v>Nguyễn Cao Phong</v>
          </cell>
          <cell r="G216" t="str">
            <v>CNTT</v>
          </cell>
        </row>
        <row r="217">
          <cell r="D217" t="str">
            <v>Mai Chiếm Tuấn</v>
          </cell>
          <cell r="G217" t="str">
            <v>CNTT</v>
          </cell>
        </row>
        <row r="218">
          <cell r="D218" t="str">
            <v>Đỗ Tuấn Việt</v>
          </cell>
          <cell r="G218" t="str">
            <v>CNTT</v>
          </cell>
        </row>
        <row r="219">
          <cell r="D219" t="str">
            <v>Trần Vĩnh Xuyên</v>
          </cell>
          <cell r="G219" t="str">
            <v>CNTT</v>
          </cell>
        </row>
        <row r="220">
          <cell r="D220" t="str">
            <v>Chung Trần Thế Vinh</v>
          </cell>
          <cell r="G220" t="str">
            <v>CK</v>
          </cell>
        </row>
        <row r="221">
          <cell r="D221" t="str">
            <v>Trần Đình Khải</v>
          </cell>
          <cell r="G221" t="str">
            <v>CK</v>
          </cell>
        </row>
        <row r="222">
          <cell r="D222" t="str">
            <v>Vũ Đức Pháp</v>
          </cell>
          <cell r="G222" t="str">
            <v>CK</v>
          </cell>
        </row>
        <row r="223">
          <cell r="D223" t="str">
            <v>Bùi Anh Tuấn</v>
          </cell>
          <cell r="G223" t="str">
            <v>CK</v>
          </cell>
        </row>
        <row r="224">
          <cell r="D224" t="str">
            <v>Dương Minh Chung</v>
          </cell>
          <cell r="G224" t="str">
            <v>CK</v>
          </cell>
        </row>
        <row r="225">
          <cell r="D225" t="str">
            <v>Nguyễn Thanh Vũ</v>
          </cell>
          <cell r="G225" t="str">
            <v>CK</v>
          </cell>
        </row>
        <row r="226">
          <cell r="D226" t="str">
            <v>Lư Thị Yến Vũ</v>
          </cell>
          <cell r="G226" t="str">
            <v>CK</v>
          </cell>
        </row>
        <row r="227">
          <cell r="D227" t="str">
            <v>Nguyễn Tiến Dũng</v>
          </cell>
          <cell r="G227" t="str">
            <v>CK</v>
          </cell>
        </row>
        <row r="228">
          <cell r="D228" t="str">
            <v>Nguyễn Thành Long</v>
          </cell>
          <cell r="G228" t="str">
            <v>CK</v>
          </cell>
        </row>
        <row r="229">
          <cell r="D229" t="str">
            <v>Nguyễn Ngọc Quỳnh</v>
          </cell>
          <cell r="G229" t="str">
            <v>CK</v>
          </cell>
        </row>
        <row r="230">
          <cell r="D230" t="str">
            <v>Nguyễn Duy Hải</v>
          </cell>
          <cell r="G230" t="str">
            <v>CK</v>
          </cell>
        </row>
        <row r="231">
          <cell r="D231" t="str">
            <v>Trần Thị Hương</v>
          </cell>
          <cell r="G231" t="str">
            <v>CK</v>
          </cell>
        </row>
        <row r="232">
          <cell r="D232" t="str">
            <v>Trần Minh Thông</v>
          </cell>
          <cell r="G232" t="str">
            <v>CK</v>
          </cell>
        </row>
        <row r="233">
          <cell r="D233" t="str">
            <v>Dương Thị Hồng</v>
          </cell>
          <cell r="G233" t="str">
            <v>CK</v>
          </cell>
        </row>
        <row r="234">
          <cell r="D234" t="str">
            <v>Nguyễn Thanh Giang</v>
          </cell>
          <cell r="G234" t="str">
            <v>CK</v>
          </cell>
        </row>
        <row r="235">
          <cell r="D235" t="str">
            <v>Nguyễn Hồng Phúc</v>
          </cell>
          <cell r="G235" t="str">
            <v>CK</v>
          </cell>
        </row>
        <row r="236">
          <cell r="D236" t="str">
            <v>Nguyễn Khắc Huy</v>
          </cell>
          <cell r="G236" t="str">
            <v>CK</v>
          </cell>
        </row>
        <row r="237">
          <cell r="D237" t="str">
            <v>Nguyễn Thị Xuân Chinh</v>
          </cell>
          <cell r="G237" t="str">
            <v>CK</v>
          </cell>
        </row>
        <row r="238">
          <cell r="D238" t="str">
            <v>Võ Hoài Sơn</v>
          </cell>
          <cell r="G238" t="str">
            <v>CK</v>
          </cell>
        </row>
        <row r="239">
          <cell r="D239" t="str">
            <v>Nguyễn Duy Tân</v>
          </cell>
          <cell r="G239" t="str">
            <v>CK</v>
          </cell>
        </row>
        <row r="240">
          <cell r="D240" t="str">
            <v>Trần Nguyên Bảo Trân</v>
          </cell>
          <cell r="G240" t="str">
            <v>Đ-ĐT</v>
          </cell>
        </row>
        <row r="241">
          <cell r="D241" t="str">
            <v>Nguyễn Thùy Linh</v>
          </cell>
          <cell r="G241" t="str">
            <v>Đ-ĐT</v>
          </cell>
        </row>
        <row r="242">
          <cell r="D242" t="str">
            <v>Vũ Hạnh Chiêu</v>
          </cell>
          <cell r="G242" t="str">
            <v>Đ-ĐT</v>
          </cell>
        </row>
        <row r="243">
          <cell r="D243" t="str">
            <v>Đỗ Huỳnh Thanh Phong</v>
          </cell>
          <cell r="G243" t="str">
            <v>Đ-ĐT</v>
          </cell>
        </row>
        <row r="244">
          <cell r="D244" t="str">
            <v>Nguyễn Minh Đức Cường</v>
          </cell>
          <cell r="G244" t="str">
            <v>Đ-ĐT</v>
          </cell>
        </row>
        <row r="245">
          <cell r="D245" t="str">
            <v>Ngô Phong Cường</v>
          </cell>
          <cell r="G245" t="str">
            <v>Đ-ĐT</v>
          </cell>
        </row>
        <row r="246">
          <cell r="D246" t="str">
            <v>Phan Thanh Hoàng</v>
          </cell>
          <cell r="G246" t="str">
            <v>Đ-ĐT</v>
          </cell>
        </row>
        <row r="247">
          <cell r="D247" t="str">
            <v>Cao Văn Tuấn</v>
          </cell>
          <cell r="G247" t="str">
            <v>Đ-ĐT</v>
          </cell>
        </row>
        <row r="248">
          <cell r="D248" t="str">
            <v>Trần Giang Nam</v>
          </cell>
          <cell r="G248" t="str">
            <v>Đ-ĐT</v>
          </cell>
        </row>
        <row r="249">
          <cell r="D249" t="str">
            <v>Trần Nam Anh</v>
          </cell>
          <cell r="G249" t="str">
            <v>Đ-ĐT</v>
          </cell>
        </row>
        <row r="250">
          <cell r="D250" t="str">
            <v>Nguyễn Khương Thành</v>
          </cell>
          <cell r="G250" t="str">
            <v>Đ-ĐT</v>
          </cell>
        </row>
        <row r="251">
          <cell r="D251" t="str">
            <v>Huỳnh Duy An</v>
          </cell>
          <cell r="G251" t="str">
            <v>Đ-ĐT</v>
          </cell>
        </row>
        <row r="252">
          <cell r="D252" t="str">
            <v>Nguyễn Anh Tuấn</v>
          </cell>
          <cell r="G252" t="str">
            <v>ĐL</v>
          </cell>
        </row>
        <row r="253">
          <cell r="D253" t="str">
            <v>Nguyễn Hữu Mạnh</v>
          </cell>
          <cell r="G253" t="str">
            <v>ĐL</v>
          </cell>
        </row>
        <row r="254">
          <cell r="D254" t="str">
            <v>Triệu Phú Nguyên</v>
          </cell>
          <cell r="G254" t="str">
            <v>ĐL</v>
          </cell>
        </row>
        <row r="255">
          <cell r="D255" t="str">
            <v>Hà Quốc Bảo</v>
          </cell>
          <cell r="G255" t="str">
            <v>ĐL</v>
          </cell>
        </row>
        <row r="256">
          <cell r="D256" t="str">
            <v>Hoàng Phúc Bảo</v>
          </cell>
          <cell r="G256" t="str">
            <v>ĐL</v>
          </cell>
        </row>
        <row r="257">
          <cell r="D257" t="str">
            <v>Phan Anh Tuấn Kiệt</v>
          </cell>
          <cell r="G257" t="str">
            <v>ĐL</v>
          </cell>
        </row>
        <row r="258">
          <cell r="D258" t="str">
            <v>Nguyễn Thành Đức</v>
          </cell>
          <cell r="G258" t="str">
            <v>ĐL</v>
          </cell>
        </row>
        <row r="259">
          <cell r="D259" t="str">
            <v>Nguyễn Minh Thái</v>
          </cell>
          <cell r="G259" t="str">
            <v>ĐL</v>
          </cell>
        </row>
        <row r="260">
          <cell r="D260" t="str">
            <v>Đặng Thái Sơn</v>
          </cell>
          <cell r="G260" t="str">
            <v>ĐL</v>
          </cell>
        </row>
        <row r="261">
          <cell r="D261" t="str">
            <v>Trần Thế Sơn</v>
          </cell>
          <cell r="G261" t="str">
            <v>ĐL</v>
          </cell>
        </row>
        <row r="262">
          <cell r="D262" t="str">
            <v>Nguyễn Thái Bình</v>
          </cell>
          <cell r="G262" t="str">
            <v>ĐL</v>
          </cell>
        </row>
        <row r="263">
          <cell r="D263" t="str">
            <v>Kiều Trung Tín</v>
          </cell>
          <cell r="G263" t="str">
            <v>ĐL</v>
          </cell>
        </row>
        <row r="264">
          <cell r="D264" t="str">
            <v>Trần Quốc Duy</v>
          </cell>
          <cell r="G264" t="str">
            <v>ĐL</v>
          </cell>
        </row>
        <row r="265">
          <cell r="D265" t="str">
            <v>Hồ Văn Hóa</v>
          </cell>
          <cell r="G265" t="str">
            <v>ĐL</v>
          </cell>
        </row>
        <row r="266">
          <cell r="D266" t="str">
            <v>Nguyễn Thanh Hùng</v>
          </cell>
          <cell r="G266" t="str">
            <v>ĐL</v>
          </cell>
        </row>
        <row r="267">
          <cell r="D267" t="str">
            <v>Lý Văn Trung</v>
          </cell>
          <cell r="G267" t="str">
            <v>ĐL</v>
          </cell>
        </row>
        <row r="268">
          <cell r="D268" t="str">
            <v>Nguyễn Hữu Lương</v>
          </cell>
          <cell r="G268" t="str">
            <v>ĐL</v>
          </cell>
        </row>
        <row r="269">
          <cell r="D269" t="str">
            <v>Nguyễn Lương Tâm</v>
          </cell>
          <cell r="G269" t="str">
            <v>ĐL</v>
          </cell>
        </row>
        <row r="270">
          <cell r="D270" t="str">
            <v>Trần Văn Đông</v>
          </cell>
          <cell r="G270" t="str">
            <v>ĐL</v>
          </cell>
        </row>
        <row r="271">
          <cell r="D271" t="str">
            <v>Giang Văn Tiến</v>
          </cell>
          <cell r="G271" t="str">
            <v>ĐL</v>
          </cell>
        </row>
        <row r="272">
          <cell r="D272" t="str">
            <v>Bùi Trọng Tân</v>
          </cell>
          <cell r="G272" t="str">
            <v>ĐL</v>
          </cell>
        </row>
        <row r="273">
          <cell r="D273" t="str">
            <v>Nguyễn Hoàng Vinh</v>
          </cell>
          <cell r="G273" t="str">
            <v>ĐL</v>
          </cell>
        </row>
        <row r="274">
          <cell r="D274" t="str">
            <v>Đỗ Hoàng Duy</v>
          </cell>
          <cell r="G274" t="str">
            <v>ĐL</v>
          </cell>
        </row>
        <row r="275">
          <cell r="D275" t="str">
            <v>Võ Quốc Duy</v>
          </cell>
          <cell r="G275" t="str">
            <v>ĐL</v>
          </cell>
        </row>
        <row r="276">
          <cell r="D276" t="str">
            <v>Đinh Đồng Hiệp</v>
          </cell>
          <cell r="G276" t="str">
            <v>N-L</v>
          </cell>
        </row>
        <row r="277">
          <cell r="D277" t="str">
            <v>Hoàng Văn Viết</v>
          </cell>
          <cell r="G277" t="str">
            <v>N-L</v>
          </cell>
        </row>
        <row r="278">
          <cell r="D278" t="str">
            <v>Phan Văn Hòa</v>
          </cell>
          <cell r="G278" t="str">
            <v>N-L</v>
          </cell>
        </row>
        <row r="279">
          <cell r="D279" t="str">
            <v>Đỗ Trọng Quý</v>
          </cell>
          <cell r="G279" t="str">
            <v>N-L</v>
          </cell>
        </row>
        <row r="280">
          <cell r="D280" t="str">
            <v>Nguyễn Thanh Dũng</v>
          </cell>
          <cell r="G280" t="str">
            <v>N-L</v>
          </cell>
        </row>
        <row r="281">
          <cell r="D281" t="str">
            <v>Trần Đình Khoa</v>
          </cell>
          <cell r="G281" t="str">
            <v>N-L</v>
          </cell>
        </row>
        <row r="282">
          <cell r="D282" t="str">
            <v>Lê Hồng Sơn</v>
          </cell>
          <cell r="G282" t="str">
            <v>TCHCTH</v>
          </cell>
        </row>
        <row r="283">
          <cell r="D283" t="str">
            <v>Lê Hồng Phúc</v>
          </cell>
          <cell r="G283" t="str">
            <v>TCHCTH</v>
          </cell>
        </row>
        <row r="284">
          <cell r="D284" t="str">
            <v>Phạm Hữu Tấn</v>
          </cell>
          <cell r="G284" t="str">
            <v>TCHCTH</v>
          </cell>
        </row>
        <row r="285">
          <cell r="D285" t="str">
            <v>Nguyễn Hữu Xuân Vũ</v>
          </cell>
          <cell r="G285" t="str">
            <v>TCHCTH</v>
          </cell>
        </row>
        <row r="286">
          <cell r="D286" t="str">
            <v>Phạm Quang Tùng</v>
          </cell>
          <cell r="G286" t="str">
            <v>TCHCTH</v>
          </cell>
        </row>
        <row r="287">
          <cell r="D287" t="str">
            <v>Trần Thanh Cường</v>
          </cell>
          <cell r="G287" t="str">
            <v>TCHCTH</v>
          </cell>
        </row>
        <row r="288">
          <cell r="D288" t="str">
            <v>Vũ Anh Hiếu</v>
          </cell>
          <cell r="G288" t="str">
            <v>TCHCTH</v>
          </cell>
        </row>
        <row r="289">
          <cell r="D289" t="str">
            <v>Trần Việt Anh</v>
          </cell>
          <cell r="G289" t="str">
            <v>TTrGD</v>
          </cell>
        </row>
        <row r="290">
          <cell r="D290" t="str">
            <v>Trần Văn Cu Anh</v>
          </cell>
          <cell r="G290" t="str">
            <v>TCHCTH</v>
          </cell>
        </row>
        <row r="291">
          <cell r="D291" t="str">
            <v>Huỳnh Thị Xuân Mai</v>
          </cell>
          <cell r="G291" t="str">
            <v>TCHCTH</v>
          </cell>
        </row>
        <row r="292">
          <cell r="D292" t="str">
            <v>Dương Thị Thủy</v>
          </cell>
          <cell r="G292" t="str">
            <v>QTDV</v>
          </cell>
        </row>
        <row r="293">
          <cell r="D293" t="str">
            <v>Tạ Quốc Tấn</v>
          </cell>
          <cell r="G293" t="str">
            <v>QTDV</v>
          </cell>
        </row>
        <row r="294">
          <cell r="D294" t="str">
            <v>Nguyễn Xuân Lợi</v>
          </cell>
          <cell r="G294" t="str">
            <v>TTĐT</v>
          </cell>
        </row>
        <row r="295">
          <cell r="D295" t="str">
            <v>Huỳnh Bá Triết</v>
          </cell>
          <cell r="G295" t="str">
            <v>QTDV</v>
          </cell>
        </row>
        <row r="296">
          <cell r="D296" t="str">
            <v>Giáp Đức Nhận</v>
          </cell>
          <cell r="G296" t="str">
            <v>QTDV</v>
          </cell>
        </row>
        <row r="297">
          <cell r="D297" t="str">
            <v>Trần Thị Thu</v>
          </cell>
          <cell r="G297" t="str">
            <v>QTDV</v>
          </cell>
        </row>
        <row r="298">
          <cell r="D298" t="str">
            <v>Đỗ Thị Bích Thủy</v>
          </cell>
          <cell r="G298" t="str">
            <v>QTDV</v>
          </cell>
        </row>
        <row r="299">
          <cell r="D299" t="str">
            <v>Trịnh Tuấn Vũ</v>
          </cell>
          <cell r="G299" t="str">
            <v>QTDV</v>
          </cell>
        </row>
        <row r="300">
          <cell r="D300" t="str">
            <v>Võ Thị Tuyết</v>
          </cell>
          <cell r="G300" t="str">
            <v>QTDV</v>
          </cell>
        </row>
        <row r="301">
          <cell r="D301" t="str">
            <v>Trần Kim Tươi</v>
          </cell>
          <cell r="G301" t="str">
            <v>QTDV</v>
          </cell>
        </row>
        <row r="302">
          <cell r="D302" t="str">
            <v>Trương Thị Định</v>
          </cell>
          <cell r="G302" t="str">
            <v>QTDV</v>
          </cell>
        </row>
        <row r="303">
          <cell r="D303" t="str">
            <v>Trương Thị Bắc</v>
          </cell>
          <cell r="G303" t="str">
            <v>QTDV</v>
          </cell>
        </row>
        <row r="304">
          <cell r="D304" t="str">
            <v>Phạm Thị Hoàng Diễm</v>
          </cell>
          <cell r="G304" t="str">
            <v>QTDV</v>
          </cell>
        </row>
        <row r="305">
          <cell r="D305" t="str">
            <v>Nguyễn Văn Hiển</v>
          </cell>
          <cell r="G305" t="str">
            <v>QTDV</v>
          </cell>
        </row>
        <row r="306">
          <cell r="D306" t="str">
            <v>Trần Thanh Phương</v>
          </cell>
          <cell r="G306" t="str">
            <v>QTDV</v>
          </cell>
        </row>
        <row r="307">
          <cell r="D307" t="str">
            <v>Lê Thị Huyền</v>
          </cell>
          <cell r="G307" t="str">
            <v>TTYT</v>
          </cell>
        </row>
        <row r="308">
          <cell r="D308" t="str">
            <v>Trần Thị Thảo Vân</v>
          </cell>
          <cell r="G308" t="str">
            <v>KHTC</v>
          </cell>
        </row>
        <row r="309">
          <cell r="D309" t="str">
            <v>Nguyễn Thụy Nghiêm</v>
          </cell>
          <cell r="G309" t="str">
            <v>KHTC</v>
          </cell>
        </row>
        <row r="310">
          <cell r="D310" t="str">
            <v>Huỳnh Như Ý</v>
          </cell>
          <cell r="G310" t="str">
            <v>KHTC</v>
          </cell>
        </row>
        <row r="311">
          <cell r="D311" t="str">
            <v>Nguyễn Chiến Thắng</v>
          </cell>
          <cell r="G311" t="str">
            <v>KHTC</v>
          </cell>
        </row>
        <row r="312">
          <cell r="D312" t="str">
            <v>Huỳnh Văn Hiếu</v>
          </cell>
          <cell r="G312" t="str">
            <v>TTrGD</v>
          </cell>
        </row>
        <row r="313">
          <cell r="D313" t="str">
            <v>Trần Anh Mỹ</v>
          </cell>
          <cell r="G313" t="str">
            <v>TTrGD</v>
          </cell>
        </row>
        <row r="314">
          <cell r="D314" t="str">
            <v>Nguyễn Trung Dũng</v>
          </cell>
          <cell r="G314" t="str">
            <v>TTrGD</v>
          </cell>
        </row>
        <row r="315">
          <cell r="D315" t="str">
            <v>Phạm Huy Hoàng</v>
          </cell>
          <cell r="G315" t="str">
            <v>TTrGD</v>
          </cell>
        </row>
        <row r="316">
          <cell r="D316" t="str">
            <v>Bùi Đức Phước</v>
          </cell>
          <cell r="G316" t="str">
            <v>TTrGD</v>
          </cell>
        </row>
        <row r="317">
          <cell r="D317" t="str">
            <v>Nguyễn Thị Thảo</v>
          </cell>
          <cell r="G317" t="str">
            <v>TTrGD</v>
          </cell>
        </row>
        <row r="318">
          <cell r="D318" t="str">
            <v>Lưu Hoàng Bảo Châu</v>
          </cell>
          <cell r="G318" t="str">
            <v>TTrGD</v>
          </cell>
        </row>
        <row r="319">
          <cell r="D319" t="str">
            <v>Nguyễn Việt Tiến</v>
          </cell>
          <cell r="G319" t="str">
            <v>TSĐT</v>
          </cell>
        </row>
        <row r="320">
          <cell r="D320" t="str">
            <v>Nguyễn Thị Nhung</v>
          </cell>
          <cell r="G320" t="str">
            <v>TSĐT</v>
          </cell>
        </row>
        <row r="321">
          <cell r="D321" t="str">
            <v>Nguyễn Thị Tất</v>
          </cell>
          <cell r="G321" t="str">
            <v>TSĐT</v>
          </cell>
        </row>
        <row r="322">
          <cell r="D322" t="str">
            <v>Sỹ Thị Chung</v>
          </cell>
          <cell r="G322" t="str">
            <v>TSĐT</v>
          </cell>
        </row>
        <row r="323">
          <cell r="D323" t="str">
            <v>Trần Nhật Thịnh</v>
          </cell>
          <cell r="G323" t="str">
            <v>TSĐT</v>
          </cell>
        </row>
        <row r="324">
          <cell r="D324" t="str">
            <v>Nguyễn Yến Nhi</v>
          </cell>
          <cell r="G324" t="str">
            <v>KTĐBCL</v>
          </cell>
        </row>
        <row r="325">
          <cell r="D325" t="str">
            <v>Lê Tiến Dũng</v>
          </cell>
          <cell r="G325" t="str">
            <v>QLKH</v>
          </cell>
        </row>
        <row r="326">
          <cell r="D326" t="str">
            <v>Lê Trần Thanh Nga</v>
          </cell>
          <cell r="G326" t="str">
            <v>QLKH</v>
          </cell>
        </row>
        <row r="327">
          <cell r="D327" t="str">
            <v>Phạm Huỳnh Kim Ngân</v>
          </cell>
          <cell r="G327" t="str">
            <v>TTĐHDL</v>
          </cell>
        </row>
        <row r="328">
          <cell r="D328" t="str">
            <v>Nguyễn Đan Trường</v>
          </cell>
          <cell r="G328" t="str">
            <v>TTĐHDL</v>
          </cell>
        </row>
        <row r="329">
          <cell r="D329" t="str">
            <v>Nguyễn Thị Trang</v>
          </cell>
          <cell r="G329" t="str">
            <v>TTTV</v>
          </cell>
        </row>
        <row r="330">
          <cell r="D330" t="str">
            <v>Lư Diễm Phúc</v>
          </cell>
          <cell r="G330" t="str">
            <v>TTTV</v>
          </cell>
        </row>
        <row r="331">
          <cell r="D331" t="str">
            <v>Hà Thị Hậu</v>
          </cell>
          <cell r="G331" t="str">
            <v>TTTV</v>
          </cell>
        </row>
        <row r="332">
          <cell r="D332" t="str">
            <v>Đỗ Công Thành</v>
          </cell>
          <cell r="G332" t="str">
            <v>TTĐT</v>
          </cell>
        </row>
        <row r="333">
          <cell r="D333" t="str">
            <v>Lương Thị Thắm</v>
          </cell>
          <cell r="G333" t="str">
            <v>TTĐT</v>
          </cell>
        </row>
        <row r="334">
          <cell r="D334" t="str">
            <v>Nguyễn Hoàng Hải</v>
          </cell>
          <cell r="G334" t="str">
            <v>TTĐT</v>
          </cell>
        </row>
        <row r="335">
          <cell r="D335" t="str">
            <v>Lương Công Phi</v>
          </cell>
          <cell r="G335" t="str">
            <v>TTĐHDL</v>
          </cell>
        </row>
        <row r="336">
          <cell r="D336" t="str">
            <v>Nguyễn Khắc Huân</v>
          </cell>
          <cell r="G336" t="str">
            <v>ĐL</v>
          </cell>
        </row>
        <row r="337">
          <cell r="D337" t="str">
            <v>Đồng Anh Tuấn</v>
          </cell>
          <cell r="G337" t="str">
            <v>TCHCTH</v>
          </cell>
        </row>
        <row r="338">
          <cell r="D338" t="str">
            <v>Phạm Hữu Thành Phú</v>
          </cell>
          <cell r="G338" t="str">
            <v>TCHCTH</v>
          </cell>
        </row>
        <row r="339">
          <cell r="D339" t="str">
            <v>Huỳnh Thanh Nhàn</v>
          </cell>
          <cell r="G339" t="str">
            <v>TCHCTH</v>
          </cell>
        </row>
        <row r="340">
          <cell r="D340" t="str">
            <v>Nguyễn Thanh Hiền</v>
          </cell>
          <cell r="G340" t="str">
            <v>TCHCTH</v>
          </cell>
        </row>
        <row r="341">
          <cell r="D341" t="str">
            <v>Huỳnh Ngọc Liên</v>
          </cell>
          <cell r="G341" t="str">
            <v>TCHCTH</v>
          </cell>
        </row>
        <row r="342">
          <cell r="D342" t="str">
            <v>Dương Văn Tâm</v>
          </cell>
          <cell r="G342" t="str">
            <v>TCHCTH</v>
          </cell>
        </row>
        <row r="343">
          <cell r="D343" t="str">
            <v>Võ Tấn Đức</v>
          </cell>
          <cell r="G343" t="str">
            <v>QTDV</v>
          </cell>
        </row>
        <row r="344">
          <cell r="D344" t="str">
            <v>Ngô Ngọc Của</v>
          </cell>
          <cell r="G344" t="str">
            <v>QTDV</v>
          </cell>
        </row>
        <row r="345">
          <cell r="D345">
            <v>0</v>
          </cell>
          <cell r="G345">
            <v>0</v>
          </cell>
        </row>
        <row r="346">
          <cell r="D346">
            <v>0</v>
          </cell>
          <cell r="G346">
            <v>0</v>
          </cell>
        </row>
      </sheetData>
      <sheetData sheetId="3"/>
      <sheetData sheetId="4"/>
      <sheetData sheetId="5"/>
      <sheetData sheetId="6"/>
      <sheetData sheetId="7"/>
      <sheetData sheetId="8"/>
      <sheetData sheetId="9"/>
    </sheetDataSet>
  </externalBook>
</externalLink>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Column31" sourceName="Column31">
  <extLst>
    <x:ext xmlns:x15="http://schemas.microsoft.com/office/spreadsheetml/2010/11/main" uri="{2F2917AC-EB37-4324-AD4E-5DD8C200BD13}">
      <x15:tableSlicerCache tableId="1" column="31"/>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Column31" cache="Slicer_Column31" caption="Column31" columnCount="2" rowHeight="257175"/>
</slicers>
</file>

<file path=xl/tables/table1.xml><?xml version="1.0" encoding="utf-8"?>
<table xmlns="http://schemas.openxmlformats.org/spreadsheetml/2006/main" id="1" name="Table1" displayName="Table1" ref="A13:AE83" totalsRowCount="1" dataDxfId="56" tableBorderDxfId="55">
  <autoFilter ref="A13:AE82"/>
  <tableColumns count="31">
    <tableColumn id="1" name="Column1" dataDxfId="54" totalsRowDxfId="30"/>
    <tableColumn id="2" name="Column2" dataDxfId="53" totalsRowDxfId="29"/>
    <tableColumn id="3" name="Column3" dataDxfId="52" totalsRowDxfId="28"/>
    <tableColumn id="4" name="Column4" totalsRowDxfId="27"/>
    <tableColumn id="5" name="Column5" dataDxfId="51" totalsRowDxfId="26"/>
    <tableColumn id="6" name="Column6" dataDxfId="50" totalsRowDxfId="25"/>
    <tableColumn id="7" name="Column7" totalsRowDxfId="24"/>
    <tableColumn id="8" name="Column8" totalsRowDxfId="23"/>
    <tableColumn id="9" name="Column9" dataDxfId="49" totalsRowDxfId="22"/>
    <tableColumn id="10" name="Column10" dataDxfId="48" totalsRowDxfId="21"/>
    <tableColumn id="11" name="Column11" dataDxfId="47" totalsRowDxfId="20"/>
    <tableColumn id="12" name="Column12" dataDxfId="46" totalsRowDxfId="19"/>
    <tableColumn id="13" name="Column13" dataDxfId="45" totalsRowDxfId="18"/>
    <tableColumn id="14" name="Column14" dataDxfId="44" totalsRowDxfId="17"/>
    <tableColumn id="15" name="Column15" dataDxfId="43" totalsRowDxfId="16"/>
    <tableColumn id="16" name="Column16" dataDxfId="42" totalsRowDxfId="15"/>
    <tableColumn id="17" name="Column17" dataDxfId="41" totalsRowDxfId="14"/>
    <tableColumn id="18" name="Column18" dataDxfId="40" totalsRowDxfId="13"/>
    <tableColumn id="19" name="Column19" dataDxfId="39" totalsRowDxfId="12"/>
    <tableColumn id="20" name="Column20" dataDxfId="38" totalsRowDxfId="11"/>
    <tableColumn id="21" name="Column21" dataDxfId="37" totalsRowDxfId="10"/>
    <tableColumn id="22" name="Column22" dataDxfId="36" totalsRowDxfId="9"/>
    <tableColumn id="23" name="Column23" totalsRowDxfId="8"/>
    <tableColumn id="24" name="Column24" totalsRowDxfId="7"/>
    <tableColumn id="25" name="Column25" totalsRowDxfId="6"/>
    <tableColumn id="26" name="Column26" totalsRowDxfId="5"/>
    <tableColumn id="27" name="Column27" totalsRowFunction="custom" dataDxfId="35" totalsRowDxfId="4">
      <totalsRowFormula>SUBTOTAL(9,AA15:AA82)</totalsRowFormula>
    </tableColumn>
    <tableColumn id="28" name="Column28" dataDxfId="34" totalsRowDxfId="3"/>
    <tableColumn id="29" name="Column29" dataDxfId="33" totalsRowDxfId="2"/>
    <tableColumn id="30" name="Column30" dataDxfId="32" totalsRowDxfId="1"/>
    <tableColumn id="31" name="Column31" dataDxfId="31" totalsRow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omments" Target="../comments6.xml"/><Relationship Id="rId5" Type="http://schemas.microsoft.com/office/2007/relationships/slicer" Target="../slicers/slicer1.xml"/><Relationship Id="rId4" Type="http://schemas.openxmlformats.org/officeDocument/2006/relationships/table" Target="../tables/table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93"/>
  <sheetViews>
    <sheetView workbookViewId="0">
      <selection activeCell="P14" sqref="P14"/>
    </sheetView>
  </sheetViews>
  <sheetFormatPr defaultRowHeight="15"/>
  <cols>
    <col min="1" max="1" width="3.375" style="16" customWidth="1"/>
    <col min="2" max="2" width="15.375" style="44" customWidth="1"/>
    <col min="3" max="3" width="8.875" style="16" hidden="1" customWidth="1"/>
    <col min="4" max="4" width="11.25" style="165" customWidth="1"/>
    <col min="5" max="5" width="13" style="165" hidden="1" customWidth="1"/>
    <col min="6" max="6" width="17.125" style="205" hidden="1" customWidth="1"/>
    <col min="7" max="7" width="7.25" style="44" customWidth="1"/>
    <col min="8" max="8" width="6.625" style="44" customWidth="1"/>
    <col min="9" max="9" width="8.375" style="44" bestFit="1" customWidth="1"/>
    <col min="10" max="10" width="5.75" style="347" bestFit="1" customWidth="1"/>
    <col min="11" max="11" width="5.5" style="45" bestFit="1" customWidth="1"/>
    <col min="12" max="12" width="8.375" style="44" customWidth="1"/>
    <col min="13" max="13" width="8.125" style="44" customWidth="1"/>
    <col min="14" max="14" width="1.625" style="44" hidden="1" customWidth="1"/>
    <col min="15" max="15" width="7.5" style="44" customWidth="1"/>
    <col min="16" max="16" width="6.5" style="44" customWidth="1"/>
    <col min="17" max="17" width="9.25" style="44" customWidth="1"/>
    <col min="18" max="18" width="7.625" style="44" customWidth="1"/>
    <col min="19" max="19" width="6.75" style="44" customWidth="1"/>
    <col min="20" max="20" width="7.125" style="44" customWidth="1"/>
    <col min="21" max="21" width="5.875" style="44" customWidth="1"/>
    <col min="22" max="22" width="8" style="44" customWidth="1"/>
    <col min="23" max="23" width="4.25" style="44" customWidth="1"/>
    <col min="24" max="24" width="5.125" style="44" customWidth="1"/>
    <col min="25" max="25" width="4.375" style="44" customWidth="1"/>
    <col min="26" max="26" width="5.25" style="44" customWidth="1"/>
    <col min="27" max="27" width="7.625" style="357" bestFit="1" customWidth="1"/>
    <col min="28" max="28" width="11.75" style="44" customWidth="1"/>
    <col min="29" max="29" width="2.5" style="44" customWidth="1"/>
    <col min="30" max="30" width="16.75" style="6" customWidth="1"/>
    <col min="31" max="31" width="20.25" style="6" customWidth="1"/>
    <col min="32" max="37" width="9" style="16"/>
    <col min="38" max="38" width="9" style="55"/>
    <col min="39" max="16384" width="9" style="16"/>
  </cols>
  <sheetData>
    <row r="1" spans="1:39" ht="16.5">
      <c r="A1" s="793" t="s">
        <v>78</v>
      </c>
      <c r="B1" s="793"/>
      <c r="C1" s="793"/>
      <c r="D1" s="793"/>
      <c r="E1" s="793"/>
      <c r="F1" s="793"/>
      <c r="G1" s="793"/>
      <c r="H1" s="793"/>
      <c r="I1" s="17"/>
      <c r="J1" s="341"/>
      <c r="K1" s="8"/>
      <c r="L1" s="17"/>
      <c r="M1" s="17"/>
      <c r="N1" s="17"/>
      <c r="O1" s="17"/>
      <c r="P1" s="17"/>
      <c r="Q1" s="17"/>
      <c r="R1" s="17"/>
      <c r="S1" s="17"/>
      <c r="T1" s="17"/>
      <c r="U1" s="17"/>
      <c r="V1" s="17"/>
      <c r="W1" s="17"/>
      <c r="X1" s="17"/>
      <c r="Y1" s="17"/>
      <c r="Z1" s="17"/>
      <c r="AA1" s="351"/>
      <c r="AB1" s="17"/>
      <c r="AC1" s="17"/>
      <c r="AD1" s="17"/>
      <c r="AE1" s="8"/>
      <c r="AF1" s="17"/>
      <c r="AG1" s="17"/>
      <c r="AH1" s="17"/>
      <c r="AI1" s="17"/>
      <c r="AJ1" s="15"/>
    </row>
    <row r="2" spans="1:39" ht="16.5">
      <c r="A2" s="751" t="s">
        <v>185</v>
      </c>
      <c r="B2" s="751"/>
      <c r="C2" s="751"/>
      <c r="D2" s="751"/>
      <c r="E2" s="751"/>
      <c r="F2" s="751"/>
      <c r="G2" s="751"/>
      <c r="H2" s="751"/>
      <c r="I2" s="18"/>
      <c r="J2" s="342"/>
      <c r="K2" s="24"/>
      <c r="L2" s="18"/>
      <c r="M2" s="18"/>
      <c r="N2" s="18"/>
      <c r="O2" s="18"/>
      <c r="P2" s="18"/>
      <c r="Q2" s="18"/>
      <c r="R2" s="18"/>
      <c r="S2" s="18"/>
      <c r="T2" s="18"/>
      <c r="U2" s="18"/>
      <c r="V2" s="18"/>
      <c r="W2" s="18"/>
      <c r="X2" s="18"/>
      <c r="Y2" s="18"/>
      <c r="Z2" s="18"/>
      <c r="AA2" s="352"/>
      <c r="AB2" s="18"/>
      <c r="AC2" s="18"/>
      <c r="AD2" s="18"/>
      <c r="AE2" s="24"/>
      <c r="AF2" s="18"/>
      <c r="AG2" s="18"/>
      <c r="AH2" s="18"/>
      <c r="AI2" s="18"/>
      <c r="AJ2" s="15"/>
    </row>
    <row r="3" spans="1:39" ht="3.75" customHeight="1">
      <c r="A3" s="4"/>
      <c r="B3" s="45"/>
      <c r="C3" s="749"/>
      <c r="D3" s="749"/>
      <c r="E3" s="4"/>
      <c r="F3" s="37"/>
      <c r="G3" s="4"/>
      <c r="H3" s="45"/>
      <c r="I3" s="45"/>
      <c r="J3" s="377"/>
      <c r="L3" s="45"/>
      <c r="M3" s="45"/>
      <c r="N3" s="45"/>
      <c r="O3" s="45"/>
      <c r="P3" s="45"/>
      <c r="Q3" s="45"/>
      <c r="R3" s="748"/>
      <c r="S3" s="748"/>
      <c r="T3" s="748"/>
      <c r="U3" s="748"/>
      <c r="V3" s="748"/>
      <c r="W3" s="748"/>
      <c r="X3" s="748"/>
      <c r="Y3" s="748"/>
      <c r="Z3" s="748"/>
      <c r="AA3" s="748"/>
      <c r="AB3" s="748"/>
      <c r="AC3" s="748"/>
      <c r="AD3" s="748"/>
      <c r="AE3" s="45"/>
      <c r="AF3" s="4"/>
      <c r="AG3" s="749"/>
      <c r="AH3" s="749"/>
      <c r="AI3" s="794"/>
      <c r="AJ3" s="794"/>
    </row>
    <row r="4" spans="1:39" ht="22.5" customHeight="1">
      <c r="A4" s="795" t="s">
        <v>190</v>
      </c>
      <c r="B4" s="795"/>
      <c r="C4" s="795"/>
      <c r="D4" s="795"/>
      <c r="E4" s="795"/>
      <c r="F4" s="795"/>
      <c r="G4" s="795"/>
      <c r="H4" s="795"/>
      <c r="I4" s="795"/>
      <c r="J4" s="795"/>
      <c r="K4" s="795"/>
      <c r="L4" s="795"/>
      <c r="M4" s="795"/>
      <c r="N4" s="795"/>
      <c r="O4" s="795"/>
      <c r="P4" s="795"/>
      <c r="Q4" s="795"/>
      <c r="R4" s="795"/>
      <c r="S4" s="795"/>
      <c r="T4" s="795"/>
      <c r="U4" s="795"/>
      <c r="V4" s="795"/>
      <c r="W4" s="795"/>
      <c r="X4" s="795"/>
      <c r="Y4" s="795"/>
      <c r="Z4" s="795"/>
      <c r="AA4" s="795"/>
      <c r="AB4" s="795"/>
      <c r="AC4" s="795"/>
      <c r="AD4" s="795"/>
      <c r="AE4" s="72"/>
      <c r="AF4" s="17"/>
      <c r="AG4" s="17"/>
      <c r="AH4" s="17">
        <f>2.67*1150000*0.65</f>
        <v>1995825</v>
      </c>
      <c r="AI4" s="17"/>
      <c r="AJ4" s="15"/>
    </row>
    <row r="5" spans="1:39" ht="22.5" customHeight="1">
      <c r="A5" s="795" t="s">
        <v>366</v>
      </c>
      <c r="B5" s="795"/>
      <c r="C5" s="795"/>
      <c r="D5" s="795"/>
      <c r="E5" s="795"/>
      <c r="F5" s="795"/>
      <c r="G5" s="795"/>
      <c r="H5" s="795"/>
      <c r="I5" s="795"/>
      <c r="J5" s="795"/>
      <c r="K5" s="795"/>
      <c r="L5" s="795"/>
      <c r="M5" s="795"/>
      <c r="N5" s="795"/>
      <c r="O5" s="795"/>
      <c r="P5" s="795"/>
      <c r="Q5" s="795"/>
      <c r="R5" s="795"/>
      <c r="S5" s="795"/>
      <c r="T5" s="795"/>
      <c r="U5" s="795"/>
      <c r="V5" s="795"/>
      <c r="W5" s="795"/>
      <c r="X5" s="795"/>
      <c r="Y5" s="795"/>
      <c r="Z5" s="795"/>
      <c r="AA5" s="795"/>
      <c r="AB5" s="795"/>
      <c r="AC5" s="795"/>
      <c r="AD5" s="795"/>
      <c r="AE5" s="72"/>
      <c r="AF5" s="17"/>
      <c r="AG5" s="17"/>
      <c r="AH5" s="17"/>
      <c r="AI5" s="17"/>
      <c r="AJ5" s="15"/>
    </row>
    <row r="6" spans="1:39" ht="18" customHeight="1">
      <c r="A6" s="8"/>
      <c r="B6" s="50"/>
      <c r="C6" s="8" t="s">
        <v>86</v>
      </c>
      <c r="D6" s="761"/>
      <c r="E6" s="761"/>
      <c r="F6" s="761"/>
      <c r="G6" s="761"/>
      <c r="H6" s="761"/>
      <c r="R6" s="48" t="s">
        <v>228</v>
      </c>
      <c r="S6" s="48"/>
      <c r="T6" s="48"/>
      <c r="U6" s="48"/>
      <c r="V6" s="48"/>
      <c r="W6" s="48"/>
      <c r="X6" s="48"/>
      <c r="Y6" s="48"/>
      <c r="Z6" s="48"/>
      <c r="AA6" s="353"/>
      <c r="AB6" s="48"/>
      <c r="AC6" s="48"/>
      <c r="AD6" s="67"/>
      <c r="AE6" s="67"/>
      <c r="AF6" s="17" t="s">
        <v>17</v>
      </c>
      <c r="AG6" s="17"/>
      <c r="AH6" s="17">
        <f>3*1150000</f>
        <v>3450000</v>
      </c>
      <c r="AI6" s="17">
        <f>2.67*1150000</f>
        <v>3070500</v>
      </c>
      <c r="AJ6" s="17"/>
    </row>
    <row r="7" spans="1:39">
      <c r="A7" s="8"/>
      <c r="B7" s="146">
        <v>1490000</v>
      </c>
      <c r="C7" s="77">
        <v>1150000</v>
      </c>
      <c r="D7" s="761"/>
      <c r="E7" s="761"/>
      <c r="F7" s="761"/>
      <c r="G7" s="761"/>
      <c r="H7" s="761"/>
      <c r="I7" s="48"/>
      <c r="J7" s="343"/>
      <c r="K7" s="50"/>
      <c r="L7" s="48"/>
      <c r="M7" s="48"/>
      <c r="N7" s="48"/>
      <c r="O7" s="48"/>
      <c r="P7" s="48"/>
      <c r="Q7" s="48"/>
      <c r="R7" s="48" t="s">
        <v>16</v>
      </c>
      <c r="S7" s="48"/>
      <c r="T7" s="48"/>
      <c r="U7" s="48"/>
      <c r="V7" s="48"/>
      <c r="W7" s="48"/>
      <c r="X7" s="48"/>
      <c r="Y7" s="48"/>
      <c r="Z7" s="48"/>
      <c r="AA7" s="353"/>
      <c r="AB7" s="48"/>
      <c r="AC7" s="48"/>
      <c r="AF7" s="17"/>
      <c r="AG7" s="17"/>
      <c r="AH7" s="17">
        <f>AH6*10.5%</f>
        <v>362250</v>
      </c>
      <c r="AI7" s="17">
        <f>AI6*10.5%</f>
        <v>322402.5</v>
      </c>
      <c r="AJ7" s="17"/>
    </row>
    <row r="8" spans="1:39">
      <c r="A8" s="8"/>
      <c r="B8" s="50"/>
      <c r="C8" s="8"/>
      <c r="D8" s="788"/>
      <c r="E8" s="788"/>
      <c r="F8" s="788"/>
      <c r="G8" s="788"/>
      <c r="H8" s="788"/>
      <c r="I8" s="52"/>
      <c r="J8" s="344"/>
      <c r="K8" s="46"/>
      <c r="L8" s="52"/>
      <c r="M8" s="52"/>
      <c r="N8" s="52"/>
      <c r="O8" s="52"/>
      <c r="P8" s="52"/>
      <c r="Q8" s="52"/>
      <c r="R8" s="52" t="s">
        <v>1</v>
      </c>
      <c r="S8" s="52"/>
      <c r="T8" s="52"/>
      <c r="U8" s="52"/>
      <c r="V8" s="52"/>
      <c r="W8" s="52"/>
      <c r="X8" s="52"/>
      <c r="Y8" s="52"/>
      <c r="Z8" s="52"/>
      <c r="AA8" s="354"/>
      <c r="AB8" s="52"/>
      <c r="AC8" s="52"/>
      <c r="AD8" s="66"/>
      <c r="AE8" s="66"/>
      <c r="AF8" s="17"/>
      <c r="AG8" s="17"/>
      <c r="AH8" s="16">
        <f>AH6-AH7</f>
        <v>3087750</v>
      </c>
      <c r="AI8" s="16">
        <f>AI6-AI7</f>
        <v>2748097.5</v>
      </c>
      <c r="AL8" s="56"/>
    </row>
    <row r="9" spans="1:39" ht="4.5" customHeight="1">
      <c r="A9" s="8"/>
      <c r="B9" s="50"/>
      <c r="C9" s="8"/>
      <c r="D9" s="160"/>
      <c r="E9" s="160"/>
      <c r="F9" s="203"/>
      <c r="G9" s="46"/>
      <c r="H9" s="46"/>
      <c r="I9" s="52"/>
      <c r="J9" s="344"/>
      <c r="K9" s="46"/>
      <c r="L9" s="52"/>
      <c r="M9" s="52"/>
      <c r="N9" s="52"/>
      <c r="O9" s="52"/>
      <c r="P9" s="52"/>
      <c r="Q9" s="52"/>
      <c r="R9" s="48"/>
      <c r="S9" s="48"/>
      <c r="T9" s="48"/>
      <c r="U9" s="48"/>
      <c r="V9" s="48"/>
      <c r="W9" s="48"/>
      <c r="X9" s="48"/>
      <c r="Y9" s="48"/>
      <c r="Z9" s="48"/>
      <c r="AA9" s="353"/>
      <c r="AB9" s="48"/>
      <c r="AC9" s="53"/>
      <c r="AF9" s="17"/>
      <c r="AG9" s="17"/>
      <c r="AH9" s="16">
        <f>AH6*0.65</f>
        <v>2242500</v>
      </c>
      <c r="AI9" s="16">
        <f>AI6*0.65</f>
        <v>1995825</v>
      </c>
      <c r="AL9" s="56"/>
    </row>
    <row r="10" spans="1:39" s="43" customFormat="1" ht="27.75" customHeight="1">
      <c r="A10" s="789" t="s">
        <v>2</v>
      </c>
      <c r="B10" s="789" t="s">
        <v>3</v>
      </c>
      <c r="C10" s="789"/>
      <c r="D10" s="790" t="s">
        <v>51</v>
      </c>
      <c r="E10" s="786" t="s">
        <v>235</v>
      </c>
      <c r="F10" s="791" t="s">
        <v>15</v>
      </c>
      <c r="G10" s="773" t="s">
        <v>129</v>
      </c>
      <c r="H10" s="786" t="s">
        <v>270</v>
      </c>
      <c r="I10" s="782" t="s">
        <v>179</v>
      </c>
      <c r="J10" s="784" t="s">
        <v>369</v>
      </c>
      <c r="K10" s="782" t="s">
        <v>266</v>
      </c>
      <c r="L10" s="782" t="s">
        <v>267</v>
      </c>
      <c r="M10" s="782" t="s">
        <v>169</v>
      </c>
      <c r="N10" s="784"/>
      <c r="O10" s="786" t="s">
        <v>147</v>
      </c>
      <c r="P10" s="786" t="s">
        <v>148</v>
      </c>
      <c r="Q10" s="773" t="s">
        <v>149</v>
      </c>
      <c r="R10" s="766" t="s">
        <v>67</v>
      </c>
      <c r="S10" s="767"/>
      <c r="T10" s="767"/>
      <c r="U10" s="767"/>
      <c r="V10" s="768"/>
      <c r="W10" s="769" t="s">
        <v>167</v>
      </c>
      <c r="X10" s="770"/>
      <c r="Y10" s="769" t="s">
        <v>168</v>
      </c>
      <c r="Z10" s="770"/>
      <c r="AA10" s="771" t="s">
        <v>272</v>
      </c>
      <c r="AB10" s="773" t="s">
        <v>153</v>
      </c>
      <c r="AC10" s="775" t="s">
        <v>5</v>
      </c>
      <c r="AD10" s="776"/>
      <c r="AE10" s="84"/>
      <c r="AF10" s="85"/>
      <c r="AG10" s="86"/>
      <c r="AH10" s="86">
        <f>AH9+AH8</f>
        <v>5330250</v>
      </c>
      <c r="AI10" s="86">
        <f>AI9+AI8</f>
        <v>4743922.5</v>
      </c>
      <c r="AJ10" s="86"/>
      <c r="AK10" s="779"/>
      <c r="AL10" s="87"/>
      <c r="AM10" s="79"/>
    </row>
    <row r="11" spans="1:39" s="43" customFormat="1" ht="41.25" customHeight="1">
      <c r="A11" s="789"/>
      <c r="B11" s="789"/>
      <c r="C11" s="789"/>
      <c r="D11" s="790"/>
      <c r="E11" s="787"/>
      <c r="F11" s="792"/>
      <c r="G11" s="774"/>
      <c r="H11" s="787"/>
      <c r="I11" s="783"/>
      <c r="J11" s="785"/>
      <c r="K11" s="783"/>
      <c r="L11" s="783"/>
      <c r="M11" s="783"/>
      <c r="N11" s="785"/>
      <c r="O11" s="787"/>
      <c r="P11" s="787"/>
      <c r="Q11" s="774"/>
      <c r="R11" s="140" t="s">
        <v>113</v>
      </c>
      <c r="S11" s="140" t="s">
        <v>68</v>
      </c>
      <c r="T11" s="140" t="s">
        <v>60</v>
      </c>
      <c r="U11" s="138" t="s">
        <v>150</v>
      </c>
      <c r="V11" s="138" t="s">
        <v>151</v>
      </c>
      <c r="W11" s="138" t="s">
        <v>84</v>
      </c>
      <c r="X11" s="340" t="s">
        <v>169</v>
      </c>
      <c r="Y11" s="138" t="s">
        <v>84</v>
      </c>
      <c r="Z11" s="340" t="s">
        <v>169</v>
      </c>
      <c r="AA11" s="772"/>
      <c r="AB11" s="774"/>
      <c r="AC11" s="777"/>
      <c r="AD11" s="778"/>
      <c r="AE11" s="84"/>
      <c r="AF11" s="85"/>
      <c r="AG11" s="86"/>
      <c r="AH11" s="86">
        <f>AH10+750000</f>
        <v>6080250</v>
      </c>
      <c r="AI11" s="86">
        <f>AI10+750000</f>
        <v>5493922.5</v>
      </c>
      <c r="AJ11" s="86"/>
      <c r="AK11" s="779"/>
      <c r="AL11" s="87"/>
      <c r="AM11" s="79"/>
    </row>
    <row r="12" spans="1:39" s="43" customFormat="1" ht="27.75" customHeight="1">
      <c r="A12" s="82" t="s">
        <v>154</v>
      </c>
      <c r="B12" s="252" t="s">
        <v>155</v>
      </c>
      <c r="C12" s="253"/>
      <c r="D12" s="83" t="s">
        <v>156</v>
      </c>
      <c r="E12" s="83"/>
      <c r="F12" s="148"/>
      <c r="G12" s="161" t="s">
        <v>157</v>
      </c>
      <c r="H12" s="149" t="s">
        <v>46</v>
      </c>
      <c r="I12" s="254" t="s">
        <v>42</v>
      </c>
      <c r="J12" s="378"/>
      <c r="K12" s="254"/>
      <c r="L12" s="254" t="s">
        <v>43</v>
      </c>
      <c r="M12" s="254" t="s">
        <v>268</v>
      </c>
      <c r="N12" s="149"/>
      <c r="O12" s="149" t="s">
        <v>74</v>
      </c>
      <c r="P12" s="149" t="s">
        <v>47</v>
      </c>
      <c r="Q12" s="254" t="s">
        <v>175</v>
      </c>
      <c r="R12" s="149" t="s">
        <v>75</v>
      </c>
      <c r="S12" s="149" t="s">
        <v>76</v>
      </c>
      <c r="T12" s="149" t="s">
        <v>158</v>
      </c>
      <c r="U12" s="149" t="s">
        <v>159</v>
      </c>
      <c r="V12" s="254" t="s">
        <v>176</v>
      </c>
      <c r="W12" s="149" t="s">
        <v>160</v>
      </c>
      <c r="X12" s="149" t="s">
        <v>161</v>
      </c>
      <c r="Y12" s="149" t="s">
        <v>162</v>
      </c>
      <c r="Z12" s="149" t="s">
        <v>170</v>
      </c>
      <c r="AA12" s="362" t="s">
        <v>360</v>
      </c>
      <c r="AB12" s="254" t="s">
        <v>361</v>
      </c>
      <c r="AC12" s="780" t="s">
        <v>171</v>
      </c>
      <c r="AD12" s="781"/>
      <c r="AE12" s="84"/>
      <c r="AF12" s="147"/>
      <c r="AG12" s="86"/>
      <c r="AH12" s="86"/>
      <c r="AI12" s="86"/>
      <c r="AJ12" s="86"/>
      <c r="AK12" s="141"/>
      <c r="AL12" s="87"/>
      <c r="AM12" s="79"/>
    </row>
    <row r="13" spans="1:39" s="376" customFormat="1" ht="29.25" customHeight="1">
      <c r="A13" s="129" t="s">
        <v>32</v>
      </c>
      <c r="B13" s="311" t="s">
        <v>191</v>
      </c>
      <c r="C13" s="130"/>
      <c r="D13" s="229" t="s">
        <v>55</v>
      </c>
      <c r="E13" s="364" t="s">
        <v>238</v>
      </c>
      <c r="F13" s="313" t="s">
        <v>205</v>
      </c>
      <c r="G13" s="314" t="s">
        <v>246</v>
      </c>
      <c r="H13" s="315">
        <v>3</v>
      </c>
      <c r="I13" s="131">
        <v>4873050</v>
      </c>
      <c r="J13" s="379">
        <f>I13*6%</f>
        <v>292383</v>
      </c>
      <c r="K13" s="237"/>
      <c r="L13" s="131"/>
      <c r="M13" s="131">
        <f t="shared" ref="M13:M61" si="0">ROUND(I13+L13,0)</f>
        <v>4873050</v>
      </c>
      <c r="N13" s="131"/>
      <c r="O13" s="131">
        <f t="shared" ref="O13:O61" si="1">M13/24*N13</f>
        <v>0</v>
      </c>
      <c r="P13" s="131"/>
      <c r="Q13" s="131">
        <f t="shared" ref="Q13:Q61" si="2">M13-O13+P13</f>
        <v>4873050</v>
      </c>
      <c r="R13" s="131">
        <f>M13*8%</f>
        <v>389844</v>
      </c>
      <c r="S13" s="132">
        <f>M13*1.5%</f>
        <v>73095.75</v>
      </c>
      <c r="T13" s="131">
        <f>M13*1%</f>
        <v>48730.5</v>
      </c>
      <c r="U13" s="132"/>
      <c r="V13" s="132">
        <f t="shared" ref="V13:V61" si="3">SUM(R13:U13)</f>
        <v>511670.25</v>
      </c>
      <c r="W13" s="132"/>
      <c r="X13" s="132"/>
      <c r="Y13" s="365"/>
      <c r="Z13" s="132"/>
      <c r="AA13" s="132"/>
      <c r="AB13" s="132">
        <f t="shared" ref="AB13:AB61" si="4">Q13-V13+X13+Z13+AA13</f>
        <v>4361379.75</v>
      </c>
      <c r="AC13" s="133" t="str">
        <f t="shared" ref="AC13:AC35" si="5">A13</f>
        <v>01</v>
      </c>
      <c r="AD13" s="366"/>
      <c r="AE13" s="102" t="s">
        <v>231</v>
      </c>
      <c r="AF13" s="120"/>
      <c r="AG13" s="116"/>
      <c r="AL13" s="375"/>
    </row>
    <row r="14" spans="1:39" s="376" customFormat="1" ht="30.75" customHeight="1">
      <c r="A14" s="202" t="s">
        <v>33</v>
      </c>
      <c r="B14" s="94" t="s">
        <v>250</v>
      </c>
      <c r="C14" s="95"/>
      <c r="D14" s="112" t="s">
        <v>55</v>
      </c>
      <c r="E14" s="228"/>
      <c r="F14" s="223" t="str">
        <f>VLOOKUP(B14,[1]LuongBC_T01!$B$277:$C$292,2,FALSE)</f>
        <v>0016100006668008</v>
      </c>
      <c r="G14" s="97" t="s">
        <v>246</v>
      </c>
      <c r="H14" s="233">
        <v>9</v>
      </c>
      <c r="I14" s="98">
        <v>6530353</v>
      </c>
      <c r="J14" s="380">
        <f t="shared" ref="J14:J61" si="6">I14*6%</f>
        <v>391821.18</v>
      </c>
      <c r="K14" s="113"/>
      <c r="L14" s="98"/>
      <c r="M14" s="98">
        <f t="shared" si="0"/>
        <v>6530353</v>
      </c>
      <c r="N14" s="98"/>
      <c r="O14" s="98">
        <f t="shared" si="1"/>
        <v>0</v>
      </c>
      <c r="P14" s="98"/>
      <c r="Q14" s="98">
        <f t="shared" si="2"/>
        <v>6530353</v>
      </c>
      <c r="R14" s="98">
        <f>M14*8%</f>
        <v>522428.24</v>
      </c>
      <c r="S14" s="99">
        <f>M14*1.5%</f>
        <v>97955.294999999998</v>
      </c>
      <c r="T14" s="98">
        <f>M14*1%</f>
        <v>65303.53</v>
      </c>
      <c r="U14" s="99"/>
      <c r="V14" s="99">
        <f t="shared" si="3"/>
        <v>685687.06500000006</v>
      </c>
      <c r="W14" s="99"/>
      <c r="X14" s="99"/>
      <c r="Y14" s="151"/>
      <c r="Z14" s="99"/>
      <c r="AA14" s="99"/>
      <c r="AB14" s="99">
        <f t="shared" si="4"/>
        <v>5844665.9349999996</v>
      </c>
      <c r="AC14" s="101" t="str">
        <f t="shared" si="5"/>
        <v>02</v>
      </c>
      <c r="AD14" s="102"/>
      <c r="AE14" s="375"/>
      <c r="AF14" s="375"/>
      <c r="AL14" s="375"/>
    </row>
    <row r="15" spans="1:39" s="376" customFormat="1" ht="42.75" customHeight="1">
      <c r="A15" s="202" t="s">
        <v>34</v>
      </c>
      <c r="B15" s="94" t="s">
        <v>243</v>
      </c>
      <c r="C15" s="159"/>
      <c r="D15" s="112" t="s">
        <v>244</v>
      </c>
      <c r="E15" s="228"/>
      <c r="F15" s="223"/>
      <c r="G15" s="97" t="s">
        <v>242</v>
      </c>
      <c r="H15" s="233">
        <v>2</v>
      </c>
      <c r="I15" s="98">
        <v>5313481</v>
      </c>
      <c r="J15" s="380">
        <f t="shared" si="6"/>
        <v>318808.86</v>
      </c>
      <c r="K15" s="113"/>
      <c r="L15" s="98"/>
      <c r="M15" s="98">
        <f t="shared" si="0"/>
        <v>5313481</v>
      </c>
      <c r="N15" s="98"/>
      <c r="O15" s="98">
        <f t="shared" si="1"/>
        <v>0</v>
      </c>
      <c r="P15" s="98"/>
      <c r="Q15" s="98">
        <f t="shared" si="2"/>
        <v>5313481</v>
      </c>
      <c r="R15" s="98"/>
      <c r="S15" s="99"/>
      <c r="T15" s="98"/>
      <c r="U15" s="99"/>
      <c r="V15" s="99">
        <f t="shared" si="3"/>
        <v>0</v>
      </c>
      <c r="W15" s="99"/>
      <c r="X15" s="99"/>
      <c r="Y15" s="99"/>
      <c r="Z15" s="99"/>
      <c r="AA15" s="99"/>
      <c r="AB15" s="99">
        <f t="shared" si="4"/>
        <v>5313481</v>
      </c>
      <c r="AC15" s="101" t="str">
        <f t="shared" si="5"/>
        <v>03</v>
      </c>
      <c r="AD15" s="118"/>
      <c r="AE15" s="367"/>
      <c r="AF15" s="232"/>
      <c r="AG15" s="232"/>
      <c r="AH15" s="110"/>
      <c r="AI15" s="110"/>
      <c r="AL15" s="111"/>
    </row>
    <row r="16" spans="1:39" s="376" customFormat="1" ht="24.75" customHeight="1">
      <c r="A16" s="202" t="s">
        <v>35</v>
      </c>
      <c r="B16" s="94" t="s">
        <v>249</v>
      </c>
      <c r="C16" s="95"/>
      <c r="D16" s="112" t="s">
        <v>55</v>
      </c>
      <c r="E16" s="228"/>
      <c r="F16" s="223" t="str">
        <f>VLOOKUP(B16,[1]LuongBC_T01!$B$277:$C$292,2,FALSE)</f>
        <v>0016100006650001</v>
      </c>
      <c r="G16" s="97" t="s">
        <v>246</v>
      </c>
      <c r="H16" s="233">
        <v>9</v>
      </c>
      <c r="I16" s="98">
        <v>6856871</v>
      </c>
      <c r="J16" s="380">
        <f t="shared" si="6"/>
        <v>411412.26</v>
      </c>
      <c r="K16" s="113"/>
      <c r="L16" s="98"/>
      <c r="M16" s="98">
        <f t="shared" si="0"/>
        <v>6856871</v>
      </c>
      <c r="N16" s="98"/>
      <c r="O16" s="98">
        <f t="shared" si="1"/>
        <v>0</v>
      </c>
      <c r="P16" s="98"/>
      <c r="Q16" s="98">
        <f t="shared" si="2"/>
        <v>6856871</v>
      </c>
      <c r="R16" s="98">
        <f t="shared" ref="R16:R35" si="7">M16*8%</f>
        <v>548549.68000000005</v>
      </c>
      <c r="S16" s="99">
        <f t="shared" ref="S16:S60" si="8">M16*1.5%</f>
        <v>102853.065</v>
      </c>
      <c r="T16" s="98">
        <f t="shared" ref="T16:T60" si="9">M16*1%</f>
        <v>68568.710000000006</v>
      </c>
      <c r="U16" s="99"/>
      <c r="V16" s="99">
        <f t="shared" si="3"/>
        <v>719971.45500000007</v>
      </c>
      <c r="W16" s="99"/>
      <c r="X16" s="99"/>
      <c r="Y16" s="151"/>
      <c r="Z16" s="99"/>
      <c r="AA16" s="99"/>
      <c r="AB16" s="99">
        <f t="shared" si="4"/>
        <v>6136899.5449999999</v>
      </c>
      <c r="AC16" s="101" t="str">
        <f t="shared" si="5"/>
        <v>04</v>
      </c>
      <c r="AD16" s="102"/>
      <c r="AE16" s="375"/>
      <c r="AF16" s="375"/>
      <c r="AL16" s="375"/>
    </row>
    <row r="17" spans="1:38" s="376" customFormat="1" ht="39" customHeight="1">
      <c r="A17" s="202" t="s">
        <v>36</v>
      </c>
      <c r="B17" s="94" t="s">
        <v>306</v>
      </c>
      <c r="C17" s="95"/>
      <c r="D17" s="112" t="s">
        <v>307</v>
      </c>
      <c r="E17" s="228"/>
      <c r="F17" s="223"/>
      <c r="G17" s="97" t="s">
        <v>242</v>
      </c>
      <c r="H17" s="233">
        <v>1</v>
      </c>
      <c r="I17" s="98">
        <v>5060458</v>
      </c>
      <c r="J17" s="380">
        <f t="shared" si="6"/>
        <v>303627.48</v>
      </c>
      <c r="K17" s="113"/>
      <c r="L17" s="98"/>
      <c r="M17" s="98">
        <f t="shared" si="0"/>
        <v>5060458</v>
      </c>
      <c r="N17" s="98"/>
      <c r="O17" s="98">
        <f t="shared" si="1"/>
        <v>0</v>
      </c>
      <c r="P17" s="98"/>
      <c r="Q17" s="98">
        <f t="shared" si="2"/>
        <v>5060458</v>
      </c>
      <c r="R17" s="98">
        <f t="shared" si="7"/>
        <v>404836.64</v>
      </c>
      <c r="S17" s="99">
        <f t="shared" si="8"/>
        <v>75906.87</v>
      </c>
      <c r="T17" s="98">
        <f t="shared" si="9"/>
        <v>50604.58</v>
      </c>
      <c r="U17" s="99"/>
      <c r="V17" s="99">
        <f t="shared" si="3"/>
        <v>531348.09</v>
      </c>
      <c r="W17" s="99"/>
      <c r="X17" s="100"/>
      <c r="Y17" s="100"/>
      <c r="Z17" s="100"/>
      <c r="AA17" s="100"/>
      <c r="AB17" s="99">
        <f t="shared" si="4"/>
        <v>4529109.91</v>
      </c>
      <c r="AC17" s="101" t="str">
        <f t="shared" si="5"/>
        <v>05</v>
      </c>
      <c r="AD17" s="255"/>
      <c r="AE17" s="255" t="s">
        <v>308</v>
      </c>
      <c r="AF17" s="117"/>
      <c r="AG17" s="144"/>
      <c r="AL17" s="375"/>
    </row>
    <row r="18" spans="1:38" s="376" customFormat="1" ht="42.75" customHeight="1">
      <c r="A18" s="202" t="s">
        <v>37</v>
      </c>
      <c r="B18" s="94" t="s">
        <v>318</v>
      </c>
      <c r="C18" s="95"/>
      <c r="D18" s="112" t="s">
        <v>244</v>
      </c>
      <c r="E18" s="227" t="s">
        <v>335</v>
      </c>
      <c r="F18" s="336" t="s">
        <v>336</v>
      </c>
      <c r="G18" s="97" t="s">
        <v>242</v>
      </c>
      <c r="H18" s="233">
        <v>1</v>
      </c>
      <c r="I18" s="98">
        <v>5060458</v>
      </c>
      <c r="J18" s="380">
        <f t="shared" si="6"/>
        <v>303627.48</v>
      </c>
      <c r="K18" s="113"/>
      <c r="L18" s="98"/>
      <c r="M18" s="98">
        <f t="shared" si="0"/>
        <v>5060458</v>
      </c>
      <c r="N18" s="98"/>
      <c r="O18" s="98">
        <f t="shared" si="1"/>
        <v>0</v>
      </c>
      <c r="P18" s="98"/>
      <c r="Q18" s="98">
        <f t="shared" si="2"/>
        <v>5060458</v>
      </c>
      <c r="R18" s="98">
        <f t="shared" si="7"/>
        <v>404836.64</v>
      </c>
      <c r="S18" s="99">
        <f t="shared" si="8"/>
        <v>75906.87</v>
      </c>
      <c r="T18" s="98">
        <f t="shared" si="9"/>
        <v>50604.58</v>
      </c>
      <c r="U18" s="99"/>
      <c r="V18" s="99">
        <f t="shared" si="3"/>
        <v>531348.09</v>
      </c>
      <c r="W18" s="99"/>
      <c r="X18" s="100"/>
      <c r="Y18" s="100"/>
      <c r="Z18" s="100"/>
      <c r="AA18" s="100"/>
      <c r="AB18" s="99">
        <f t="shared" si="4"/>
        <v>4529109.91</v>
      </c>
      <c r="AC18" s="101" t="str">
        <f t="shared" si="5"/>
        <v>06</v>
      </c>
      <c r="AD18" s="255"/>
      <c r="AE18" s="255" t="s">
        <v>320</v>
      </c>
      <c r="AF18" s="117"/>
      <c r="AG18" s="144"/>
      <c r="AL18" s="375"/>
    </row>
    <row r="19" spans="1:38" s="376" customFormat="1" ht="31.5" customHeight="1">
      <c r="A19" s="202" t="s">
        <v>38</v>
      </c>
      <c r="B19" s="94" t="s">
        <v>343</v>
      </c>
      <c r="C19" s="95"/>
      <c r="D19" s="112" t="s">
        <v>55</v>
      </c>
      <c r="E19" s="228"/>
      <c r="F19" s="223"/>
      <c r="G19" s="97" t="s">
        <v>245</v>
      </c>
      <c r="H19" s="233">
        <v>12</v>
      </c>
      <c r="I19" s="98">
        <v>8088879</v>
      </c>
      <c r="J19" s="380">
        <f t="shared" si="6"/>
        <v>485332.74</v>
      </c>
      <c r="K19" s="113"/>
      <c r="L19" s="98"/>
      <c r="M19" s="98">
        <f t="shared" si="0"/>
        <v>8088879</v>
      </c>
      <c r="N19" s="98"/>
      <c r="O19" s="98">
        <f t="shared" si="1"/>
        <v>0</v>
      </c>
      <c r="P19" s="98"/>
      <c r="Q19" s="98">
        <f t="shared" si="2"/>
        <v>8088879</v>
      </c>
      <c r="R19" s="98">
        <f t="shared" si="7"/>
        <v>647110.32000000007</v>
      </c>
      <c r="S19" s="99">
        <f t="shared" si="8"/>
        <v>121333.185</v>
      </c>
      <c r="T19" s="98">
        <f t="shared" si="9"/>
        <v>80888.790000000008</v>
      </c>
      <c r="U19" s="99"/>
      <c r="V19" s="99">
        <f t="shared" si="3"/>
        <v>849332.29500000016</v>
      </c>
      <c r="W19" s="99"/>
      <c r="X19" s="99"/>
      <c r="Y19" s="151"/>
      <c r="Z19" s="99"/>
      <c r="AA19" s="99"/>
      <c r="AB19" s="99">
        <f t="shared" si="4"/>
        <v>7239546.7050000001</v>
      </c>
      <c r="AC19" s="101" t="str">
        <f t="shared" si="5"/>
        <v>07</v>
      </c>
      <c r="AD19" s="102"/>
      <c r="AE19" s="102"/>
      <c r="AF19" s="120"/>
      <c r="AG19" s="116"/>
      <c r="AL19" s="375"/>
    </row>
    <row r="20" spans="1:38" s="104" customFormat="1" ht="31.5" customHeight="1">
      <c r="A20" s="202" t="s">
        <v>39</v>
      </c>
      <c r="B20" s="94" t="s">
        <v>344</v>
      </c>
      <c r="C20" s="95"/>
      <c r="D20" s="112" t="s">
        <v>345</v>
      </c>
      <c r="E20" s="228"/>
      <c r="F20" s="209"/>
      <c r="G20" s="97" t="s">
        <v>242</v>
      </c>
      <c r="H20" s="233">
        <v>6</v>
      </c>
      <c r="I20" s="98">
        <v>6458569</v>
      </c>
      <c r="J20" s="380">
        <f t="shared" si="6"/>
        <v>387514.14</v>
      </c>
      <c r="K20" s="113"/>
      <c r="L20" s="98"/>
      <c r="M20" s="98">
        <f t="shared" si="0"/>
        <v>6458569</v>
      </c>
      <c r="N20" s="98"/>
      <c r="O20" s="98">
        <f t="shared" si="1"/>
        <v>0</v>
      </c>
      <c r="P20" s="98"/>
      <c r="Q20" s="98">
        <f t="shared" si="2"/>
        <v>6458569</v>
      </c>
      <c r="R20" s="98">
        <f t="shared" si="7"/>
        <v>516685.52</v>
      </c>
      <c r="S20" s="99">
        <f t="shared" si="8"/>
        <v>96878.535000000003</v>
      </c>
      <c r="T20" s="98">
        <f t="shared" si="9"/>
        <v>64585.69</v>
      </c>
      <c r="U20" s="99"/>
      <c r="V20" s="99">
        <f t="shared" si="3"/>
        <v>678149.74500000011</v>
      </c>
      <c r="W20" s="99"/>
      <c r="X20" s="99"/>
      <c r="Y20" s="151"/>
      <c r="Z20" s="99"/>
      <c r="AA20" s="99"/>
      <c r="AB20" s="99">
        <f t="shared" si="4"/>
        <v>5780419.2549999999</v>
      </c>
      <c r="AC20" s="101" t="str">
        <f t="shared" si="5"/>
        <v>08</v>
      </c>
      <c r="AD20" s="102"/>
      <c r="AE20" s="102"/>
      <c r="AF20" s="120"/>
      <c r="AG20" s="116"/>
      <c r="AH20" s="376"/>
      <c r="AL20" s="105"/>
    </row>
    <row r="21" spans="1:38" s="104" customFormat="1" ht="28.5" customHeight="1">
      <c r="A21" s="202" t="s">
        <v>40</v>
      </c>
      <c r="B21" s="94" t="s">
        <v>135</v>
      </c>
      <c r="C21" s="95" t="s">
        <v>109</v>
      </c>
      <c r="D21" s="112" t="s">
        <v>120</v>
      </c>
      <c r="E21" s="227" t="s">
        <v>236</v>
      </c>
      <c r="F21" s="209" t="s">
        <v>208</v>
      </c>
      <c r="G21" s="107" t="s">
        <v>242</v>
      </c>
      <c r="H21" s="233">
        <v>5</v>
      </c>
      <c r="I21" s="98">
        <v>6151018</v>
      </c>
      <c r="J21" s="380">
        <f t="shared" si="6"/>
        <v>369061.07999999996</v>
      </c>
      <c r="K21" s="113"/>
      <c r="L21" s="98"/>
      <c r="M21" s="98">
        <f t="shared" si="0"/>
        <v>6151018</v>
      </c>
      <c r="N21" s="98"/>
      <c r="O21" s="98">
        <f t="shared" si="1"/>
        <v>0</v>
      </c>
      <c r="P21" s="98"/>
      <c r="Q21" s="98">
        <f t="shared" si="2"/>
        <v>6151018</v>
      </c>
      <c r="R21" s="98">
        <f t="shared" si="7"/>
        <v>492081.44</v>
      </c>
      <c r="S21" s="99">
        <f t="shared" si="8"/>
        <v>92265.26999999999</v>
      </c>
      <c r="T21" s="98">
        <f t="shared" si="9"/>
        <v>61510.18</v>
      </c>
      <c r="U21" s="99"/>
      <c r="V21" s="99">
        <f t="shared" si="3"/>
        <v>645856.89</v>
      </c>
      <c r="W21" s="99"/>
      <c r="X21" s="99"/>
      <c r="Y21" s="99"/>
      <c r="Z21" s="99"/>
      <c r="AA21" s="99"/>
      <c r="AB21" s="99">
        <f t="shared" si="4"/>
        <v>5505161.1100000003</v>
      </c>
      <c r="AC21" s="101" t="str">
        <f t="shared" si="5"/>
        <v>09</v>
      </c>
      <c r="AD21" s="102"/>
      <c r="AE21" s="102" t="s">
        <v>110</v>
      </c>
      <c r="AF21" s="102" t="s">
        <v>112</v>
      </c>
      <c r="AG21" s="110" t="e">
        <f>#REF!*2</f>
        <v>#REF!</v>
      </c>
      <c r="AH21" s="110"/>
      <c r="AI21" s="110"/>
      <c r="AL21" s="111"/>
    </row>
    <row r="22" spans="1:38" s="376" customFormat="1" ht="26.25" customHeight="1">
      <c r="A22" s="202" t="s">
        <v>24</v>
      </c>
      <c r="B22" s="143" t="s">
        <v>132</v>
      </c>
      <c r="C22" s="95" t="s">
        <v>6</v>
      </c>
      <c r="D22" s="112" t="s">
        <v>166</v>
      </c>
      <c r="E22" s="338" t="s">
        <v>234</v>
      </c>
      <c r="F22" s="223" t="s">
        <v>202</v>
      </c>
      <c r="G22" s="107" t="s">
        <v>245</v>
      </c>
      <c r="H22" s="96">
        <v>5</v>
      </c>
      <c r="I22" s="98">
        <v>5748615</v>
      </c>
      <c r="J22" s="380">
        <f t="shared" si="6"/>
        <v>344916.89999999997</v>
      </c>
      <c r="K22" s="113"/>
      <c r="L22" s="98"/>
      <c r="M22" s="98">
        <f t="shared" si="0"/>
        <v>5748615</v>
      </c>
      <c r="N22" s="98"/>
      <c r="O22" s="98">
        <f t="shared" si="1"/>
        <v>0</v>
      </c>
      <c r="P22" s="98"/>
      <c r="Q22" s="98">
        <f t="shared" si="2"/>
        <v>5748615</v>
      </c>
      <c r="R22" s="98">
        <f t="shared" si="7"/>
        <v>459889.2</v>
      </c>
      <c r="S22" s="99">
        <f t="shared" si="8"/>
        <v>86229.224999999991</v>
      </c>
      <c r="T22" s="98">
        <f t="shared" si="9"/>
        <v>57486.15</v>
      </c>
      <c r="U22" s="99"/>
      <c r="V22" s="99">
        <f t="shared" si="3"/>
        <v>603604.57500000007</v>
      </c>
      <c r="W22" s="99"/>
      <c r="X22" s="99"/>
      <c r="Y22" s="99"/>
      <c r="Z22" s="99"/>
      <c r="AA22" s="99"/>
      <c r="AB22" s="99">
        <f t="shared" si="4"/>
        <v>5145010.4249999998</v>
      </c>
      <c r="AC22" s="101" t="str">
        <f t="shared" si="5"/>
        <v>10</v>
      </c>
      <c r="AD22" s="102" t="s">
        <v>358</v>
      </c>
      <c r="AE22" s="117">
        <f>3.33*1390000</f>
        <v>4628700</v>
      </c>
      <c r="AF22" s="754"/>
      <c r="AG22" s="755"/>
      <c r="AH22" s="755"/>
      <c r="AL22" s="119"/>
    </row>
    <row r="23" spans="1:38" s="376" customFormat="1" ht="23.25" customHeight="1">
      <c r="A23" s="202" t="s">
        <v>25</v>
      </c>
      <c r="B23" s="94" t="s">
        <v>139</v>
      </c>
      <c r="C23" s="95" t="s">
        <v>81</v>
      </c>
      <c r="D23" s="112" t="s">
        <v>69</v>
      </c>
      <c r="E23" s="228" t="str">
        <f>VLOOKUP(B23,[2]T3!$B$2:$D$328,3,FALSE)</f>
        <v>026050143</v>
      </c>
      <c r="F23" s="223" t="s">
        <v>217</v>
      </c>
      <c r="G23" s="107" t="s">
        <v>242</v>
      </c>
      <c r="H23" s="233">
        <v>6</v>
      </c>
      <c r="I23" s="98">
        <v>6458569</v>
      </c>
      <c r="J23" s="380">
        <f t="shared" si="6"/>
        <v>387514.14</v>
      </c>
      <c r="K23" s="113"/>
      <c r="L23" s="98"/>
      <c r="M23" s="98">
        <f t="shared" si="0"/>
        <v>6458569</v>
      </c>
      <c r="N23" s="98"/>
      <c r="O23" s="98">
        <f t="shared" si="1"/>
        <v>0</v>
      </c>
      <c r="P23" s="98"/>
      <c r="Q23" s="98">
        <f t="shared" si="2"/>
        <v>6458569</v>
      </c>
      <c r="R23" s="98">
        <f t="shared" si="7"/>
        <v>516685.52</v>
      </c>
      <c r="S23" s="99">
        <f t="shared" si="8"/>
        <v>96878.535000000003</v>
      </c>
      <c r="T23" s="98">
        <f t="shared" si="9"/>
        <v>64585.69</v>
      </c>
      <c r="U23" s="99"/>
      <c r="V23" s="99">
        <f t="shared" si="3"/>
        <v>678149.74500000011</v>
      </c>
      <c r="W23" s="99"/>
      <c r="X23" s="99"/>
      <c r="Y23" s="99"/>
      <c r="Z23" s="99"/>
      <c r="AA23" s="99"/>
      <c r="AB23" s="99">
        <f t="shared" si="4"/>
        <v>5780419.2549999999</v>
      </c>
      <c r="AC23" s="101" t="str">
        <f t="shared" si="5"/>
        <v>11</v>
      </c>
      <c r="AD23" s="102"/>
      <c r="AE23" s="134" t="s">
        <v>108</v>
      </c>
      <c r="AF23" s="117" t="e">
        <f>#REF!/24</f>
        <v>#REF!</v>
      </c>
      <c r="AL23" s="375"/>
    </row>
    <row r="24" spans="1:38" s="376" customFormat="1" ht="27" customHeight="1">
      <c r="A24" s="202" t="s">
        <v>26</v>
      </c>
      <c r="B24" s="143" t="s">
        <v>127</v>
      </c>
      <c r="C24" s="95" t="s">
        <v>124</v>
      </c>
      <c r="D24" s="112" t="s">
        <v>120</v>
      </c>
      <c r="E24" s="228" t="str">
        <f>VLOOKUP(B24,[2]T3!$B$2:$D$328,3,FALSE)</f>
        <v>025444854</v>
      </c>
      <c r="F24" s="223" t="s">
        <v>209</v>
      </c>
      <c r="G24" s="107" t="s">
        <v>245</v>
      </c>
      <c r="H24" s="233">
        <v>2</v>
      </c>
      <c r="I24" s="98">
        <v>4965870</v>
      </c>
      <c r="J24" s="380">
        <f t="shared" si="6"/>
        <v>297952.2</v>
      </c>
      <c r="K24" s="113"/>
      <c r="L24" s="98"/>
      <c r="M24" s="98">
        <f t="shared" si="0"/>
        <v>4965870</v>
      </c>
      <c r="N24" s="98"/>
      <c r="O24" s="98">
        <f t="shared" si="1"/>
        <v>0</v>
      </c>
      <c r="P24" s="98"/>
      <c r="Q24" s="98">
        <f t="shared" si="2"/>
        <v>4965870</v>
      </c>
      <c r="R24" s="98">
        <f t="shared" si="7"/>
        <v>397269.60000000003</v>
      </c>
      <c r="S24" s="99">
        <f t="shared" si="8"/>
        <v>74488.05</v>
      </c>
      <c r="T24" s="98">
        <f t="shared" si="9"/>
        <v>49658.700000000004</v>
      </c>
      <c r="U24" s="99"/>
      <c r="V24" s="99">
        <f t="shared" si="3"/>
        <v>521416.35000000003</v>
      </c>
      <c r="W24" s="99"/>
      <c r="X24" s="99"/>
      <c r="Y24" s="99"/>
      <c r="Z24" s="99"/>
      <c r="AA24" s="99"/>
      <c r="AB24" s="99">
        <f t="shared" si="4"/>
        <v>4444453.6500000004</v>
      </c>
      <c r="AC24" s="101" t="str">
        <f t="shared" si="5"/>
        <v>12</v>
      </c>
      <c r="AD24" s="102"/>
      <c r="AE24" s="102" t="s">
        <v>125</v>
      </c>
      <c r="AF24" s="144"/>
      <c r="AG24" s="110"/>
      <c r="AH24" s="110"/>
      <c r="AI24" s="110"/>
      <c r="AL24" s="111"/>
    </row>
    <row r="25" spans="1:38" s="376" customFormat="1" ht="30" customHeight="1">
      <c r="A25" s="202" t="s">
        <v>31</v>
      </c>
      <c r="B25" s="94" t="s">
        <v>256</v>
      </c>
      <c r="C25" s="95"/>
      <c r="D25" s="112" t="s">
        <v>257</v>
      </c>
      <c r="E25" s="228"/>
      <c r="F25" s="223" t="str">
        <f>VLOOKUP(B25,[1]LuongBC_T01!$B$277:$C$292,2,FALSE)</f>
        <v>0016100006675004</v>
      </c>
      <c r="G25" s="107" t="s">
        <v>245</v>
      </c>
      <c r="H25" s="96">
        <v>4</v>
      </c>
      <c r="I25" s="98">
        <v>5474872</v>
      </c>
      <c r="J25" s="380">
        <f t="shared" si="6"/>
        <v>328492.32</v>
      </c>
      <c r="K25" s="113"/>
      <c r="L25" s="98"/>
      <c r="M25" s="98">
        <f t="shared" si="0"/>
        <v>5474872</v>
      </c>
      <c r="N25" s="98"/>
      <c r="O25" s="98">
        <f t="shared" si="1"/>
        <v>0</v>
      </c>
      <c r="P25" s="98"/>
      <c r="Q25" s="98">
        <f t="shared" si="2"/>
        <v>5474872</v>
      </c>
      <c r="R25" s="98">
        <f t="shared" si="7"/>
        <v>437989.76</v>
      </c>
      <c r="S25" s="99">
        <f t="shared" si="8"/>
        <v>82123.08</v>
      </c>
      <c r="T25" s="98">
        <f t="shared" si="9"/>
        <v>54748.72</v>
      </c>
      <c r="U25" s="99"/>
      <c r="V25" s="99">
        <f t="shared" si="3"/>
        <v>574861.56000000006</v>
      </c>
      <c r="W25" s="99"/>
      <c r="X25" s="100"/>
      <c r="Y25" s="100"/>
      <c r="Z25" s="100"/>
      <c r="AA25" s="100"/>
      <c r="AB25" s="99">
        <f t="shared" si="4"/>
        <v>4900010.4399999995</v>
      </c>
      <c r="AC25" s="101" t="str">
        <f t="shared" si="5"/>
        <v>13</v>
      </c>
      <c r="AD25" s="102"/>
      <c r="AE25" s="102"/>
      <c r="AF25" s="109"/>
      <c r="AG25" s="110"/>
      <c r="AH25" s="110"/>
      <c r="AI25" s="110"/>
      <c r="AJ25" s="110"/>
      <c r="AK25" s="109"/>
      <c r="AL25" s="111"/>
    </row>
    <row r="26" spans="1:38" s="376" customFormat="1" ht="30.75" customHeight="1">
      <c r="A26" s="202" t="s">
        <v>27</v>
      </c>
      <c r="B26" s="94" t="s">
        <v>247</v>
      </c>
      <c r="C26" s="95"/>
      <c r="D26" s="112" t="s">
        <v>8</v>
      </c>
      <c r="E26" s="338"/>
      <c r="F26" s="223" t="str">
        <f>VLOOKUP(B26,[1]LuongBC_T01!$B$277:$C$292,2,FALSE)</f>
        <v>0016100006692006</v>
      </c>
      <c r="G26" s="107" t="s">
        <v>246</v>
      </c>
      <c r="H26" s="233">
        <v>11</v>
      </c>
      <c r="I26" s="98">
        <v>7559700</v>
      </c>
      <c r="J26" s="380">
        <f t="shared" si="6"/>
        <v>453582</v>
      </c>
      <c r="K26" s="113"/>
      <c r="L26" s="98"/>
      <c r="M26" s="98">
        <f t="shared" si="0"/>
        <v>7559700</v>
      </c>
      <c r="N26" s="98"/>
      <c r="O26" s="98">
        <f t="shared" si="1"/>
        <v>0</v>
      </c>
      <c r="P26" s="98"/>
      <c r="Q26" s="98">
        <f t="shared" si="2"/>
        <v>7559700</v>
      </c>
      <c r="R26" s="98">
        <f t="shared" si="7"/>
        <v>604776</v>
      </c>
      <c r="S26" s="99">
        <f t="shared" si="8"/>
        <v>113395.5</v>
      </c>
      <c r="T26" s="98">
        <f t="shared" si="9"/>
        <v>75597</v>
      </c>
      <c r="U26" s="99"/>
      <c r="V26" s="99">
        <f t="shared" si="3"/>
        <v>793768.5</v>
      </c>
      <c r="W26" s="151"/>
      <c r="X26" s="99"/>
      <c r="Y26" s="99"/>
      <c r="Z26" s="99"/>
      <c r="AA26" s="99"/>
      <c r="AB26" s="99">
        <f t="shared" si="4"/>
        <v>6765931.5</v>
      </c>
      <c r="AC26" s="101" t="str">
        <f t="shared" si="5"/>
        <v>14</v>
      </c>
      <c r="AD26" s="102"/>
      <c r="AE26" s="117"/>
      <c r="AF26" s="234"/>
      <c r="AG26" s="110"/>
      <c r="AH26" s="110"/>
      <c r="AJ26" s="144"/>
      <c r="AL26" s="111"/>
    </row>
    <row r="27" spans="1:38" s="376" customFormat="1" ht="29.25" customHeight="1">
      <c r="A27" s="202" t="s">
        <v>28</v>
      </c>
      <c r="B27" s="94" t="s">
        <v>248</v>
      </c>
      <c r="C27" s="95"/>
      <c r="D27" s="112" t="s">
        <v>8</v>
      </c>
      <c r="E27" s="338"/>
      <c r="F27" s="223" t="str">
        <f>VLOOKUP(B27,[1]LuongBC_T01!$B$277:$C$292,2,FALSE)</f>
        <v>0016100006677007</v>
      </c>
      <c r="G27" s="107" t="s">
        <v>246</v>
      </c>
      <c r="H27" s="233">
        <v>10</v>
      </c>
      <c r="I27" s="98">
        <v>7199714</v>
      </c>
      <c r="J27" s="380">
        <f t="shared" si="6"/>
        <v>431982.83999999997</v>
      </c>
      <c r="K27" s="113"/>
      <c r="L27" s="98"/>
      <c r="M27" s="98">
        <f t="shared" si="0"/>
        <v>7199714</v>
      </c>
      <c r="N27" s="98"/>
      <c r="O27" s="98">
        <f t="shared" si="1"/>
        <v>0</v>
      </c>
      <c r="P27" s="98"/>
      <c r="Q27" s="98">
        <f t="shared" si="2"/>
        <v>7199714</v>
      </c>
      <c r="R27" s="98">
        <f t="shared" si="7"/>
        <v>575977.12</v>
      </c>
      <c r="S27" s="99">
        <f t="shared" si="8"/>
        <v>107995.70999999999</v>
      </c>
      <c r="T27" s="98">
        <f t="shared" si="9"/>
        <v>71997.14</v>
      </c>
      <c r="U27" s="99"/>
      <c r="V27" s="99">
        <f t="shared" si="3"/>
        <v>755969.97</v>
      </c>
      <c r="W27" s="151"/>
      <c r="X27" s="99"/>
      <c r="Y27" s="99"/>
      <c r="Z27" s="99"/>
      <c r="AA27" s="99"/>
      <c r="AB27" s="99">
        <f t="shared" si="4"/>
        <v>6443744.0300000003</v>
      </c>
      <c r="AC27" s="101" t="str">
        <f t="shared" si="5"/>
        <v>15</v>
      </c>
      <c r="AD27" s="102"/>
      <c r="AE27" s="117"/>
      <c r="AF27" s="234"/>
      <c r="AG27" s="110"/>
      <c r="AH27" s="110"/>
      <c r="AJ27" s="144"/>
      <c r="AL27" s="111"/>
    </row>
    <row r="28" spans="1:38" s="376" customFormat="1" ht="29.25" customHeight="1">
      <c r="A28" s="202" t="s">
        <v>29</v>
      </c>
      <c r="B28" s="94" t="s">
        <v>253</v>
      </c>
      <c r="C28" s="95"/>
      <c r="D28" s="112" t="s">
        <v>8</v>
      </c>
      <c r="E28" s="228"/>
      <c r="F28" s="223"/>
      <c r="G28" s="97" t="s">
        <v>246</v>
      </c>
      <c r="H28" s="233">
        <v>2</v>
      </c>
      <c r="I28" s="98">
        <v>4641000</v>
      </c>
      <c r="J28" s="380">
        <f t="shared" si="6"/>
        <v>278460</v>
      </c>
      <c r="K28" s="113"/>
      <c r="L28" s="98"/>
      <c r="M28" s="98">
        <f t="shared" si="0"/>
        <v>4641000</v>
      </c>
      <c r="N28" s="98"/>
      <c r="O28" s="98">
        <f t="shared" si="1"/>
        <v>0</v>
      </c>
      <c r="P28" s="98"/>
      <c r="Q28" s="98">
        <f t="shared" si="2"/>
        <v>4641000</v>
      </c>
      <c r="R28" s="98">
        <f t="shared" si="7"/>
        <v>371280</v>
      </c>
      <c r="S28" s="99">
        <f t="shared" si="8"/>
        <v>69615</v>
      </c>
      <c r="T28" s="98">
        <f t="shared" si="9"/>
        <v>46410</v>
      </c>
      <c r="U28" s="99"/>
      <c r="V28" s="99">
        <f t="shared" si="3"/>
        <v>487305</v>
      </c>
      <c r="W28" s="99"/>
      <c r="X28" s="99"/>
      <c r="Y28" s="151"/>
      <c r="Z28" s="99"/>
      <c r="AA28" s="99"/>
      <c r="AB28" s="99">
        <f t="shared" si="4"/>
        <v>4153695</v>
      </c>
      <c r="AC28" s="101" t="str">
        <f t="shared" si="5"/>
        <v>16</v>
      </c>
      <c r="AD28" s="102"/>
      <c r="AE28" s="102"/>
      <c r="AF28" s="120"/>
      <c r="AG28" s="116"/>
      <c r="AL28" s="375"/>
    </row>
    <row r="29" spans="1:38" s="376" customFormat="1" ht="28.5" customHeight="1">
      <c r="A29" s="202" t="s">
        <v>30</v>
      </c>
      <c r="B29" s="94" t="s">
        <v>134</v>
      </c>
      <c r="C29" s="95" t="s">
        <v>56</v>
      </c>
      <c r="D29" s="112" t="s">
        <v>257</v>
      </c>
      <c r="E29" s="228" t="str">
        <f>VLOOKUP(B29,[2]T3!$B$2:$D$328,3,FALSE)</f>
        <v>025804258</v>
      </c>
      <c r="F29" s="223" t="s">
        <v>207</v>
      </c>
      <c r="G29" s="107" t="s">
        <v>245</v>
      </c>
      <c r="H29" s="96">
        <v>5</v>
      </c>
      <c r="I29" s="98">
        <v>5748615</v>
      </c>
      <c r="J29" s="380">
        <f t="shared" si="6"/>
        <v>344916.89999999997</v>
      </c>
      <c r="K29" s="113"/>
      <c r="L29" s="98"/>
      <c r="M29" s="98">
        <f t="shared" si="0"/>
        <v>5748615</v>
      </c>
      <c r="N29" s="98"/>
      <c r="O29" s="98">
        <f t="shared" si="1"/>
        <v>0</v>
      </c>
      <c r="P29" s="98"/>
      <c r="Q29" s="98">
        <f t="shared" si="2"/>
        <v>5748615</v>
      </c>
      <c r="R29" s="98">
        <f t="shared" si="7"/>
        <v>459889.2</v>
      </c>
      <c r="S29" s="99">
        <f t="shared" si="8"/>
        <v>86229.224999999991</v>
      </c>
      <c r="T29" s="98">
        <f t="shared" si="9"/>
        <v>57486.15</v>
      </c>
      <c r="U29" s="99"/>
      <c r="V29" s="99">
        <f t="shared" si="3"/>
        <v>603604.57500000007</v>
      </c>
      <c r="W29" s="99"/>
      <c r="X29" s="100"/>
      <c r="Y29" s="100"/>
      <c r="Z29" s="100"/>
      <c r="AA29" s="100"/>
      <c r="AB29" s="99">
        <f t="shared" si="4"/>
        <v>5145010.4249999998</v>
      </c>
      <c r="AC29" s="101" t="str">
        <f t="shared" si="5"/>
        <v>17</v>
      </c>
      <c r="AD29" s="102"/>
      <c r="AE29" s="102" t="s">
        <v>106</v>
      </c>
      <c r="AF29" s="109">
        <v>1786995</v>
      </c>
      <c r="AG29" s="110">
        <f>AF29/26</f>
        <v>68730.576923076922</v>
      </c>
      <c r="AH29" s="110"/>
      <c r="AI29" s="110" t="e">
        <f>#REF!+48000</f>
        <v>#REF!</v>
      </c>
      <c r="AJ29" s="110"/>
      <c r="AK29" s="109"/>
      <c r="AL29" s="111"/>
    </row>
    <row r="30" spans="1:38" s="104" customFormat="1" ht="28.5" customHeight="1">
      <c r="A30" s="202" t="s">
        <v>88</v>
      </c>
      <c r="B30" s="94" t="s">
        <v>140</v>
      </c>
      <c r="C30" s="95" t="s">
        <v>58</v>
      </c>
      <c r="D30" s="112" t="s">
        <v>274</v>
      </c>
      <c r="E30" s="228" t="str">
        <f>VLOOKUP(B30,[2]T3!$B$2:$D$328,3,FALSE)</f>
        <v>025177943</v>
      </c>
      <c r="F30" s="209" t="s">
        <v>215</v>
      </c>
      <c r="G30" s="107" t="s">
        <v>245</v>
      </c>
      <c r="H30" s="96">
        <v>4</v>
      </c>
      <c r="I30" s="98">
        <v>5474872</v>
      </c>
      <c r="J30" s="380">
        <f t="shared" si="6"/>
        <v>328492.32</v>
      </c>
      <c r="K30" s="113"/>
      <c r="L30" s="98"/>
      <c r="M30" s="98">
        <f t="shared" si="0"/>
        <v>5474872</v>
      </c>
      <c r="N30" s="98"/>
      <c r="O30" s="98">
        <f t="shared" si="1"/>
        <v>0</v>
      </c>
      <c r="P30" s="98"/>
      <c r="Q30" s="98">
        <f t="shared" si="2"/>
        <v>5474872</v>
      </c>
      <c r="R30" s="98">
        <f t="shared" si="7"/>
        <v>437989.76</v>
      </c>
      <c r="S30" s="99">
        <f t="shared" si="8"/>
        <v>82123.08</v>
      </c>
      <c r="T30" s="98">
        <f t="shared" si="9"/>
        <v>54748.72</v>
      </c>
      <c r="U30" s="99"/>
      <c r="V30" s="99">
        <f t="shared" si="3"/>
        <v>574861.56000000006</v>
      </c>
      <c r="W30" s="99"/>
      <c r="X30" s="99"/>
      <c r="Y30" s="99"/>
      <c r="Z30" s="99"/>
      <c r="AA30" s="99"/>
      <c r="AB30" s="99">
        <f t="shared" si="4"/>
        <v>4900010.4399999995</v>
      </c>
      <c r="AC30" s="101" t="str">
        <f t="shared" si="5"/>
        <v>18</v>
      </c>
      <c r="AD30" s="102"/>
      <c r="AE30" s="135">
        <f>2.67-2.41</f>
        <v>0.25999999999999979</v>
      </c>
      <c r="AF30" s="106" t="s">
        <v>59</v>
      </c>
      <c r="AG30" s="136"/>
      <c r="AH30" s="137"/>
      <c r="AL30" s="111"/>
    </row>
    <row r="31" spans="1:38" s="104" customFormat="1" ht="27.75" customHeight="1">
      <c r="A31" s="202" t="s">
        <v>89</v>
      </c>
      <c r="B31" s="94" t="s">
        <v>144</v>
      </c>
      <c r="C31" s="95" t="s">
        <v>23</v>
      </c>
      <c r="D31" s="112" t="s">
        <v>274</v>
      </c>
      <c r="E31" s="228" t="str">
        <f>VLOOKUP(B31,[2]T3!$B$2:$D$328,3,FALSE)</f>
        <v>025632449</v>
      </c>
      <c r="F31" s="209" t="s">
        <v>220</v>
      </c>
      <c r="G31" s="107" t="s">
        <v>245</v>
      </c>
      <c r="H31" s="233">
        <v>2</v>
      </c>
      <c r="I31" s="98">
        <v>4965870</v>
      </c>
      <c r="J31" s="380">
        <f t="shared" si="6"/>
        <v>297952.2</v>
      </c>
      <c r="K31" s="113"/>
      <c r="L31" s="98"/>
      <c r="M31" s="98">
        <f t="shared" si="0"/>
        <v>4965870</v>
      </c>
      <c r="N31" s="98"/>
      <c r="O31" s="98">
        <f t="shared" si="1"/>
        <v>0</v>
      </c>
      <c r="P31" s="98"/>
      <c r="Q31" s="98">
        <f t="shared" si="2"/>
        <v>4965870</v>
      </c>
      <c r="R31" s="98">
        <f t="shared" si="7"/>
        <v>397269.60000000003</v>
      </c>
      <c r="S31" s="99">
        <f t="shared" si="8"/>
        <v>74488.05</v>
      </c>
      <c r="T31" s="98">
        <f t="shared" si="9"/>
        <v>49658.700000000004</v>
      </c>
      <c r="U31" s="99"/>
      <c r="V31" s="99">
        <f t="shared" si="3"/>
        <v>521416.35000000003</v>
      </c>
      <c r="W31" s="99"/>
      <c r="X31" s="99"/>
      <c r="Y31" s="99"/>
      <c r="Z31" s="99"/>
      <c r="AA31" s="99"/>
      <c r="AB31" s="99">
        <f t="shared" si="4"/>
        <v>4444453.6500000004</v>
      </c>
      <c r="AC31" s="101" t="str">
        <f t="shared" si="5"/>
        <v>19</v>
      </c>
      <c r="AD31" s="102"/>
      <c r="AE31" s="120" t="s">
        <v>85</v>
      </c>
      <c r="AF31" s="109"/>
      <c r="AG31" s="120" t="s">
        <v>111</v>
      </c>
      <c r="AH31" s="110"/>
      <c r="AI31" s="110"/>
      <c r="AL31" s="111"/>
    </row>
    <row r="32" spans="1:38" s="104" customFormat="1" ht="25.5" customHeight="1">
      <c r="A32" s="202" t="s">
        <v>90</v>
      </c>
      <c r="B32" s="94" t="s">
        <v>276</v>
      </c>
      <c r="C32" s="95"/>
      <c r="D32" s="112" t="s">
        <v>277</v>
      </c>
      <c r="E32" s="228"/>
      <c r="F32" s="223"/>
      <c r="G32" s="97" t="s">
        <v>246</v>
      </c>
      <c r="H32" s="233">
        <v>1</v>
      </c>
      <c r="I32" s="98">
        <v>4420000</v>
      </c>
      <c r="J32" s="380">
        <f t="shared" si="6"/>
        <v>265200</v>
      </c>
      <c r="K32" s="113"/>
      <c r="L32" s="98"/>
      <c r="M32" s="98">
        <f t="shared" si="0"/>
        <v>4420000</v>
      </c>
      <c r="N32" s="98"/>
      <c r="O32" s="98">
        <f t="shared" si="1"/>
        <v>0</v>
      </c>
      <c r="P32" s="98"/>
      <c r="Q32" s="98">
        <f t="shared" si="2"/>
        <v>4420000</v>
      </c>
      <c r="R32" s="98">
        <f t="shared" si="7"/>
        <v>353600</v>
      </c>
      <c r="S32" s="99">
        <f t="shared" si="8"/>
        <v>66300</v>
      </c>
      <c r="T32" s="98">
        <f t="shared" si="9"/>
        <v>44200</v>
      </c>
      <c r="U32" s="99"/>
      <c r="V32" s="99">
        <f t="shared" si="3"/>
        <v>464100</v>
      </c>
      <c r="W32" s="99"/>
      <c r="X32" s="100"/>
      <c r="Y32" s="100"/>
      <c r="Z32" s="100"/>
      <c r="AA32" s="100"/>
      <c r="AB32" s="99">
        <f t="shared" si="4"/>
        <v>3955900</v>
      </c>
      <c r="AC32" s="101" t="str">
        <f t="shared" si="5"/>
        <v>20</v>
      </c>
      <c r="AD32" s="255"/>
      <c r="AE32" s="255" t="s">
        <v>278</v>
      </c>
      <c r="AF32" s="117"/>
      <c r="AG32" s="144"/>
      <c r="AH32" s="376"/>
      <c r="AL32" s="105"/>
    </row>
    <row r="33" spans="1:38" s="104" customFormat="1" ht="38.25" customHeight="1">
      <c r="A33" s="202" t="s">
        <v>91</v>
      </c>
      <c r="B33" s="94" t="s">
        <v>303</v>
      </c>
      <c r="C33" s="95"/>
      <c r="D33" s="112" t="s">
        <v>304</v>
      </c>
      <c r="E33" s="228"/>
      <c r="F33" s="223"/>
      <c r="G33" s="97" t="s">
        <v>246</v>
      </c>
      <c r="H33" s="233">
        <v>1</v>
      </c>
      <c r="I33" s="98">
        <v>4420000</v>
      </c>
      <c r="J33" s="380">
        <f t="shared" si="6"/>
        <v>265200</v>
      </c>
      <c r="K33" s="113"/>
      <c r="L33" s="98"/>
      <c r="M33" s="98">
        <f t="shared" si="0"/>
        <v>4420000</v>
      </c>
      <c r="N33" s="98"/>
      <c r="O33" s="98">
        <f t="shared" si="1"/>
        <v>0</v>
      </c>
      <c r="P33" s="98"/>
      <c r="Q33" s="98">
        <f t="shared" si="2"/>
        <v>4420000</v>
      </c>
      <c r="R33" s="98">
        <f t="shared" si="7"/>
        <v>353600</v>
      </c>
      <c r="S33" s="99">
        <f t="shared" si="8"/>
        <v>66300</v>
      </c>
      <c r="T33" s="98">
        <f t="shared" si="9"/>
        <v>44200</v>
      </c>
      <c r="U33" s="99"/>
      <c r="V33" s="99">
        <f t="shared" si="3"/>
        <v>464100</v>
      </c>
      <c r="W33" s="99"/>
      <c r="X33" s="100"/>
      <c r="Y33" s="100"/>
      <c r="Z33" s="100"/>
      <c r="AA33" s="100"/>
      <c r="AB33" s="99">
        <f t="shared" si="4"/>
        <v>3955900</v>
      </c>
      <c r="AC33" s="101" t="str">
        <f t="shared" si="5"/>
        <v>21</v>
      </c>
      <c r="AD33" s="255"/>
      <c r="AE33" s="255" t="s">
        <v>314</v>
      </c>
      <c r="AF33" s="117"/>
      <c r="AG33" s="144"/>
      <c r="AH33" s="376"/>
      <c r="AL33" s="105"/>
    </row>
    <row r="34" spans="1:38" s="104" customFormat="1" ht="31.5" customHeight="1">
      <c r="A34" s="202" t="s">
        <v>92</v>
      </c>
      <c r="B34" s="94" t="s">
        <v>350</v>
      </c>
      <c r="C34" s="95"/>
      <c r="D34" s="112" t="s">
        <v>239</v>
      </c>
      <c r="E34" s="228"/>
      <c r="F34" s="209"/>
      <c r="G34" s="97" t="s">
        <v>246</v>
      </c>
      <c r="H34" s="233">
        <v>12</v>
      </c>
      <c r="I34" s="98">
        <v>7559700</v>
      </c>
      <c r="J34" s="380">
        <f t="shared" si="6"/>
        <v>453582</v>
      </c>
      <c r="K34" s="339">
        <v>0.55000000000000004</v>
      </c>
      <c r="L34" s="113">
        <f>I34*K34</f>
        <v>4157835.0000000005</v>
      </c>
      <c r="M34" s="98">
        <f t="shared" si="0"/>
        <v>11717535</v>
      </c>
      <c r="N34" s="98"/>
      <c r="O34" s="98">
        <f t="shared" si="1"/>
        <v>0</v>
      </c>
      <c r="P34" s="98"/>
      <c r="Q34" s="98">
        <f t="shared" si="2"/>
        <v>11717535</v>
      </c>
      <c r="R34" s="98">
        <f t="shared" si="7"/>
        <v>937402.8</v>
      </c>
      <c r="S34" s="99">
        <f t="shared" si="8"/>
        <v>175763.02499999999</v>
      </c>
      <c r="T34" s="98">
        <f t="shared" si="9"/>
        <v>117175.35</v>
      </c>
      <c r="U34" s="99"/>
      <c r="V34" s="99">
        <f t="shared" si="3"/>
        <v>1230341.175</v>
      </c>
      <c r="W34" s="99"/>
      <c r="X34" s="99"/>
      <c r="Y34" s="151"/>
      <c r="Z34" s="99"/>
      <c r="AA34" s="99"/>
      <c r="AB34" s="99">
        <f t="shared" si="4"/>
        <v>10487193.824999999</v>
      </c>
      <c r="AC34" s="101" t="str">
        <f t="shared" si="5"/>
        <v>22</v>
      </c>
      <c r="AD34" s="102"/>
      <c r="AE34" s="102"/>
      <c r="AF34" s="120"/>
      <c r="AG34" s="116"/>
      <c r="AH34" s="376"/>
      <c r="AL34" s="105"/>
    </row>
    <row r="35" spans="1:38" s="104" customFormat="1" ht="39.75" customHeight="1">
      <c r="A35" s="202" t="s">
        <v>93</v>
      </c>
      <c r="B35" s="94" t="s">
        <v>305</v>
      </c>
      <c r="C35" s="95"/>
      <c r="D35" s="112" t="s">
        <v>304</v>
      </c>
      <c r="E35" s="228"/>
      <c r="F35" s="223"/>
      <c r="G35" s="97" t="s">
        <v>246</v>
      </c>
      <c r="H35" s="233">
        <v>1</v>
      </c>
      <c r="I35" s="98">
        <v>4420000</v>
      </c>
      <c r="J35" s="380">
        <f t="shared" si="6"/>
        <v>265200</v>
      </c>
      <c r="K35" s="113"/>
      <c r="L35" s="98"/>
      <c r="M35" s="98">
        <f t="shared" si="0"/>
        <v>4420000</v>
      </c>
      <c r="N35" s="98"/>
      <c r="O35" s="98">
        <f t="shared" si="1"/>
        <v>0</v>
      </c>
      <c r="P35" s="98"/>
      <c r="Q35" s="98">
        <f t="shared" si="2"/>
        <v>4420000</v>
      </c>
      <c r="R35" s="98">
        <f t="shared" si="7"/>
        <v>353600</v>
      </c>
      <c r="S35" s="99">
        <f t="shared" si="8"/>
        <v>66300</v>
      </c>
      <c r="T35" s="98">
        <f t="shared" si="9"/>
        <v>44200</v>
      </c>
      <c r="U35" s="99"/>
      <c r="V35" s="99">
        <f t="shared" si="3"/>
        <v>464100</v>
      </c>
      <c r="W35" s="99"/>
      <c r="X35" s="100"/>
      <c r="Y35" s="100"/>
      <c r="Z35" s="100"/>
      <c r="AA35" s="100"/>
      <c r="AB35" s="99">
        <f t="shared" si="4"/>
        <v>3955900</v>
      </c>
      <c r="AC35" s="101" t="str">
        <f t="shared" si="5"/>
        <v>23</v>
      </c>
      <c r="AD35" s="255"/>
      <c r="AE35" s="255" t="s">
        <v>315</v>
      </c>
      <c r="AF35" s="117"/>
      <c r="AG35" s="144"/>
      <c r="AH35" s="376"/>
      <c r="AL35" s="105"/>
    </row>
    <row r="36" spans="1:38" s="376" customFormat="1" ht="30" customHeight="1">
      <c r="A36" s="202" t="s">
        <v>94</v>
      </c>
      <c r="B36" s="94" t="s">
        <v>254</v>
      </c>
      <c r="C36" s="95"/>
      <c r="D36" s="112" t="s">
        <v>255</v>
      </c>
      <c r="E36" s="228"/>
      <c r="F36" s="223"/>
      <c r="G36" s="107" t="s">
        <v>245</v>
      </c>
      <c r="H36" s="96">
        <v>7</v>
      </c>
      <c r="I36" s="98">
        <v>6337848</v>
      </c>
      <c r="J36" s="380">
        <f t="shared" si="6"/>
        <v>380270.88</v>
      </c>
      <c r="K36" s="113"/>
      <c r="L36" s="98"/>
      <c r="M36" s="98">
        <f t="shared" si="0"/>
        <v>6337848</v>
      </c>
      <c r="N36" s="98"/>
      <c r="O36" s="98">
        <f t="shared" si="1"/>
        <v>0</v>
      </c>
      <c r="P36" s="98"/>
      <c r="Q36" s="98">
        <f t="shared" si="2"/>
        <v>6337848</v>
      </c>
      <c r="R36" s="98">
        <f>M36*8%+1</f>
        <v>507028.84</v>
      </c>
      <c r="S36" s="99">
        <f t="shared" si="8"/>
        <v>95067.72</v>
      </c>
      <c r="T36" s="98">
        <f t="shared" si="9"/>
        <v>63378.48</v>
      </c>
      <c r="U36" s="99"/>
      <c r="V36" s="99">
        <f t="shared" si="3"/>
        <v>665475.04</v>
      </c>
      <c r="W36" s="99"/>
      <c r="X36" s="100"/>
      <c r="Y36" s="100"/>
      <c r="Z36" s="100"/>
      <c r="AA36" s="100">
        <v>852000</v>
      </c>
      <c r="AB36" s="99">
        <f t="shared" si="4"/>
        <v>6524372.96</v>
      </c>
      <c r="AC36" s="101"/>
      <c r="AD36" s="102"/>
      <c r="AE36" s="102"/>
      <c r="AF36" s="109"/>
      <c r="AG36" s="110"/>
      <c r="AH36" s="110"/>
      <c r="AI36" s="110"/>
      <c r="AJ36" s="110"/>
      <c r="AK36" s="109"/>
      <c r="AL36" s="111"/>
    </row>
    <row r="37" spans="1:38" s="376" customFormat="1" ht="24.75" customHeight="1">
      <c r="A37" s="202" t="s">
        <v>95</v>
      </c>
      <c r="B37" s="94" t="s">
        <v>133</v>
      </c>
      <c r="C37" s="95" t="s">
        <v>65</v>
      </c>
      <c r="D37" s="112" t="s">
        <v>73</v>
      </c>
      <c r="E37" s="228" t="str">
        <f>VLOOKUP(B37,[2]T3!$B$2:$D$328,3,FALSE)</f>
        <v>230718298</v>
      </c>
      <c r="F37" s="209" t="s">
        <v>206</v>
      </c>
      <c r="G37" s="107" t="s">
        <v>242</v>
      </c>
      <c r="H37" s="233">
        <v>5</v>
      </c>
      <c r="I37" s="98">
        <v>6151018</v>
      </c>
      <c r="J37" s="380">
        <f t="shared" si="6"/>
        <v>369061.07999999996</v>
      </c>
      <c r="K37" s="113"/>
      <c r="L37" s="98"/>
      <c r="M37" s="98">
        <f t="shared" si="0"/>
        <v>6151018</v>
      </c>
      <c r="N37" s="98">
        <v>0</v>
      </c>
      <c r="O37" s="98">
        <f t="shared" si="1"/>
        <v>0</v>
      </c>
      <c r="P37" s="98"/>
      <c r="Q37" s="98">
        <f t="shared" si="2"/>
        <v>6151018</v>
      </c>
      <c r="R37" s="98">
        <f t="shared" ref="R37:R60" si="10">M37*8%</f>
        <v>492081.44</v>
      </c>
      <c r="S37" s="99">
        <f t="shared" si="8"/>
        <v>92265.26999999999</v>
      </c>
      <c r="T37" s="98">
        <f t="shared" si="9"/>
        <v>61510.18</v>
      </c>
      <c r="U37" s="99"/>
      <c r="V37" s="99">
        <f t="shared" si="3"/>
        <v>645856.89</v>
      </c>
      <c r="W37" s="99"/>
      <c r="X37" s="100"/>
      <c r="Y37" s="100"/>
      <c r="Z37" s="100"/>
      <c r="AA37" s="100"/>
      <c r="AB37" s="99">
        <f t="shared" si="4"/>
        <v>5505161.1100000003</v>
      </c>
      <c r="AC37" s="101" t="str">
        <f t="shared" ref="AC37:AC61" si="11">A37</f>
        <v>25</v>
      </c>
      <c r="AD37" s="102"/>
      <c r="AE37" s="102" t="s">
        <v>105</v>
      </c>
      <c r="AF37" s="108"/>
      <c r="AH37" s="376" t="e">
        <f>#REF!-#REF!</f>
        <v>#REF!</v>
      </c>
      <c r="AI37" s="116"/>
      <c r="AL37" s="375"/>
    </row>
    <row r="38" spans="1:38" s="104" customFormat="1" ht="24.75" customHeight="1">
      <c r="A38" s="202" t="s">
        <v>96</v>
      </c>
      <c r="B38" s="94" t="s">
        <v>290</v>
      </c>
      <c r="C38" s="95"/>
      <c r="D38" s="112" t="s">
        <v>291</v>
      </c>
      <c r="E38" s="228"/>
      <c r="F38" s="223"/>
      <c r="G38" s="97" t="s">
        <v>242</v>
      </c>
      <c r="H38" s="233">
        <v>1</v>
      </c>
      <c r="I38" s="98">
        <v>5060458</v>
      </c>
      <c r="J38" s="380">
        <f t="shared" si="6"/>
        <v>303627.48</v>
      </c>
      <c r="K38" s="113"/>
      <c r="L38" s="98"/>
      <c r="M38" s="98">
        <f t="shared" si="0"/>
        <v>5060458</v>
      </c>
      <c r="N38" s="98"/>
      <c r="O38" s="98">
        <f t="shared" si="1"/>
        <v>0</v>
      </c>
      <c r="P38" s="98"/>
      <c r="Q38" s="98">
        <f t="shared" si="2"/>
        <v>5060458</v>
      </c>
      <c r="R38" s="98">
        <f t="shared" si="10"/>
        <v>404836.64</v>
      </c>
      <c r="S38" s="99">
        <f t="shared" si="8"/>
        <v>75906.87</v>
      </c>
      <c r="T38" s="98">
        <f t="shared" si="9"/>
        <v>50604.58</v>
      </c>
      <c r="U38" s="99"/>
      <c r="V38" s="99">
        <f t="shared" si="3"/>
        <v>531348.09</v>
      </c>
      <c r="W38" s="99"/>
      <c r="X38" s="100"/>
      <c r="Y38" s="100"/>
      <c r="Z38" s="100"/>
      <c r="AA38" s="100"/>
      <c r="AB38" s="99">
        <f t="shared" si="4"/>
        <v>4529109.91</v>
      </c>
      <c r="AC38" s="101" t="str">
        <f t="shared" si="11"/>
        <v>26</v>
      </c>
      <c r="AD38" s="255"/>
      <c r="AE38" s="255" t="s">
        <v>300</v>
      </c>
      <c r="AF38" s="117"/>
      <c r="AG38" s="144"/>
      <c r="AH38" s="376"/>
      <c r="AL38" s="105"/>
    </row>
    <row r="39" spans="1:38" s="104" customFormat="1" ht="33" customHeight="1">
      <c r="A39" s="202" t="s">
        <v>97</v>
      </c>
      <c r="B39" s="94" t="s">
        <v>327</v>
      </c>
      <c r="C39" s="95"/>
      <c r="D39" s="112" t="s">
        <v>326</v>
      </c>
      <c r="E39" s="228"/>
      <c r="F39" s="336" t="s">
        <v>337</v>
      </c>
      <c r="G39" s="97" t="s">
        <v>242</v>
      </c>
      <c r="H39" s="233">
        <v>1</v>
      </c>
      <c r="I39" s="98">
        <v>5060458</v>
      </c>
      <c r="J39" s="380">
        <f t="shared" si="6"/>
        <v>303627.48</v>
      </c>
      <c r="K39" s="113"/>
      <c r="L39" s="98"/>
      <c r="M39" s="98">
        <f t="shared" si="0"/>
        <v>5060458</v>
      </c>
      <c r="N39" s="98"/>
      <c r="O39" s="98">
        <f t="shared" si="1"/>
        <v>0</v>
      </c>
      <c r="P39" s="98"/>
      <c r="Q39" s="98">
        <f t="shared" si="2"/>
        <v>5060458</v>
      </c>
      <c r="R39" s="98">
        <f t="shared" si="10"/>
        <v>404836.64</v>
      </c>
      <c r="S39" s="99">
        <f t="shared" si="8"/>
        <v>75906.87</v>
      </c>
      <c r="T39" s="98">
        <f t="shared" si="9"/>
        <v>50604.58</v>
      </c>
      <c r="U39" s="99"/>
      <c r="V39" s="99">
        <f t="shared" si="3"/>
        <v>531348.09</v>
      </c>
      <c r="W39" s="99"/>
      <c r="X39" s="100"/>
      <c r="Y39" s="100"/>
      <c r="Z39" s="100"/>
      <c r="AA39" s="100"/>
      <c r="AB39" s="99">
        <f t="shared" si="4"/>
        <v>4529109.91</v>
      </c>
      <c r="AC39" s="101" t="str">
        <f t="shared" si="11"/>
        <v>27</v>
      </c>
      <c r="AD39" s="255"/>
      <c r="AE39" s="335" t="s">
        <v>328</v>
      </c>
      <c r="AF39" s="117"/>
      <c r="AG39" s="144"/>
      <c r="AH39" s="376"/>
      <c r="AL39" s="105"/>
    </row>
    <row r="40" spans="1:38" s="104" customFormat="1" ht="36.75" customHeight="1">
      <c r="A40" s="202" t="s">
        <v>98</v>
      </c>
      <c r="B40" s="94" t="s">
        <v>138</v>
      </c>
      <c r="C40" s="95" t="s">
        <v>66</v>
      </c>
      <c r="D40" s="112" t="s">
        <v>172</v>
      </c>
      <c r="E40" s="227" t="s">
        <v>237</v>
      </c>
      <c r="F40" s="209" t="s">
        <v>214</v>
      </c>
      <c r="G40" s="107" t="s">
        <v>242</v>
      </c>
      <c r="H40" s="235">
        <v>7</v>
      </c>
      <c r="I40" s="98">
        <v>6781498</v>
      </c>
      <c r="J40" s="380">
        <f t="shared" si="6"/>
        <v>406889.88</v>
      </c>
      <c r="K40" s="113"/>
      <c r="L40" s="98"/>
      <c r="M40" s="98">
        <f t="shared" si="0"/>
        <v>6781498</v>
      </c>
      <c r="N40" s="98"/>
      <c r="O40" s="98">
        <f t="shared" si="1"/>
        <v>0</v>
      </c>
      <c r="P40" s="98"/>
      <c r="Q40" s="98">
        <f t="shared" si="2"/>
        <v>6781498</v>
      </c>
      <c r="R40" s="98">
        <f t="shared" si="10"/>
        <v>542519.84</v>
      </c>
      <c r="S40" s="99">
        <f t="shared" si="8"/>
        <v>101722.47</v>
      </c>
      <c r="T40" s="98">
        <f t="shared" si="9"/>
        <v>67814.98</v>
      </c>
      <c r="U40" s="99"/>
      <c r="V40" s="99">
        <f t="shared" si="3"/>
        <v>712057.28999999992</v>
      </c>
      <c r="W40" s="99"/>
      <c r="X40" s="99"/>
      <c r="Y40" s="99"/>
      <c r="Z40" s="99"/>
      <c r="AA40" s="99"/>
      <c r="AB40" s="99">
        <f t="shared" si="4"/>
        <v>6069440.71</v>
      </c>
      <c r="AC40" s="101" t="str">
        <f t="shared" si="11"/>
        <v>28</v>
      </c>
      <c r="AD40" s="102"/>
      <c r="AE40" s="103" t="s">
        <v>72</v>
      </c>
      <c r="AF40" s="152"/>
      <c r="AG40" s="104" t="e">
        <f>AG51*15</f>
        <v>#REF!</v>
      </c>
      <c r="AH40" s="376"/>
      <c r="AL40" s="105"/>
    </row>
    <row r="41" spans="1:38" s="104" customFormat="1" ht="42.75" customHeight="1">
      <c r="A41" s="202" t="s">
        <v>99</v>
      </c>
      <c r="B41" s="94" t="s">
        <v>283</v>
      </c>
      <c r="C41" s="95"/>
      <c r="D41" s="112" t="s">
        <v>287</v>
      </c>
      <c r="E41" s="228"/>
      <c r="F41" s="223" t="s">
        <v>324</v>
      </c>
      <c r="G41" s="97" t="s">
        <v>242</v>
      </c>
      <c r="H41" s="233">
        <v>1</v>
      </c>
      <c r="I41" s="98">
        <v>5060458</v>
      </c>
      <c r="J41" s="380">
        <f t="shared" si="6"/>
        <v>303627.48</v>
      </c>
      <c r="K41" s="113"/>
      <c r="L41" s="98"/>
      <c r="M41" s="98">
        <f t="shared" si="0"/>
        <v>5060458</v>
      </c>
      <c r="N41" s="98"/>
      <c r="O41" s="98">
        <f t="shared" si="1"/>
        <v>0</v>
      </c>
      <c r="P41" s="98"/>
      <c r="Q41" s="98">
        <f t="shared" si="2"/>
        <v>5060458</v>
      </c>
      <c r="R41" s="98">
        <f t="shared" si="10"/>
        <v>404836.64</v>
      </c>
      <c r="S41" s="99">
        <f t="shared" si="8"/>
        <v>75906.87</v>
      </c>
      <c r="T41" s="98">
        <f t="shared" si="9"/>
        <v>50604.58</v>
      </c>
      <c r="U41" s="99"/>
      <c r="V41" s="99">
        <f t="shared" si="3"/>
        <v>531348.09</v>
      </c>
      <c r="W41" s="99"/>
      <c r="X41" s="100"/>
      <c r="Y41" s="100"/>
      <c r="Z41" s="100"/>
      <c r="AA41" s="100"/>
      <c r="AB41" s="99">
        <f t="shared" si="4"/>
        <v>4529109.91</v>
      </c>
      <c r="AC41" s="101" t="str">
        <f t="shared" si="11"/>
        <v>29</v>
      </c>
      <c r="AD41" s="255"/>
      <c r="AE41" s="255" t="s">
        <v>284</v>
      </c>
      <c r="AF41" s="117"/>
      <c r="AG41" s="144"/>
      <c r="AH41" s="376"/>
      <c r="AL41" s="105"/>
    </row>
    <row r="42" spans="1:38" s="376" customFormat="1" ht="33" customHeight="1">
      <c r="A42" s="202" t="s">
        <v>100</v>
      </c>
      <c r="B42" s="143" t="s">
        <v>130</v>
      </c>
      <c r="C42" s="95" t="s">
        <v>7</v>
      </c>
      <c r="D42" s="112" t="s">
        <v>239</v>
      </c>
      <c r="E42" s="226" t="s">
        <v>233</v>
      </c>
      <c r="F42" s="223" t="s">
        <v>203</v>
      </c>
      <c r="G42" s="107" t="s">
        <v>245</v>
      </c>
      <c r="H42" s="233">
        <v>4</v>
      </c>
      <c r="I42" s="98">
        <v>5474872</v>
      </c>
      <c r="J42" s="380">
        <f t="shared" si="6"/>
        <v>328492.32</v>
      </c>
      <c r="K42" s="113"/>
      <c r="L42" s="98"/>
      <c r="M42" s="98">
        <f t="shared" si="0"/>
        <v>5474872</v>
      </c>
      <c r="N42" s="98"/>
      <c r="O42" s="98">
        <f t="shared" si="1"/>
        <v>0</v>
      </c>
      <c r="P42" s="98"/>
      <c r="Q42" s="98">
        <f t="shared" si="2"/>
        <v>5474872</v>
      </c>
      <c r="R42" s="98">
        <f t="shared" si="10"/>
        <v>437989.76</v>
      </c>
      <c r="S42" s="99">
        <f t="shared" si="8"/>
        <v>82123.08</v>
      </c>
      <c r="T42" s="98">
        <f t="shared" si="9"/>
        <v>54748.72</v>
      </c>
      <c r="U42" s="99"/>
      <c r="V42" s="99">
        <f t="shared" si="3"/>
        <v>574861.56000000006</v>
      </c>
      <c r="W42" s="151"/>
      <c r="X42" s="99"/>
      <c r="Y42" s="151"/>
      <c r="Z42" s="99"/>
      <c r="AA42" s="99"/>
      <c r="AB42" s="99">
        <f t="shared" si="4"/>
        <v>4900010.4399999995</v>
      </c>
      <c r="AC42" s="101" t="str">
        <f t="shared" si="11"/>
        <v>30</v>
      </c>
      <c r="AD42" s="102" t="s">
        <v>359</v>
      </c>
      <c r="AE42" s="117">
        <f>AE22*10.5%</f>
        <v>486013.5</v>
      </c>
      <c r="AF42" s="754"/>
      <c r="AG42" s="755"/>
      <c r="AH42" s="755"/>
      <c r="AI42" s="755"/>
      <c r="AL42" s="119"/>
    </row>
    <row r="43" spans="1:38" s="104" customFormat="1" ht="37.5" customHeight="1">
      <c r="A43" s="202" t="s">
        <v>101</v>
      </c>
      <c r="B43" s="94" t="s">
        <v>145</v>
      </c>
      <c r="C43" s="95" t="s">
        <v>117</v>
      </c>
      <c r="D43" s="112" t="s">
        <v>287</v>
      </c>
      <c r="E43" s="226" t="s">
        <v>232</v>
      </c>
      <c r="F43" s="209" t="s">
        <v>210</v>
      </c>
      <c r="G43" s="107" t="s">
        <v>242</v>
      </c>
      <c r="H43" s="233">
        <v>1</v>
      </c>
      <c r="I43" s="98">
        <v>5060458</v>
      </c>
      <c r="J43" s="380">
        <f t="shared" si="6"/>
        <v>303627.48</v>
      </c>
      <c r="K43" s="113"/>
      <c r="L43" s="98"/>
      <c r="M43" s="98">
        <f t="shared" si="0"/>
        <v>5060458</v>
      </c>
      <c r="N43" s="98"/>
      <c r="O43" s="98">
        <f t="shared" si="1"/>
        <v>0</v>
      </c>
      <c r="P43" s="98"/>
      <c r="Q43" s="98">
        <f t="shared" si="2"/>
        <v>5060458</v>
      </c>
      <c r="R43" s="98">
        <f t="shared" si="10"/>
        <v>404836.64</v>
      </c>
      <c r="S43" s="99">
        <f t="shared" si="8"/>
        <v>75906.87</v>
      </c>
      <c r="T43" s="98">
        <f t="shared" si="9"/>
        <v>50604.58</v>
      </c>
      <c r="U43" s="99"/>
      <c r="V43" s="99">
        <f t="shared" si="3"/>
        <v>531348.09</v>
      </c>
      <c r="W43" s="99"/>
      <c r="X43" s="99"/>
      <c r="Y43" s="99"/>
      <c r="Z43" s="99"/>
      <c r="AA43" s="99"/>
      <c r="AB43" s="99">
        <f t="shared" si="4"/>
        <v>4529109.91</v>
      </c>
      <c r="AC43" s="101" t="str">
        <f t="shared" si="11"/>
        <v>31</v>
      </c>
      <c r="AD43" s="118"/>
      <c r="AE43" s="139" t="s">
        <v>118</v>
      </c>
      <c r="AF43" s="155"/>
      <c r="AG43" s="128"/>
      <c r="AH43" s="110"/>
      <c r="AI43" s="110"/>
      <c r="AL43" s="111"/>
    </row>
    <row r="44" spans="1:38" s="104" customFormat="1" ht="42.75" customHeight="1">
      <c r="A44" s="202" t="s">
        <v>102</v>
      </c>
      <c r="B44" s="94" t="s">
        <v>311</v>
      </c>
      <c r="C44" s="95"/>
      <c r="D44" s="112" t="s">
        <v>287</v>
      </c>
      <c r="E44" s="228"/>
      <c r="F44" s="223"/>
      <c r="G44" s="97" t="s">
        <v>242</v>
      </c>
      <c r="H44" s="233">
        <v>1</v>
      </c>
      <c r="I44" s="98">
        <v>5060458</v>
      </c>
      <c r="J44" s="380">
        <f t="shared" si="6"/>
        <v>303627.48</v>
      </c>
      <c r="K44" s="113"/>
      <c r="L44" s="98"/>
      <c r="M44" s="98">
        <f t="shared" si="0"/>
        <v>5060458</v>
      </c>
      <c r="N44" s="98"/>
      <c r="O44" s="98">
        <f t="shared" si="1"/>
        <v>0</v>
      </c>
      <c r="P44" s="98"/>
      <c r="Q44" s="98">
        <f t="shared" si="2"/>
        <v>5060458</v>
      </c>
      <c r="R44" s="98">
        <f t="shared" si="10"/>
        <v>404836.64</v>
      </c>
      <c r="S44" s="99">
        <f t="shared" si="8"/>
        <v>75906.87</v>
      </c>
      <c r="T44" s="98">
        <f t="shared" si="9"/>
        <v>50604.58</v>
      </c>
      <c r="U44" s="99"/>
      <c r="V44" s="99">
        <f t="shared" si="3"/>
        <v>531348.09</v>
      </c>
      <c r="W44" s="99"/>
      <c r="X44" s="100"/>
      <c r="Y44" s="100"/>
      <c r="Z44" s="100"/>
      <c r="AA44" s="100"/>
      <c r="AB44" s="99">
        <f t="shared" si="4"/>
        <v>4529109.91</v>
      </c>
      <c r="AC44" s="101" t="str">
        <f t="shared" si="11"/>
        <v>32</v>
      </c>
      <c r="AD44" s="255"/>
      <c r="AE44" s="255" t="s">
        <v>312</v>
      </c>
      <c r="AF44" s="117"/>
      <c r="AG44" s="144"/>
      <c r="AH44" s="376"/>
      <c r="AL44" s="105"/>
    </row>
    <row r="45" spans="1:38" s="376" customFormat="1" ht="39" customHeight="1">
      <c r="A45" s="202" t="s">
        <v>103</v>
      </c>
      <c r="B45" s="94" t="s">
        <v>346</v>
      </c>
      <c r="C45" s="95"/>
      <c r="D45" s="112" t="s">
        <v>347</v>
      </c>
      <c r="E45" s="228"/>
      <c r="F45" s="223"/>
      <c r="G45" s="97" t="s">
        <v>245</v>
      </c>
      <c r="H45" s="233">
        <v>4</v>
      </c>
      <c r="I45" s="98">
        <v>5474872</v>
      </c>
      <c r="J45" s="380">
        <f t="shared" si="6"/>
        <v>328492.32</v>
      </c>
      <c r="K45" s="113"/>
      <c r="L45" s="98"/>
      <c r="M45" s="98">
        <f t="shared" si="0"/>
        <v>5474872</v>
      </c>
      <c r="N45" s="98"/>
      <c r="O45" s="98">
        <f t="shared" si="1"/>
        <v>0</v>
      </c>
      <c r="P45" s="98"/>
      <c r="Q45" s="98">
        <f t="shared" si="2"/>
        <v>5474872</v>
      </c>
      <c r="R45" s="98">
        <f t="shared" si="10"/>
        <v>437989.76</v>
      </c>
      <c r="S45" s="99">
        <f t="shared" si="8"/>
        <v>82123.08</v>
      </c>
      <c r="T45" s="98">
        <f t="shared" si="9"/>
        <v>54748.72</v>
      </c>
      <c r="U45" s="99"/>
      <c r="V45" s="99">
        <f t="shared" si="3"/>
        <v>574861.56000000006</v>
      </c>
      <c r="W45" s="99"/>
      <c r="X45" s="99"/>
      <c r="Y45" s="151"/>
      <c r="Z45" s="99"/>
      <c r="AA45" s="99"/>
      <c r="AB45" s="99">
        <f t="shared" si="4"/>
        <v>4900010.4399999995</v>
      </c>
      <c r="AC45" s="101" t="str">
        <f t="shared" si="11"/>
        <v>33</v>
      </c>
      <c r="AD45" s="102"/>
      <c r="AE45" s="102"/>
      <c r="AF45" s="120"/>
      <c r="AG45" s="116"/>
      <c r="AL45" s="375"/>
    </row>
    <row r="46" spans="1:38" s="104" customFormat="1" ht="33" customHeight="1">
      <c r="A46" s="202" t="s">
        <v>104</v>
      </c>
      <c r="B46" s="94" t="s">
        <v>128</v>
      </c>
      <c r="C46" s="95" t="s">
        <v>123</v>
      </c>
      <c r="D46" s="112" t="s">
        <v>187</v>
      </c>
      <c r="E46" s="228" t="str">
        <f>VLOOKUP(B46,[2]T3!$B$2:$D$328,3,FALSE)</f>
        <v>024759058</v>
      </c>
      <c r="F46" s="209" t="s">
        <v>224</v>
      </c>
      <c r="G46" s="107" t="s">
        <v>242</v>
      </c>
      <c r="H46" s="333">
        <v>1</v>
      </c>
      <c r="I46" s="98">
        <v>5060458</v>
      </c>
      <c r="J46" s="380">
        <f t="shared" si="6"/>
        <v>303627.48</v>
      </c>
      <c r="K46" s="113"/>
      <c r="L46" s="98"/>
      <c r="M46" s="98">
        <f t="shared" si="0"/>
        <v>5060458</v>
      </c>
      <c r="N46" s="98"/>
      <c r="O46" s="98">
        <f t="shared" si="1"/>
        <v>0</v>
      </c>
      <c r="P46" s="98"/>
      <c r="Q46" s="98">
        <f t="shared" si="2"/>
        <v>5060458</v>
      </c>
      <c r="R46" s="98">
        <f t="shared" si="10"/>
        <v>404836.64</v>
      </c>
      <c r="S46" s="99">
        <f t="shared" si="8"/>
        <v>75906.87</v>
      </c>
      <c r="T46" s="98">
        <f t="shared" si="9"/>
        <v>50604.58</v>
      </c>
      <c r="U46" s="99"/>
      <c r="V46" s="99">
        <f t="shared" si="3"/>
        <v>531348.09</v>
      </c>
      <c r="W46" s="99"/>
      <c r="X46" s="334"/>
      <c r="Y46" s="334"/>
      <c r="Z46" s="334"/>
      <c r="AA46" s="334"/>
      <c r="AB46" s="99">
        <f t="shared" si="4"/>
        <v>4529109.91</v>
      </c>
      <c r="AC46" s="101" t="str">
        <f t="shared" si="11"/>
        <v>34</v>
      </c>
      <c r="AD46" s="102"/>
      <c r="AE46" s="145" t="s">
        <v>126</v>
      </c>
      <c r="AF46" s="376"/>
      <c r="AG46" s="376"/>
      <c r="AK46" s="105"/>
    </row>
    <row r="47" spans="1:38" s="104" customFormat="1" ht="28.5" customHeight="1">
      <c r="A47" s="202" t="s">
        <v>258</v>
      </c>
      <c r="B47" s="94" t="s">
        <v>141</v>
      </c>
      <c r="C47" s="95" t="s">
        <v>87</v>
      </c>
      <c r="D47" s="112" t="s">
        <v>187</v>
      </c>
      <c r="E47" s="228" t="str">
        <f>VLOOKUP(B47,[2]T3!$B$2:$D$328,3,FALSE)</f>
        <v>025128010</v>
      </c>
      <c r="F47" s="209" t="s">
        <v>216</v>
      </c>
      <c r="G47" s="107" t="s">
        <v>242</v>
      </c>
      <c r="H47" s="96">
        <v>3</v>
      </c>
      <c r="I47" s="98">
        <v>5579155</v>
      </c>
      <c r="J47" s="380">
        <f t="shared" si="6"/>
        <v>334749.3</v>
      </c>
      <c r="K47" s="113"/>
      <c r="L47" s="98"/>
      <c r="M47" s="98">
        <f t="shared" si="0"/>
        <v>5579155</v>
      </c>
      <c r="N47" s="98"/>
      <c r="O47" s="98">
        <f t="shared" si="1"/>
        <v>0</v>
      </c>
      <c r="P47" s="98"/>
      <c r="Q47" s="98">
        <f t="shared" si="2"/>
        <v>5579155</v>
      </c>
      <c r="R47" s="98">
        <f t="shared" si="10"/>
        <v>446332.4</v>
      </c>
      <c r="S47" s="99">
        <f t="shared" si="8"/>
        <v>83687.324999999997</v>
      </c>
      <c r="T47" s="98">
        <f t="shared" si="9"/>
        <v>55791.55</v>
      </c>
      <c r="U47" s="99"/>
      <c r="V47" s="99">
        <f t="shared" si="3"/>
        <v>585811.27500000002</v>
      </c>
      <c r="W47" s="99"/>
      <c r="X47" s="99"/>
      <c r="Y47" s="99"/>
      <c r="Z47" s="99"/>
      <c r="AA47" s="99"/>
      <c r="AB47" s="99">
        <f t="shared" si="4"/>
        <v>4993343.7249999996</v>
      </c>
      <c r="AC47" s="101" t="str">
        <f t="shared" si="11"/>
        <v>35</v>
      </c>
      <c r="AD47" s="102"/>
      <c r="AE47" s="127" t="s">
        <v>115</v>
      </c>
      <c r="AF47" s="109" t="e">
        <f>AF23*4</f>
        <v>#REF!</v>
      </c>
      <c r="AG47" s="120"/>
      <c r="AH47" s="110"/>
      <c r="AI47" s="110"/>
      <c r="AL47" s="111"/>
    </row>
    <row r="48" spans="1:38" s="104" customFormat="1" ht="28.5" customHeight="1">
      <c r="A48" s="202" t="s">
        <v>259</v>
      </c>
      <c r="B48" s="94" t="s">
        <v>163</v>
      </c>
      <c r="C48" s="95"/>
      <c r="D48" s="112" t="s">
        <v>187</v>
      </c>
      <c r="E48" s="228" t="str">
        <f>VLOOKUP(B48,[2]T3!$B$2:$D$328,3,FALSE)</f>
        <v>290936998</v>
      </c>
      <c r="F48" s="209" t="s">
        <v>221</v>
      </c>
      <c r="G48" s="97" t="s">
        <v>242</v>
      </c>
      <c r="H48" s="233">
        <v>5</v>
      </c>
      <c r="I48" s="98">
        <v>6151018</v>
      </c>
      <c r="J48" s="380">
        <f t="shared" si="6"/>
        <v>369061.07999999996</v>
      </c>
      <c r="K48" s="113"/>
      <c r="L48" s="98"/>
      <c r="M48" s="98">
        <f t="shared" si="0"/>
        <v>6151018</v>
      </c>
      <c r="N48" s="98"/>
      <c r="O48" s="98">
        <f t="shared" si="1"/>
        <v>0</v>
      </c>
      <c r="P48" s="98"/>
      <c r="Q48" s="98">
        <f t="shared" si="2"/>
        <v>6151018</v>
      </c>
      <c r="R48" s="98">
        <f t="shared" si="10"/>
        <v>492081.44</v>
      </c>
      <c r="S48" s="99">
        <f t="shared" si="8"/>
        <v>92265.26999999999</v>
      </c>
      <c r="T48" s="98">
        <f t="shared" si="9"/>
        <v>61510.18</v>
      </c>
      <c r="U48" s="99"/>
      <c r="V48" s="99">
        <f t="shared" si="3"/>
        <v>645856.89</v>
      </c>
      <c r="W48" s="99"/>
      <c r="X48" s="99"/>
      <c r="Y48" s="99"/>
      <c r="Z48" s="99"/>
      <c r="AA48" s="99"/>
      <c r="AB48" s="99">
        <f t="shared" si="4"/>
        <v>5505161.1100000003</v>
      </c>
      <c r="AC48" s="101" t="str">
        <f t="shared" si="11"/>
        <v>36</v>
      </c>
      <c r="AD48" s="118"/>
      <c r="AE48" s="155"/>
      <c r="AF48" s="155"/>
      <c r="AG48" s="128"/>
      <c r="AH48" s="110"/>
      <c r="AI48" s="110"/>
      <c r="AL48" s="111"/>
    </row>
    <row r="49" spans="1:39" s="104" customFormat="1" ht="28.5" customHeight="1">
      <c r="A49" s="202" t="s">
        <v>260</v>
      </c>
      <c r="B49" s="94" t="s">
        <v>146</v>
      </c>
      <c r="C49" s="95" t="s">
        <v>63</v>
      </c>
      <c r="D49" s="112" t="s">
        <v>187</v>
      </c>
      <c r="E49" s="228" t="str">
        <f>VLOOKUP(B49,[2]T3!$B$2:$D$328,3,FALSE)</f>
        <v>001186011890</v>
      </c>
      <c r="F49" s="209" t="s">
        <v>222</v>
      </c>
      <c r="G49" s="97" t="s">
        <v>242</v>
      </c>
      <c r="H49" s="233">
        <v>6</v>
      </c>
      <c r="I49" s="98">
        <v>6458569</v>
      </c>
      <c r="J49" s="380">
        <f t="shared" si="6"/>
        <v>387514.14</v>
      </c>
      <c r="K49" s="113"/>
      <c r="L49" s="98"/>
      <c r="M49" s="98">
        <f t="shared" si="0"/>
        <v>6458569</v>
      </c>
      <c r="N49" s="98"/>
      <c r="O49" s="98">
        <f t="shared" si="1"/>
        <v>0</v>
      </c>
      <c r="P49" s="98"/>
      <c r="Q49" s="98">
        <f t="shared" si="2"/>
        <v>6458569</v>
      </c>
      <c r="R49" s="98">
        <f t="shared" si="10"/>
        <v>516685.52</v>
      </c>
      <c r="S49" s="99">
        <f t="shared" si="8"/>
        <v>96878.535000000003</v>
      </c>
      <c r="T49" s="98">
        <f t="shared" si="9"/>
        <v>64585.69</v>
      </c>
      <c r="U49" s="99"/>
      <c r="V49" s="99">
        <f t="shared" si="3"/>
        <v>678149.74500000011</v>
      </c>
      <c r="W49" s="99"/>
      <c r="X49" s="100"/>
      <c r="Y49" s="100"/>
      <c r="Z49" s="100"/>
      <c r="AA49" s="100"/>
      <c r="AB49" s="99">
        <f t="shared" si="4"/>
        <v>5780419.2549999999</v>
      </c>
      <c r="AC49" s="101" t="str">
        <f t="shared" si="11"/>
        <v>37</v>
      </c>
      <c r="AD49" s="255"/>
      <c r="AE49" s="103"/>
      <c r="AF49" s="103" t="s">
        <v>64</v>
      </c>
      <c r="AG49" s="102"/>
      <c r="AH49" s="376"/>
      <c r="AL49" s="105"/>
    </row>
    <row r="50" spans="1:39" s="104" customFormat="1" ht="28.5" customHeight="1">
      <c r="A50" s="202" t="s">
        <v>261</v>
      </c>
      <c r="B50" s="94" t="s">
        <v>362</v>
      </c>
      <c r="C50" s="95"/>
      <c r="D50" s="112" t="s">
        <v>187</v>
      </c>
      <c r="E50" s="228"/>
      <c r="F50" s="209"/>
      <c r="G50" s="97" t="s">
        <v>242</v>
      </c>
      <c r="H50" s="233">
        <v>1</v>
      </c>
      <c r="I50" s="98">
        <v>5060458</v>
      </c>
      <c r="J50" s="380">
        <f t="shared" si="6"/>
        <v>303627.48</v>
      </c>
      <c r="K50" s="113"/>
      <c r="L50" s="98"/>
      <c r="M50" s="98">
        <f t="shared" si="0"/>
        <v>5060458</v>
      </c>
      <c r="N50" s="98"/>
      <c r="O50" s="98">
        <f t="shared" si="1"/>
        <v>0</v>
      </c>
      <c r="P50" s="98"/>
      <c r="Q50" s="98">
        <f t="shared" si="2"/>
        <v>5060458</v>
      </c>
      <c r="R50" s="98">
        <f t="shared" si="10"/>
        <v>404836.64</v>
      </c>
      <c r="S50" s="99">
        <f t="shared" si="8"/>
        <v>75906.87</v>
      </c>
      <c r="T50" s="98">
        <f t="shared" si="9"/>
        <v>50604.58</v>
      </c>
      <c r="U50" s="99"/>
      <c r="V50" s="99">
        <f t="shared" si="3"/>
        <v>531348.09</v>
      </c>
      <c r="W50" s="99"/>
      <c r="X50" s="100"/>
      <c r="Y50" s="100"/>
      <c r="Z50" s="100"/>
      <c r="AA50" s="100"/>
      <c r="AB50" s="99">
        <f t="shared" si="4"/>
        <v>4529109.91</v>
      </c>
      <c r="AC50" s="101" t="str">
        <f t="shared" si="11"/>
        <v>38</v>
      </c>
      <c r="AD50" s="255"/>
      <c r="AE50" s="255" t="s">
        <v>367</v>
      </c>
      <c r="AF50" s="103"/>
      <c r="AG50" s="144"/>
      <c r="AH50" s="376"/>
      <c r="AL50" s="105"/>
    </row>
    <row r="51" spans="1:39" s="104" customFormat="1" ht="36.75" customHeight="1">
      <c r="A51" s="202" t="s">
        <v>262</v>
      </c>
      <c r="B51" s="143" t="s">
        <v>137</v>
      </c>
      <c r="C51" s="95" t="s">
        <v>82</v>
      </c>
      <c r="D51" s="112" t="s">
        <v>188</v>
      </c>
      <c r="E51" s="228" t="str">
        <f>VLOOKUP(B51,[2]T3!$B$2:$D$328,3,FALSE)</f>
        <v>095189000070</v>
      </c>
      <c r="F51" s="209" t="s">
        <v>213</v>
      </c>
      <c r="G51" s="97" t="s">
        <v>242</v>
      </c>
      <c r="H51" s="235">
        <v>5</v>
      </c>
      <c r="I51" s="98">
        <v>6151018</v>
      </c>
      <c r="J51" s="380">
        <f t="shared" si="6"/>
        <v>369061.07999999996</v>
      </c>
      <c r="K51" s="113"/>
      <c r="L51" s="98"/>
      <c r="M51" s="98">
        <f t="shared" si="0"/>
        <v>6151018</v>
      </c>
      <c r="N51" s="98"/>
      <c r="O51" s="98">
        <f t="shared" si="1"/>
        <v>0</v>
      </c>
      <c r="P51" s="98"/>
      <c r="Q51" s="98">
        <f t="shared" si="2"/>
        <v>6151018</v>
      </c>
      <c r="R51" s="98">
        <f t="shared" si="10"/>
        <v>492081.44</v>
      </c>
      <c r="S51" s="99">
        <f t="shared" si="8"/>
        <v>92265.26999999999</v>
      </c>
      <c r="T51" s="98">
        <f t="shared" si="9"/>
        <v>61510.18</v>
      </c>
      <c r="U51" s="99"/>
      <c r="V51" s="99">
        <f t="shared" si="3"/>
        <v>645856.89</v>
      </c>
      <c r="W51" s="99"/>
      <c r="X51" s="99"/>
      <c r="Y51" s="99"/>
      <c r="Z51" s="99"/>
      <c r="AA51" s="99"/>
      <c r="AB51" s="99">
        <f t="shared" si="4"/>
        <v>5505161.1100000003</v>
      </c>
      <c r="AC51" s="101" t="str">
        <f t="shared" si="11"/>
        <v>39</v>
      </c>
      <c r="AD51" s="134"/>
      <c r="AE51" s="102" t="s">
        <v>83</v>
      </c>
      <c r="AF51" s="102" t="s">
        <v>112</v>
      </c>
      <c r="AG51" s="104" t="e">
        <f>#REF!/24</f>
        <v>#REF!</v>
      </c>
      <c r="AH51" s="376"/>
      <c r="AL51" s="105"/>
    </row>
    <row r="52" spans="1:39" s="104" customFormat="1" ht="27" customHeight="1">
      <c r="A52" s="202" t="s">
        <v>263</v>
      </c>
      <c r="B52" s="94" t="s">
        <v>136</v>
      </c>
      <c r="C52" s="331" t="s">
        <v>7</v>
      </c>
      <c r="D52" s="112" t="s">
        <v>189</v>
      </c>
      <c r="E52" s="228" t="str">
        <f>VLOOKUP(B52,[2]T3!$B$2:$D$328,3,FALSE)</f>
        <v>023680986</v>
      </c>
      <c r="F52" s="209" t="s">
        <v>212</v>
      </c>
      <c r="G52" s="97" t="s">
        <v>242</v>
      </c>
      <c r="H52" s="233">
        <v>5</v>
      </c>
      <c r="I52" s="98">
        <v>6151018</v>
      </c>
      <c r="J52" s="380">
        <f t="shared" si="6"/>
        <v>369061.07999999996</v>
      </c>
      <c r="K52" s="113"/>
      <c r="L52" s="98"/>
      <c r="M52" s="98">
        <f t="shared" si="0"/>
        <v>6151018</v>
      </c>
      <c r="N52" s="98"/>
      <c r="O52" s="98">
        <f t="shared" si="1"/>
        <v>0</v>
      </c>
      <c r="P52" s="98"/>
      <c r="Q52" s="98">
        <f t="shared" si="2"/>
        <v>6151018</v>
      </c>
      <c r="R52" s="98">
        <f t="shared" si="10"/>
        <v>492081.44</v>
      </c>
      <c r="S52" s="99">
        <f t="shared" si="8"/>
        <v>92265.26999999999</v>
      </c>
      <c r="T52" s="98">
        <f t="shared" si="9"/>
        <v>61510.18</v>
      </c>
      <c r="U52" s="99"/>
      <c r="V52" s="99">
        <f t="shared" si="3"/>
        <v>645856.89</v>
      </c>
      <c r="W52" s="99"/>
      <c r="X52" s="332"/>
      <c r="Y52" s="332"/>
      <c r="Z52" s="332"/>
      <c r="AA52" s="332"/>
      <c r="AB52" s="99">
        <f t="shared" si="4"/>
        <v>5505161.1100000003</v>
      </c>
      <c r="AC52" s="101" t="str">
        <f t="shared" si="11"/>
        <v>40</v>
      </c>
      <c r="AD52" s="118"/>
      <c r="AE52" s="114" t="s">
        <v>107</v>
      </c>
      <c r="AF52" s="115"/>
      <c r="AG52" s="115" t="e">
        <f>#REF!*2</f>
        <v>#REF!</v>
      </c>
      <c r="AH52" s="115"/>
      <c r="AI52" s="115"/>
      <c r="AL52" s="105"/>
    </row>
    <row r="53" spans="1:39" s="104" customFormat="1" ht="33" customHeight="1">
      <c r="A53" s="202" t="s">
        <v>264</v>
      </c>
      <c r="B53" s="94" t="s">
        <v>301</v>
      </c>
      <c r="C53" s="95"/>
      <c r="D53" s="112" t="s">
        <v>189</v>
      </c>
      <c r="E53" s="228"/>
      <c r="F53" s="223" t="s">
        <v>325</v>
      </c>
      <c r="G53" s="97" t="s">
        <v>242</v>
      </c>
      <c r="H53" s="233">
        <v>1</v>
      </c>
      <c r="I53" s="98">
        <v>5060458</v>
      </c>
      <c r="J53" s="380">
        <f t="shared" si="6"/>
        <v>303627.48</v>
      </c>
      <c r="K53" s="113"/>
      <c r="L53" s="98"/>
      <c r="M53" s="98">
        <f>ROUND(I53+L53,0)</f>
        <v>5060458</v>
      </c>
      <c r="N53" s="98"/>
      <c r="O53" s="98">
        <f>M53/24*N53</f>
        <v>0</v>
      </c>
      <c r="P53" s="98"/>
      <c r="Q53" s="98">
        <f>M53-O53+P53</f>
        <v>5060458</v>
      </c>
      <c r="R53" s="98">
        <f>M53*8%</f>
        <v>404836.64</v>
      </c>
      <c r="S53" s="99">
        <f>M53*1.5%</f>
        <v>75906.87</v>
      </c>
      <c r="T53" s="98">
        <f>M53*1%</f>
        <v>50604.58</v>
      </c>
      <c r="U53" s="99"/>
      <c r="V53" s="99">
        <f>SUM(R53:U53)</f>
        <v>531348.09</v>
      </c>
      <c r="W53" s="99"/>
      <c r="X53" s="100"/>
      <c r="Y53" s="100"/>
      <c r="Z53" s="100"/>
      <c r="AA53" s="100"/>
      <c r="AB53" s="99">
        <f>Q53-V53+X53+Z53+AA53</f>
        <v>4529109.91</v>
      </c>
      <c r="AC53" s="101" t="str">
        <f>A53</f>
        <v>41</v>
      </c>
      <c r="AD53" s="255"/>
      <c r="AE53" s="255" t="s">
        <v>302</v>
      </c>
      <c r="AF53" s="117"/>
      <c r="AG53" s="144"/>
      <c r="AH53" s="376"/>
      <c r="AL53" s="105"/>
    </row>
    <row r="54" spans="1:39" s="104" customFormat="1" ht="35.25" customHeight="1">
      <c r="A54" s="202" t="s">
        <v>265</v>
      </c>
      <c r="B54" s="94" t="s">
        <v>181</v>
      </c>
      <c r="C54" s="95"/>
      <c r="D54" s="112" t="s">
        <v>364</v>
      </c>
      <c r="E54" s="228" t="str">
        <f>VLOOKUP(B54,[2]T3!$B$2:$D$328,3,FALSE)</f>
        <v>025273555</v>
      </c>
      <c r="F54" s="223" t="s">
        <v>223</v>
      </c>
      <c r="G54" s="97" t="s">
        <v>246</v>
      </c>
      <c r="H54" s="233">
        <v>3</v>
      </c>
      <c r="I54" s="98">
        <v>4873050</v>
      </c>
      <c r="J54" s="380">
        <f t="shared" si="6"/>
        <v>292383</v>
      </c>
      <c r="K54" s="113"/>
      <c r="L54" s="98"/>
      <c r="M54" s="98">
        <f t="shared" si="0"/>
        <v>4873050</v>
      </c>
      <c r="N54" s="98"/>
      <c r="O54" s="98">
        <f t="shared" si="1"/>
        <v>0</v>
      </c>
      <c r="P54" s="98"/>
      <c r="Q54" s="98">
        <f t="shared" si="2"/>
        <v>4873050</v>
      </c>
      <c r="R54" s="98">
        <f t="shared" si="10"/>
        <v>389844</v>
      </c>
      <c r="S54" s="99">
        <f t="shared" si="8"/>
        <v>73095.75</v>
      </c>
      <c r="T54" s="98">
        <f t="shared" si="9"/>
        <v>48730.5</v>
      </c>
      <c r="U54" s="99"/>
      <c r="V54" s="99">
        <f t="shared" si="3"/>
        <v>511670.25</v>
      </c>
      <c r="W54" s="99"/>
      <c r="X54" s="100"/>
      <c r="Y54" s="100"/>
      <c r="Z54" s="100"/>
      <c r="AA54" s="100"/>
      <c r="AB54" s="99">
        <f t="shared" si="4"/>
        <v>4361379.75</v>
      </c>
      <c r="AC54" s="101" t="str">
        <f t="shared" si="11"/>
        <v>42</v>
      </c>
      <c r="AD54" s="255"/>
      <c r="AE54" s="145" t="s">
        <v>183</v>
      </c>
      <c r="AF54" s="117"/>
      <c r="AG54" s="144"/>
      <c r="AH54" s="376"/>
      <c r="AL54" s="105"/>
    </row>
    <row r="55" spans="1:39" s="104" customFormat="1" ht="33.75" customHeight="1">
      <c r="A55" s="202" t="s">
        <v>279</v>
      </c>
      <c r="B55" s="94" t="s">
        <v>173</v>
      </c>
      <c r="C55" s="95"/>
      <c r="D55" s="112" t="s">
        <v>364</v>
      </c>
      <c r="E55" s="228" t="str">
        <f>VLOOKUP(B55,[2]T3!$B$2:$D$328,3,FALSE)</f>
        <v>025947357</v>
      </c>
      <c r="F55" s="209" t="s">
        <v>211</v>
      </c>
      <c r="G55" s="97" t="s">
        <v>242</v>
      </c>
      <c r="H55" s="233">
        <v>3</v>
      </c>
      <c r="I55" s="98">
        <v>5579155</v>
      </c>
      <c r="J55" s="380">
        <f t="shared" si="6"/>
        <v>334749.3</v>
      </c>
      <c r="K55" s="113"/>
      <c r="L55" s="98"/>
      <c r="M55" s="98">
        <f t="shared" si="0"/>
        <v>5579155</v>
      </c>
      <c r="N55" s="98"/>
      <c r="O55" s="98">
        <f t="shared" si="1"/>
        <v>0</v>
      </c>
      <c r="P55" s="98"/>
      <c r="Q55" s="98">
        <f t="shared" si="2"/>
        <v>5579155</v>
      </c>
      <c r="R55" s="98">
        <f t="shared" si="10"/>
        <v>446332.4</v>
      </c>
      <c r="S55" s="99">
        <f t="shared" si="8"/>
        <v>83687.324999999997</v>
      </c>
      <c r="T55" s="98">
        <f t="shared" si="9"/>
        <v>55791.55</v>
      </c>
      <c r="U55" s="99"/>
      <c r="V55" s="99">
        <f t="shared" si="3"/>
        <v>585811.27500000002</v>
      </c>
      <c r="W55" s="99"/>
      <c r="X55" s="99"/>
      <c r="Y55" s="99"/>
      <c r="Z55" s="99"/>
      <c r="AA55" s="99"/>
      <c r="AB55" s="99">
        <f t="shared" si="4"/>
        <v>4993343.7249999996</v>
      </c>
      <c r="AC55" s="101" t="str">
        <f t="shared" si="11"/>
        <v>43</v>
      </c>
      <c r="AD55" s="118"/>
      <c r="AE55" s="139" t="s">
        <v>174</v>
      </c>
      <c r="AF55" s="155"/>
      <c r="AG55" s="128"/>
      <c r="AH55" s="110"/>
      <c r="AI55" s="110"/>
      <c r="AL55" s="111"/>
    </row>
    <row r="56" spans="1:39" s="376" customFormat="1" ht="24" customHeight="1">
      <c r="A56" s="202" t="s">
        <v>285</v>
      </c>
      <c r="B56" s="94" t="s">
        <v>143</v>
      </c>
      <c r="C56" s="95" t="s">
        <v>9</v>
      </c>
      <c r="D56" s="112" t="s">
        <v>10</v>
      </c>
      <c r="E56" s="228" t="str">
        <f>VLOOKUP(B56,[2]T3!$B$2:$D$328,3,FALSE)</f>
        <v>273417648</v>
      </c>
      <c r="F56" s="223" t="s">
        <v>219</v>
      </c>
      <c r="G56" s="107" t="s">
        <v>242</v>
      </c>
      <c r="H56" s="96">
        <v>3</v>
      </c>
      <c r="I56" s="98">
        <v>5579155</v>
      </c>
      <c r="J56" s="380">
        <f t="shared" si="6"/>
        <v>334749.3</v>
      </c>
      <c r="K56" s="113"/>
      <c r="L56" s="98"/>
      <c r="M56" s="98">
        <f t="shared" si="0"/>
        <v>5579155</v>
      </c>
      <c r="N56" s="98"/>
      <c r="O56" s="98">
        <f t="shared" si="1"/>
        <v>0</v>
      </c>
      <c r="P56" s="98"/>
      <c r="Q56" s="98">
        <f t="shared" si="2"/>
        <v>5579155</v>
      </c>
      <c r="R56" s="98">
        <f t="shared" si="10"/>
        <v>446332.4</v>
      </c>
      <c r="S56" s="99">
        <f t="shared" si="8"/>
        <v>83687.324999999997</v>
      </c>
      <c r="T56" s="98">
        <f t="shared" si="9"/>
        <v>55791.55</v>
      </c>
      <c r="U56" s="99"/>
      <c r="V56" s="99">
        <f t="shared" si="3"/>
        <v>585811.27500000002</v>
      </c>
      <c r="W56" s="99"/>
      <c r="X56" s="99"/>
      <c r="Y56" s="99"/>
      <c r="Z56" s="99"/>
      <c r="AA56" s="99"/>
      <c r="AB56" s="99">
        <f t="shared" si="4"/>
        <v>4993343.7249999996</v>
      </c>
      <c r="AC56" s="101" t="str">
        <f t="shared" si="11"/>
        <v>44</v>
      </c>
      <c r="AD56" s="102"/>
      <c r="AE56" s="117" t="s">
        <v>116</v>
      </c>
      <c r="AF56" s="109"/>
      <c r="AG56" s="120"/>
      <c r="AH56" s="110" t="e">
        <f>AH58*12</f>
        <v>#REF!</v>
      </c>
      <c r="AI56" s="110"/>
      <c r="AL56" s="111"/>
    </row>
    <row r="57" spans="1:39" s="104" customFormat="1" ht="31.5" customHeight="1">
      <c r="A57" s="202" t="s">
        <v>288</v>
      </c>
      <c r="B57" s="94" t="s">
        <v>309</v>
      </c>
      <c r="C57" s="95"/>
      <c r="D57" s="112" t="s">
        <v>310</v>
      </c>
      <c r="E57" s="228"/>
      <c r="F57" s="223"/>
      <c r="G57" s="97" t="s">
        <v>245</v>
      </c>
      <c r="H57" s="233">
        <v>1</v>
      </c>
      <c r="I57" s="98">
        <v>4729400</v>
      </c>
      <c r="J57" s="380">
        <f t="shared" si="6"/>
        <v>283764</v>
      </c>
      <c r="K57" s="113"/>
      <c r="L57" s="98"/>
      <c r="M57" s="98">
        <f t="shared" si="0"/>
        <v>4729400</v>
      </c>
      <c r="N57" s="98"/>
      <c r="O57" s="98">
        <f t="shared" si="1"/>
        <v>0</v>
      </c>
      <c r="P57" s="98"/>
      <c r="Q57" s="98">
        <f t="shared" si="2"/>
        <v>4729400</v>
      </c>
      <c r="R57" s="98">
        <f t="shared" si="10"/>
        <v>378352</v>
      </c>
      <c r="S57" s="99">
        <f t="shared" si="8"/>
        <v>70941</v>
      </c>
      <c r="T57" s="98">
        <f t="shared" si="9"/>
        <v>47294</v>
      </c>
      <c r="U57" s="99"/>
      <c r="V57" s="99">
        <f t="shared" si="3"/>
        <v>496587</v>
      </c>
      <c r="W57" s="99"/>
      <c r="X57" s="100"/>
      <c r="Y57" s="100"/>
      <c r="Z57" s="100"/>
      <c r="AA57" s="100"/>
      <c r="AB57" s="99">
        <f t="shared" si="4"/>
        <v>4232813</v>
      </c>
      <c r="AC57" s="101" t="str">
        <f t="shared" si="11"/>
        <v>45</v>
      </c>
      <c r="AD57" s="255"/>
      <c r="AE57" s="255" t="s">
        <v>308</v>
      </c>
      <c r="AF57" s="117"/>
      <c r="AG57" s="144"/>
      <c r="AH57" s="376"/>
      <c r="AL57" s="105"/>
    </row>
    <row r="58" spans="1:39" s="104" customFormat="1" ht="30" customHeight="1">
      <c r="A58" s="202" t="s">
        <v>292</v>
      </c>
      <c r="B58" s="94" t="s">
        <v>142</v>
      </c>
      <c r="C58" s="95" t="s">
        <v>114</v>
      </c>
      <c r="D58" s="112" t="s">
        <v>10</v>
      </c>
      <c r="E58" s="228" t="str">
        <f>VLOOKUP(B58,[2]T3!$B$2:$D$328,3,FALSE)</f>
        <v>250835904</v>
      </c>
      <c r="F58" s="223" t="s">
        <v>218</v>
      </c>
      <c r="G58" s="107" t="s">
        <v>242</v>
      </c>
      <c r="H58" s="96">
        <v>3</v>
      </c>
      <c r="I58" s="98">
        <v>5579155</v>
      </c>
      <c r="J58" s="380">
        <f t="shared" si="6"/>
        <v>334749.3</v>
      </c>
      <c r="K58" s="113"/>
      <c r="L58" s="98"/>
      <c r="M58" s="98">
        <f t="shared" si="0"/>
        <v>5579155</v>
      </c>
      <c r="N58" s="98"/>
      <c r="O58" s="98">
        <f t="shared" si="1"/>
        <v>0</v>
      </c>
      <c r="P58" s="98"/>
      <c r="Q58" s="98">
        <f t="shared" si="2"/>
        <v>5579155</v>
      </c>
      <c r="R58" s="98">
        <f t="shared" si="10"/>
        <v>446332.4</v>
      </c>
      <c r="S58" s="99">
        <f t="shared" si="8"/>
        <v>83687.324999999997</v>
      </c>
      <c r="T58" s="98">
        <f t="shared" si="9"/>
        <v>55791.55</v>
      </c>
      <c r="U58" s="99"/>
      <c r="V58" s="99">
        <f t="shared" si="3"/>
        <v>585811.27500000002</v>
      </c>
      <c r="W58" s="99"/>
      <c r="X58" s="99"/>
      <c r="Y58" s="99"/>
      <c r="Z58" s="99"/>
      <c r="AA58" s="99"/>
      <c r="AB58" s="99">
        <f t="shared" si="4"/>
        <v>4993343.7249999996</v>
      </c>
      <c r="AC58" s="101" t="str">
        <f t="shared" si="11"/>
        <v>46</v>
      </c>
      <c r="AD58" s="102"/>
      <c r="AE58" s="127" t="s">
        <v>115</v>
      </c>
      <c r="AF58" s="109"/>
      <c r="AG58" s="120"/>
      <c r="AH58" s="110" t="e">
        <f>#REF!/26</f>
        <v>#REF!</v>
      </c>
      <c r="AI58" s="110"/>
      <c r="AL58" s="111"/>
    </row>
    <row r="59" spans="1:39" s="104" customFormat="1" ht="30" customHeight="1">
      <c r="A59" s="202" t="s">
        <v>293</v>
      </c>
      <c r="B59" s="94" t="s">
        <v>165</v>
      </c>
      <c r="C59" s="159"/>
      <c r="D59" s="112" t="s">
        <v>269</v>
      </c>
      <c r="E59" s="226"/>
      <c r="F59" s="209"/>
      <c r="G59" s="107" t="s">
        <v>242</v>
      </c>
      <c r="H59" s="233">
        <v>12</v>
      </c>
      <c r="I59" s="98">
        <v>8655100</v>
      </c>
      <c r="J59" s="380">
        <f t="shared" si="6"/>
        <v>519306</v>
      </c>
      <c r="K59" s="339">
        <v>0.09</v>
      </c>
      <c r="L59" s="113">
        <f>I59*K59</f>
        <v>778959</v>
      </c>
      <c r="M59" s="98">
        <f t="shared" si="0"/>
        <v>9434059</v>
      </c>
      <c r="N59" s="98"/>
      <c r="O59" s="98">
        <f t="shared" si="1"/>
        <v>0</v>
      </c>
      <c r="P59" s="98"/>
      <c r="Q59" s="98">
        <f t="shared" si="2"/>
        <v>9434059</v>
      </c>
      <c r="R59" s="98">
        <f t="shared" si="10"/>
        <v>754724.72</v>
      </c>
      <c r="S59" s="99">
        <f t="shared" si="8"/>
        <v>141510.88500000001</v>
      </c>
      <c r="T59" s="98">
        <f t="shared" si="9"/>
        <v>94340.59</v>
      </c>
      <c r="U59" s="99"/>
      <c r="V59" s="99">
        <f t="shared" si="3"/>
        <v>990576.19499999995</v>
      </c>
      <c r="W59" s="99"/>
      <c r="X59" s="99"/>
      <c r="Y59" s="99"/>
      <c r="Z59" s="99"/>
      <c r="AA59" s="99"/>
      <c r="AB59" s="99">
        <f t="shared" si="4"/>
        <v>8443482.8049999997</v>
      </c>
      <c r="AC59" s="101" t="str">
        <f t="shared" si="11"/>
        <v>47</v>
      </c>
      <c r="AD59" s="102"/>
      <c r="AE59" s="117"/>
      <c r="AF59" s="375"/>
      <c r="AG59" s="376"/>
      <c r="AH59" s="376"/>
      <c r="AL59" s="105"/>
    </row>
    <row r="60" spans="1:39" s="376" customFormat="1" ht="39" customHeight="1">
      <c r="A60" s="202" t="s">
        <v>313</v>
      </c>
      <c r="B60" s="94" t="s">
        <v>348</v>
      </c>
      <c r="C60" s="95"/>
      <c r="D60" s="112" t="s">
        <v>349</v>
      </c>
      <c r="E60" s="228"/>
      <c r="F60" s="209"/>
      <c r="G60" s="97" t="s">
        <v>245</v>
      </c>
      <c r="H60" s="233">
        <v>4</v>
      </c>
      <c r="I60" s="98">
        <v>5474872</v>
      </c>
      <c r="J60" s="380">
        <f t="shared" si="6"/>
        <v>328492.32</v>
      </c>
      <c r="K60" s="113"/>
      <c r="L60" s="98"/>
      <c r="M60" s="98">
        <f t="shared" si="0"/>
        <v>5474872</v>
      </c>
      <c r="N60" s="98"/>
      <c r="O60" s="98">
        <f t="shared" si="1"/>
        <v>0</v>
      </c>
      <c r="P60" s="98"/>
      <c r="Q60" s="98">
        <f t="shared" si="2"/>
        <v>5474872</v>
      </c>
      <c r="R60" s="98">
        <f t="shared" si="10"/>
        <v>437989.76</v>
      </c>
      <c r="S60" s="99">
        <f t="shared" si="8"/>
        <v>82123.08</v>
      </c>
      <c r="T60" s="98">
        <f t="shared" si="9"/>
        <v>54748.72</v>
      </c>
      <c r="U60" s="99"/>
      <c r="V60" s="99">
        <f t="shared" si="3"/>
        <v>574861.56000000006</v>
      </c>
      <c r="W60" s="99"/>
      <c r="X60" s="99"/>
      <c r="Y60" s="151"/>
      <c r="Z60" s="99"/>
      <c r="AA60" s="99"/>
      <c r="AB60" s="99">
        <f t="shared" si="4"/>
        <v>4900010.4399999995</v>
      </c>
      <c r="AC60" s="101" t="str">
        <f t="shared" si="11"/>
        <v>48</v>
      </c>
      <c r="AD60" s="102"/>
      <c r="AE60" s="102"/>
      <c r="AF60" s="120"/>
      <c r="AG60" s="116"/>
      <c r="AL60" s="375"/>
    </row>
    <row r="61" spans="1:39" s="104" customFormat="1" ht="28.5" customHeight="1">
      <c r="A61" s="202" t="s">
        <v>363</v>
      </c>
      <c r="B61" s="318" t="s">
        <v>280</v>
      </c>
      <c r="C61" s="319"/>
      <c r="D61" s="320" t="s">
        <v>281</v>
      </c>
      <c r="E61" s="230"/>
      <c r="F61" s="321"/>
      <c r="G61" s="322" t="s">
        <v>242</v>
      </c>
      <c r="H61" s="323">
        <v>10</v>
      </c>
      <c r="I61" s="236">
        <v>7850431</v>
      </c>
      <c r="J61" s="381">
        <f t="shared" si="6"/>
        <v>471025.86</v>
      </c>
      <c r="K61" s="324"/>
      <c r="L61" s="236"/>
      <c r="M61" s="236">
        <f t="shared" si="0"/>
        <v>7850431</v>
      </c>
      <c r="N61" s="236"/>
      <c r="O61" s="236">
        <f t="shared" si="1"/>
        <v>0</v>
      </c>
      <c r="P61" s="236"/>
      <c r="Q61" s="236">
        <f t="shared" si="2"/>
        <v>7850431</v>
      </c>
      <c r="R61" s="236">
        <v>0</v>
      </c>
      <c r="S61" s="325">
        <v>0</v>
      </c>
      <c r="T61" s="236">
        <v>0</v>
      </c>
      <c r="U61" s="325"/>
      <c r="V61" s="325">
        <f t="shared" si="3"/>
        <v>0</v>
      </c>
      <c r="W61" s="325"/>
      <c r="X61" s="326"/>
      <c r="Y61" s="326"/>
      <c r="Z61" s="326"/>
      <c r="AA61" s="326"/>
      <c r="AB61" s="325">
        <f t="shared" si="4"/>
        <v>7850431</v>
      </c>
      <c r="AC61" s="327" t="str">
        <f t="shared" si="11"/>
        <v>49</v>
      </c>
      <c r="AD61" s="328"/>
      <c r="AE61" s="255" t="s">
        <v>278</v>
      </c>
      <c r="AF61" s="756" t="s">
        <v>330</v>
      </c>
      <c r="AG61" s="757"/>
      <c r="AH61" s="757"/>
      <c r="AL61" s="105"/>
    </row>
    <row r="62" spans="1:39" ht="33" customHeight="1">
      <c r="A62" s="88"/>
      <c r="B62" s="758" t="s">
        <v>11</v>
      </c>
      <c r="C62" s="759"/>
      <c r="D62" s="161"/>
      <c r="E62" s="161"/>
      <c r="F62" s="82"/>
      <c r="G62" s="82"/>
      <c r="H62" s="363">
        <f>SUM(H13:H61)</f>
        <v>212</v>
      </c>
      <c r="I62" s="80">
        <f>SUM(I13:I61)</f>
        <v>282965402</v>
      </c>
      <c r="J62" s="345"/>
      <c r="K62" s="153">
        <f>SUM(K22:K60)</f>
        <v>0.64</v>
      </c>
      <c r="L62" s="80">
        <f>SUM(L13:L61)</f>
        <v>4936794</v>
      </c>
      <c r="M62" s="80">
        <f>SUM(M13:M61)</f>
        <v>287902196</v>
      </c>
      <c r="N62" s="80"/>
      <c r="O62" s="80">
        <f t="shared" ref="O62:AA62" si="12">SUM(O13:O61)</f>
        <v>0</v>
      </c>
      <c r="P62" s="80">
        <f t="shared" si="12"/>
        <v>0</v>
      </c>
      <c r="Q62" s="80">
        <f>SUM(Q13:Q61)</f>
        <v>287902196</v>
      </c>
      <c r="R62" s="80">
        <f>SUM(R13:R61)-1</f>
        <v>21979062.720000003</v>
      </c>
      <c r="S62" s="80">
        <f t="shared" si="12"/>
        <v>4121074.2600000026</v>
      </c>
      <c r="T62" s="80">
        <f t="shared" si="12"/>
        <v>2747382.8400000003</v>
      </c>
      <c r="U62" s="153">
        <f t="shared" si="12"/>
        <v>0</v>
      </c>
      <c r="V62" s="80">
        <f>SUM(V13:V61)-1</f>
        <v>28847519.819999993</v>
      </c>
      <c r="W62" s="93">
        <f t="shared" si="12"/>
        <v>0</v>
      </c>
      <c r="X62" s="80">
        <f t="shared" si="12"/>
        <v>0</v>
      </c>
      <c r="Y62" s="93">
        <f t="shared" si="12"/>
        <v>0</v>
      </c>
      <c r="Z62" s="80">
        <f t="shared" si="12"/>
        <v>0</v>
      </c>
      <c r="AA62" s="355">
        <f t="shared" si="12"/>
        <v>852000</v>
      </c>
      <c r="AB62" s="80">
        <f>SUM(AB13:AB61)+1</f>
        <v>259906676.18000001</v>
      </c>
      <c r="AC62" s="90"/>
      <c r="AD62" s="91"/>
      <c r="AE62" s="92"/>
      <c r="AF62" s="71" t="s">
        <v>77</v>
      </c>
      <c r="AG62" s="60"/>
      <c r="AH62" s="60"/>
      <c r="AI62" s="42"/>
      <c r="AJ62" s="42"/>
      <c r="AK62" s="42"/>
      <c r="AL62" s="58"/>
      <c r="AM62" s="42"/>
    </row>
    <row r="63" spans="1:39" ht="44.25" hidden="1" customHeight="1">
      <c r="A63" s="6"/>
      <c r="B63" s="142"/>
      <c r="C63" s="64"/>
      <c r="D63" s="162"/>
      <c r="E63" s="162"/>
      <c r="F63" s="204"/>
      <c r="G63" s="47"/>
      <c r="H63" s="46"/>
      <c r="I63" s="52"/>
      <c r="J63" s="344"/>
      <c r="K63" s="46"/>
      <c r="L63" s="52"/>
      <c r="M63" s="52"/>
      <c r="N63" s="52"/>
      <c r="O63" s="52"/>
      <c r="P63" s="52"/>
      <c r="Q63" s="52"/>
      <c r="R63" s="345">
        <v>21574227</v>
      </c>
      <c r="S63" s="345">
        <v>4045167</v>
      </c>
      <c r="T63" s="345">
        <v>2696778</v>
      </c>
      <c r="U63" s="344"/>
      <c r="V63" s="345">
        <v>28316172</v>
      </c>
      <c r="W63" s="344"/>
      <c r="X63" s="344"/>
      <c r="Y63" s="344"/>
      <c r="Z63" s="344"/>
      <c r="AA63" s="344"/>
      <c r="AB63" s="345">
        <v>255377566</v>
      </c>
      <c r="AC63" s="54"/>
      <c r="AD63" s="68"/>
      <c r="AE63" s="68"/>
      <c r="AF63" s="65"/>
      <c r="AG63" s="65"/>
      <c r="AH63" s="65"/>
    </row>
    <row r="64" spans="1:39" ht="18.75" customHeight="1">
      <c r="A64" s="5"/>
      <c r="B64" s="760" t="s">
        <v>12</v>
      </c>
      <c r="C64" s="760"/>
      <c r="D64" s="17" t="s">
        <v>368</v>
      </c>
      <c r="E64" s="17"/>
      <c r="T64" s="18"/>
      <c r="U64" s="18"/>
      <c r="V64" s="18"/>
      <c r="W64" s="18"/>
      <c r="X64" s="18"/>
      <c r="Y64" s="18"/>
      <c r="Z64" s="18"/>
      <c r="AA64" s="352"/>
      <c r="AB64" s="18"/>
      <c r="AC64" s="17"/>
      <c r="AD64" s="67"/>
      <c r="AE64" s="67"/>
      <c r="AF64" s="69"/>
      <c r="AG64" s="60"/>
      <c r="AH64" s="60"/>
    </row>
    <row r="65" spans="1:40" ht="7.5" customHeight="1">
      <c r="A65" s="5"/>
      <c r="B65" s="760"/>
      <c r="C65" s="760"/>
      <c r="D65" s="163"/>
      <c r="E65" s="163"/>
      <c r="F65" s="206"/>
      <c r="G65" s="49"/>
      <c r="H65" s="49"/>
      <c r="I65" s="50"/>
      <c r="J65" s="346"/>
      <c r="K65" s="50"/>
      <c r="L65" s="50"/>
      <c r="M65" s="50"/>
      <c r="N65" s="50"/>
      <c r="O65" s="50"/>
      <c r="P65" s="50"/>
      <c r="Q65" s="50"/>
      <c r="R65" s="50"/>
      <c r="S65" s="50"/>
      <c r="T65" s="50"/>
      <c r="U65" s="50"/>
      <c r="V65" s="50"/>
      <c r="W65" s="50"/>
      <c r="X65" s="50"/>
      <c r="Y65" s="50"/>
      <c r="Z65" s="50"/>
      <c r="AA65" s="356"/>
      <c r="AB65" s="50"/>
      <c r="AC65" s="761"/>
      <c r="AD65" s="761"/>
      <c r="AE65" s="50"/>
      <c r="AF65" s="750" t="e">
        <f>1000000-#REF!</f>
        <v>#REF!</v>
      </c>
      <c r="AG65" s="747"/>
      <c r="AH65" s="747"/>
    </row>
    <row r="66" spans="1:40" ht="21" customHeight="1">
      <c r="A66" s="5"/>
      <c r="B66" s="747"/>
      <c r="C66" s="747"/>
      <c r="D66" s="7"/>
      <c r="E66" s="7"/>
      <c r="F66" s="207"/>
      <c r="G66" s="5"/>
      <c r="H66" s="5"/>
      <c r="T66" s="762" t="s">
        <v>365</v>
      </c>
      <c r="U66" s="762"/>
      <c r="V66" s="762"/>
      <c r="W66" s="762"/>
      <c r="X66" s="762"/>
      <c r="Y66" s="762"/>
      <c r="Z66" s="762"/>
      <c r="AA66" s="762"/>
      <c r="AB66" s="762"/>
      <c r="AC66" s="762"/>
      <c r="AD66" s="762"/>
      <c r="AE66" s="763"/>
      <c r="AF66" s="747"/>
      <c r="AG66" s="747"/>
      <c r="AH66" s="747"/>
    </row>
    <row r="67" spans="1:40" ht="15.75" customHeight="1">
      <c r="A67" s="751" t="s">
        <v>13</v>
      </c>
      <c r="B67" s="751"/>
      <c r="C67" s="751"/>
      <c r="D67" s="751"/>
      <c r="E67" s="751"/>
      <c r="F67" s="751"/>
      <c r="G67" s="751"/>
      <c r="H67" s="751"/>
      <c r="I67" s="751" t="s">
        <v>182</v>
      </c>
      <c r="J67" s="751"/>
      <c r="K67" s="751"/>
      <c r="L67" s="751"/>
      <c r="M67" s="751"/>
      <c r="N67" s="751"/>
      <c r="O67" s="751"/>
      <c r="P67" s="751"/>
      <c r="Q67" s="751"/>
      <c r="R67" s="751"/>
      <c r="S67" s="751"/>
      <c r="T67" s="765" t="s">
        <v>14</v>
      </c>
      <c r="U67" s="765"/>
      <c r="V67" s="765"/>
      <c r="W67" s="765"/>
      <c r="X67" s="765"/>
      <c r="Y67" s="765"/>
      <c r="Z67" s="765"/>
      <c r="AA67" s="765"/>
      <c r="AB67" s="765"/>
      <c r="AC67" s="765"/>
      <c r="AD67" s="765"/>
      <c r="AE67" s="764"/>
      <c r="AF67" s="752"/>
      <c r="AG67" s="752"/>
      <c r="AH67" s="752"/>
    </row>
    <row r="68" spans="1:40" ht="15.75" customHeight="1">
      <c r="A68" s="5"/>
      <c r="B68" s="749"/>
      <c r="C68" s="749"/>
      <c r="D68" s="7"/>
      <c r="E68" s="7"/>
      <c r="F68" s="207"/>
      <c r="G68" s="5"/>
      <c r="H68" s="5"/>
      <c r="I68" s="4"/>
      <c r="J68" s="382"/>
      <c r="K68" s="4"/>
      <c r="L68" s="4"/>
      <c r="M68" s="4"/>
      <c r="N68" s="4"/>
      <c r="O68" s="4"/>
      <c r="P68" s="4"/>
      <c r="Q68" s="4"/>
      <c r="R68" s="70"/>
      <c r="S68" s="4"/>
      <c r="T68" s="4"/>
      <c r="U68" s="4"/>
      <c r="V68" s="4"/>
      <c r="W68" s="4"/>
      <c r="AC68" s="749"/>
      <c r="AD68" s="749"/>
      <c r="AE68" s="4"/>
      <c r="AF68" s="747"/>
      <c r="AG68" s="747"/>
      <c r="AH68" s="747"/>
    </row>
    <row r="69" spans="1:40" ht="15.75" customHeight="1">
      <c r="A69" s="5"/>
      <c r="B69" s="747"/>
      <c r="C69" s="747"/>
      <c r="D69" s="7"/>
      <c r="E69" s="7"/>
      <c r="F69" s="207"/>
      <c r="G69" s="5"/>
      <c r="H69" s="5"/>
      <c r="I69" s="4"/>
      <c r="J69" s="382"/>
      <c r="K69" s="4"/>
      <c r="L69" s="4"/>
      <c r="M69" s="4"/>
      <c r="N69" s="4"/>
      <c r="O69" s="4"/>
      <c r="P69" s="4"/>
      <c r="Q69" s="4"/>
      <c r="R69" s="4"/>
      <c r="T69" s="157"/>
      <c r="U69" s="157"/>
      <c r="V69" s="157"/>
      <c r="W69" s="157"/>
      <c r="X69" s="157"/>
      <c r="Y69" s="157"/>
      <c r="Z69" s="157"/>
      <c r="AA69" s="358"/>
      <c r="AB69" s="157"/>
      <c r="AC69" s="157"/>
      <c r="AD69" s="157"/>
      <c r="AE69" s="157"/>
      <c r="AF69" s="157"/>
      <c r="AG69" s="75"/>
      <c r="AH69" s="75"/>
      <c r="AI69" s="75"/>
      <c r="AJ69" s="75"/>
      <c r="AK69" s="75"/>
      <c r="AL69" s="75"/>
      <c r="AM69" s="75"/>
      <c r="AN69" s="75"/>
    </row>
    <row r="70" spans="1:40" ht="15.75" customHeight="1">
      <c r="A70" s="5"/>
      <c r="C70" s="5"/>
      <c r="D70" s="7"/>
      <c r="E70" s="7"/>
      <c r="F70" s="207"/>
      <c r="G70" s="5"/>
      <c r="H70" s="5"/>
      <c r="I70" s="4"/>
      <c r="J70" s="382"/>
      <c r="K70" s="4"/>
      <c r="L70" s="4"/>
      <c r="M70" s="4"/>
      <c r="N70" s="4"/>
      <c r="O70" s="4"/>
      <c r="P70" s="4"/>
      <c r="Q70" s="4"/>
      <c r="R70" s="4"/>
      <c r="S70" s="4"/>
      <c r="T70" s="4"/>
      <c r="U70" s="4"/>
      <c r="V70" s="4"/>
      <c r="W70" s="4"/>
      <c r="AD70" s="75"/>
      <c r="AE70" s="75"/>
      <c r="AF70" s="75"/>
      <c r="AG70" s="75"/>
      <c r="AH70" s="75"/>
      <c r="AI70" s="75"/>
      <c r="AJ70" s="75"/>
      <c r="AK70" s="75"/>
      <c r="AL70" s="75"/>
      <c r="AM70" s="75"/>
      <c r="AN70" s="75"/>
    </row>
    <row r="71" spans="1:40" ht="9.75" customHeight="1">
      <c r="A71" s="5"/>
      <c r="B71" s="747"/>
      <c r="C71" s="747"/>
      <c r="D71" s="7"/>
      <c r="E71" s="7"/>
      <c r="F71" s="207"/>
      <c r="G71" s="5"/>
      <c r="H71" s="5"/>
      <c r="I71" s="4"/>
      <c r="J71" s="382"/>
      <c r="K71" s="4"/>
      <c r="L71" s="4"/>
      <c r="M71" s="4"/>
      <c r="N71" s="4"/>
      <c r="O71" s="4"/>
      <c r="P71" s="4"/>
      <c r="Q71" s="4"/>
      <c r="R71" s="4"/>
      <c r="S71" s="4"/>
      <c r="T71" s="4"/>
      <c r="U71" s="4"/>
      <c r="V71" s="4"/>
      <c r="W71" s="4"/>
      <c r="AC71" s="749"/>
      <c r="AD71" s="749"/>
      <c r="AE71" s="4"/>
      <c r="AF71" s="750"/>
      <c r="AG71" s="747"/>
      <c r="AH71" s="747"/>
    </row>
    <row r="72" spans="1:40" ht="15.75" customHeight="1">
      <c r="A72" s="5"/>
      <c r="B72" s="747"/>
      <c r="C72" s="747"/>
      <c r="D72" s="7"/>
      <c r="E72" s="7"/>
      <c r="F72" s="207"/>
      <c r="G72" s="5"/>
      <c r="H72" s="5"/>
      <c r="I72" s="4"/>
      <c r="J72" s="382"/>
      <c r="K72" s="4"/>
      <c r="L72" s="4"/>
      <c r="M72" s="4"/>
      <c r="N72" s="4"/>
      <c r="O72" s="4"/>
      <c r="P72" s="4"/>
      <c r="Q72" s="4"/>
      <c r="R72" s="4"/>
      <c r="S72" s="4"/>
      <c r="T72" s="4"/>
      <c r="U72" s="4"/>
      <c r="V72" s="4"/>
      <c r="W72" s="4"/>
      <c r="AC72" s="749"/>
      <c r="AD72" s="749"/>
      <c r="AE72" s="4"/>
      <c r="AF72" s="750"/>
      <c r="AG72" s="747"/>
      <c r="AH72" s="747"/>
    </row>
    <row r="73" spans="1:40" ht="15.75" customHeight="1">
      <c r="A73" s="5"/>
      <c r="B73" s="747"/>
      <c r="C73" s="747"/>
      <c r="D73" s="7"/>
      <c r="E73" s="7"/>
      <c r="F73" s="207"/>
      <c r="G73" s="5"/>
      <c r="H73" s="5"/>
      <c r="I73" s="4"/>
      <c r="J73" s="382"/>
      <c r="K73" s="4"/>
      <c r="L73" s="4"/>
      <c r="M73" s="4"/>
      <c r="N73" s="4"/>
      <c r="O73" s="4"/>
      <c r="P73" s="4"/>
      <c r="Q73" s="4"/>
      <c r="R73" s="4"/>
      <c r="S73" s="4"/>
      <c r="T73" s="4"/>
      <c r="U73" s="4"/>
      <c r="V73" s="4"/>
      <c r="W73" s="4"/>
      <c r="AC73" s="749"/>
      <c r="AD73" s="749"/>
      <c r="AE73" s="4"/>
      <c r="AF73" s="750"/>
      <c r="AG73" s="747"/>
      <c r="AH73" s="747"/>
    </row>
    <row r="74" spans="1:40" ht="15.75" customHeight="1">
      <c r="A74" s="751" t="s">
        <v>225</v>
      </c>
      <c r="B74" s="751"/>
      <c r="C74" s="751"/>
      <c r="D74" s="751"/>
      <c r="E74" s="751"/>
      <c r="F74" s="751"/>
      <c r="G74" s="751"/>
      <c r="H74" s="751"/>
      <c r="I74" s="751" t="s">
        <v>122</v>
      </c>
      <c r="J74" s="751"/>
      <c r="K74" s="751"/>
      <c r="L74" s="751"/>
      <c r="M74" s="751"/>
      <c r="N74" s="751"/>
      <c r="O74" s="751"/>
      <c r="P74" s="751"/>
      <c r="Q74" s="751"/>
      <c r="R74" s="751"/>
      <c r="S74" s="751"/>
      <c r="T74" s="751" t="s">
        <v>119</v>
      </c>
      <c r="U74" s="751"/>
      <c r="V74" s="751"/>
      <c r="W74" s="751"/>
      <c r="X74" s="751"/>
      <c r="Y74" s="751"/>
      <c r="Z74" s="751"/>
      <c r="AA74" s="751"/>
      <c r="AB74" s="751"/>
      <c r="AC74" s="751"/>
      <c r="AD74" s="751"/>
      <c r="AE74" s="8"/>
      <c r="AF74" s="752"/>
      <c r="AG74" s="752"/>
      <c r="AH74" s="752"/>
    </row>
    <row r="75" spans="1:40">
      <c r="A75" s="61"/>
      <c r="B75" s="63"/>
      <c r="C75" s="62"/>
      <c r="D75" s="164"/>
      <c r="E75" s="164"/>
      <c r="F75" s="208"/>
      <c r="G75" s="63"/>
      <c r="H75" s="63"/>
      <c r="I75" s="63"/>
      <c r="J75" s="349"/>
      <c r="K75" s="51"/>
      <c r="L75" s="63"/>
      <c r="M75" s="63"/>
      <c r="N75" s="63"/>
      <c r="O75" s="63"/>
      <c r="P75" s="63"/>
      <c r="Q75" s="63"/>
      <c r="R75" s="63"/>
      <c r="S75" s="63"/>
      <c r="T75" s="63"/>
      <c r="U75" s="63"/>
      <c r="V75" s="63"/>
      <c r="W75" s="63"/>
      <c r="X75" s="63"/>
      <c r="Y75" s="63"/>
      <c r="Z75" s="63"/>
      <c r="AA75" s="359"/>
      <c r="AB75" s="63"/>
      <c r="AC75" s="753"/>
      <c r="AD75" s="753"/>
      <c r="AE75" s="51"/>
      <c r="AF75" s="750"/>
      <c r="AG75" s="747"/>
      <c r="AH75" s="747"/>
    </row>
    <row r="76" spans="1:40">
      <c r="B76" s="30"/>
      <c r="C76" s="19"/>
      <c r="G76" s="30"/>
      <c r="H76" s="30"/>
      <c r="AC76" s="748"/>
      <c r="AD76" s="748"/>
      <c r="AE76" s="45"/>
      <c r="AF76" s="747"/>
      <c r="AG76" s="747"/>
      <c r="AH76" s="747"/>
    </row>
    <row r="77" spans="1:40">
      <c r="A77" s="5"/>
      <c r="B77" s="747"/>
      <c r="C77" s="747"/>
      <c r="AC77" s="748"/>
      <c r="AD77" s="748"/>
      <c r="AE77" s="45"/>
      <c r="AF77" s="747"/>
      <c r="AG77" s="747"/>
      <c r="AH77" s="747"/>
    </row>
    <row r="78" spans="1:40">
      <c r="A78" s="5"/>
      <c r="B78" s="747"/>
      <c r="C78" s="747"/>
      <c r="AC78" s="748"/>
      <c r="AD78" s="748"/>
      <c r="AE78" s="45"/>
      <c r="AF78" s="747"/>
      <c r="AG78" s="747"/>
      <c r="AH78" s="747"/>
    </row>
    <row r="79" spans="1:40">
      <c r="A79" s="5"/>
      <c r="B79" s="747"/>
      <c r="C79" s="747"/>
      <c r="AC79" s="748"/>
      <c r="AD79" s="748"/>
      <c r="AE79" s="45"/>
      <c r="AF79" s="747"/>
      <c r="AG79" s="747"/>
      <c r="AH79" s="747"/>
    </row>
    <row r="80" spans="1:40">
      <c r="A80" s="5"/>
      <c r="B80" s="747"/>
      <c r="C80" s="747"/>
      <c r="AC80" s="748"/>
      <c r="AD80" s="748"/>
      <c r="AE80" s="45"/>
      <c r="AF80" s="747"/>
      <c r="AG80" s="747"/>
      <c r="AH80" s="747"/>
    </row>
    <row r="81" spans="1:34">
      <c r="A81" s="5"/>
      <c r="B81" s="747"/>
      <c r="C81" s="747"/>
      <c r="AC81" s="748"/>
      <c r="AD81" s="748"/>
      <c r="AE81" s="45"/>
      <c r="AF81" s="747"/>
      <c r="AG81" s="747"/>
      <c r="AH81" s="747"/>
    </row>
    <row r="82" spans="1:34">
      <c r="A82" s="5"/>
      <c r="B82" s="747"/>
      <c r="C82" s="747"/>
      <c r="AC82" s="748"/>
      <c r="AD82" s="748"/>
      <c r="AE82" s="45"/>
      <c r="AF82" s="747"/>
      <c r="AG82" s="747"/>
      <c r="AH82" s="747"/>
    </row>
    <row r="83" spans="1:34">
      <c r="A83" s="5"/>
      <c r="B83" s="747"/>
      <c r="C83" s="747"/>
      <c r="AC83" s="748"/>
      <c r="AD83" s="748"/>
      <c r="AE83" s="45"/>
      <c r="AF83" s="747"/>
      <c r="AG83" s="747"/>
      <c r="AH83" s="747"/>
    </row>
    <row r="84" spans="1:34">
      <c r="A84" s="5"/>
      <c r="B84" s="747"/>
      <c r="C84" s="747"/>
      <c r="AC84" s="748"/>
      <c r="AD84" s="748"/>
      <c r="AE84" s="45"/>
      <c r="AF84" s="747"/>
      <c r="AG84" s="747"/>
      <c r="AH84" s="747"/>
    </row>
    <row r="85" spans="1:34">
      <c r="A85" s="5"/>
      <c r="B85" s="747"/>
      <c r="C85" s="747"/>
      <c r="AC85" s="748"/>
      <c r="AD85" s="748"/>
      <c r="AE85" s="45"/>
      <c r="AF85" s="747"/>
      <c r="AG85" s="747"/>
      <c r="AH85" s="747"/>
    </row>
    <row r="86" spans="1:34">
      <c r="A86" s="5"/>
      <c r="B86" s="747"/>
      <c r="C86" s="747"/>
      <c r="AC86" s="748"/>
      <c r="AD86" s="748"/>
      <c r="AE86" s="45"/>
      <c r="AF86" s="747"/>
      <c r="AG86" s="747"/>
      <c r="AH86" s="747"/>
    </row>
    <row r="87" spans="1:34">
      <c r="A87" s="5"/>
      <c r="B87" s="747"/>
      <c r="C87" s="747"/>
      <c r="AC87" s="748"/>
      <c r="AD87" s="748"/>
      <c r="AE87" s="45"/>
      <c r="AF87" s="747"/>
      <c r="AG87" s="747"/>
      <c r="AH87" s="747"/>
    </row>
    <row r="88" spans="1:34">
      <c r="A88" s="5"/>
      <c r="B88" s="747"/>
      <c r="C88" s="747"/>
      <c r="AC88" s="748"/>
      <c r="AD88" s="748"/>
      <c r="AE88" s="45"/>
      <c r="AF88" s="747"/>
      <c r="AG88" s="747"/>
      <c r="AH88" s="747"/>
    </row>
    <row r="89" spans="1:34">
      <c r="A89" s="5"/>
      <c r="B89" s="747"/>
      <c r="C89" s="747"/>
      <c r="AC89" s="748"/>
      <c r="AD89" s="748"/>
      <c r="AE89" s="45"/>
      <c r="AF89" s="747"/>
      <c r="AG89" s="747"/>
      <c r="AH89" s="747"/>
    </row>
    <row r="90" spans="1:34">
      <c r="A90" s="5"/>
      <c r="B90" s="747"/>
      <c r="C90" s="747"/>
      <c r="AC90" s="748"/>
      <c r="AD90" s="748"/>
      <c r="AE90" s="45"/>
      <c r="AF90" s="747"/>
      <c r="AG90" s="747"/>
      <c r="AH90" s="747"/>
    </row>
    <row r="91" spans="1:34">
      <c r="A91" s="5"/>
      <c r="B91" s="747"/>
      <c r="C91" s="747"/>
      <c r="AC91" s="748"/>
      <c r="AD91" s="748"/>
      <c r="AE91" s="45"/>
      <c r="AF91" s="747"/>
      <c r="AG91" s="747"/>
      <c r="AH91" s="747"/>
    </row>
    <row r="92" spans="1:34">
      <c r="A92" s="5"/>
      <c r="B92" s="747"/>
      <c r="C92" s="747"/>
      <c r="AC92" s="748"/>
      <c r="AD92" s="748"/>
      <c r="AE92" s="45"/>
      <c r="AF92" s="747"/>
      <c r="AG92" s="747"/>
      <c r="AH92" s="747"/>
    </row>
    <row r="93" spans="1:34">
      <c r="A93" s="5"/>
      <c r="B93" s="747"/>
      <c r="C93" s="747"/>
      <c r="AC93" s="748"/>
      <c r="AD93" s="748"/>
      <c r="AE93" s="45"/>
      <c r="AF93" s="747"/>
      <c r="AG93" s="747"/>
      <c r="AH93" s="747"/>
    </row>
  </sheetData>
  <mergeCells count="124">
    <mergeCell ref="A1:H1"/>
    <mergeCell ref="A2:H2"/>
    <mergeCell ref="C3:D3"/>
    <mergeCell ref="R3:AB3"/>
    <mergeCell ref="AC3:AD3"/>
    <mergeCell ref="AG3:AH3"/>
    <mergeCell ref="AI3:AJ3"/>
    <mergeCell ref="A4:AD4"/>
    <mergeCell ref="A5:AD5"/>
    <mergeCell ref="D6:H6"/>
    <mergeCell ref="D7:H7"/>
    <mergeCell ref="D8:H8"/>
    <mergeCell ref="A10:A11"/>
    <mergeCell ref="B10:C11"/>
    <mergeCell ref="D10:D11"/>
    <mergeCell ref="E10:E11"/>
    <mergeCell ref="F10:F11"/>
    <mergeCell ref="G10:G11"/>
    <mergeCell ref="H10:H11"/>
    <mergeCell ref="I10:I11"/>
    <mergeCell ref="K10:K11"/>
    <mergeCell ref="L10:L11"/>
    <mergeCell ref="M10:M11"/>
    <mergeCell ref="N10:N11"/>
    <mergeCell ref="J10:J11"/>
    <mergeCell ref="O10:O11"/>
    <mergeCell ref="P10:P11"/>
    <mergeCell ref="Q10:Q11"/>
    <mergeCell ref="R10:V10"/>
    <mergeCell ref="W10:X10"/>
    <mergeCell ref="Y10:Z10"/>
    <mergeCell ref="AA10:AA11"/>
    <mergeCell ref="AB10:AB11"/>
    <mergeCell ref="AC10:AD11"/>
    <mergeCell ref="AK10:AK11"/>
    <mergeCell ref="AC12:AD12"/>
    <mergeCell ref="AF22:AH22"/>
    <mergeCell ref="AF42:AI42"/>
    <mergeCell ref="AF61:AH61"/>
    <mergeCell ref="B62:C62"/>
    <mergeCell ref="B64:C64"/>
    <mergeCell ref="B65:C65"/>
    <mergeCell ref="AC65:AD65"/>
    <mergeCell ref="AF65:AH65"/>
    <mergeCell ref="B66:C66"/>
    <mergeCell ref="T66:AD66"/>
    <mergeCell ref="AE66:AE67"/>
    <mergeCell ref="AF66:AH66"/>
    <mergeCell ref="A67:H67"/>
    <mergeCell ref="I67:S67"/>
    <mergeCell ref="T67:AD67"/>
    <mergeCell ref="AF67:AH67"/>
    <mergeCell ref="B68:C68"/>
    <mergeCell ref="AC68:AD68"/>
    <mergeCell ref="AF68:AH68"/>
    <mergeCell ref="B69:C69"/>
    <mergeCell ref="B71:C71"/>
    <mergeCell ref="AC71:AD71"/>
    <mergeCell ref="AF71:AH71"/>
    <mergeCell ref="B72:C72"/>
    <mergeCell ref="AC72:AD72"/>
    <mergeCell ref="AF72:AH72"/>
    <mergeCell ref="B73:C73"/>
    <mergeCell ref="AC73:AD73"/>
    <mergeCell ref="AF73:AH73"/>
    <mergeCell ref="A74:H74"/>
    <mergeCell ref="I74:S74"/>
    <mergeCell ref="T74:AD74"/>
    <mergeCell ref="AF74:AH74"/>
    <mergeCell ref="AC75:AD75"/>
    <mergeCell ref="AF75:AH75"/>
    <mergeCell ref="AC76:AD76"/>
    <mergeCell ref="AF76:AH76"/>
    <mergeCell ref="B77:C77"/>
    <mergeCell ref="AC77:AD77"/>
    <mergeCell ref="AF77:AH77"/>
    <mergeCell ref="B78:C78"/>
    <mergeCell ref="AC78:AD78"/>
    <mergeCell ref="AF78:AH78"/>
    <mergeCell ref="B79:C79"/>
    <mergeCell ref="AC79:AD79"/>
    <mergeCell ref="AF79:AH79"/>
    <mergeCell ref="B80:C80"/>
    <mergeCell ref="AC80:AD80"/>
    <mergeCell ref="AF80:AH80"/>
    <mergeCell ref="B81:C81"/>
    <mergeCell ref="AC81:AD81"/>
    <mergeCell ref="AF81:AH81"/>
    <mergeCell ref="B82:C82"/>
    <mergeCell ref="AC82:AD82"/>
    <mergeCell ref="AF82:AH82"/>
    <mergeCell ref="B83:C83"/>
    <mergeCell ref="AC83:AD83"/>
    <mergeCell ref="AF83:AH83"/>
    <mergeCell ref="B84:C84"/>
    <mergeCell ref="AC84:AD84"/>
    <mergeCell ref="AF84:AH84"/>
    <mergeCell ref="B85:C85"/>
    <mergeCell ref="AC85:AD85"/>
    <mergeCell ref="AF85:AH85"/>
    <mergeCell ref="B86:C86"/>
    <mergeCell ref="AC86:AD86"/>
    <mergeCell ref="AF86:AH86"/>
    <mergeCell ref="B87:C87"/>
    <mergeCell ref="AC87:AD87"/>
    <mergeCell ref="AF87:AH87"/>
    <mergeCell ref="B88:C88"/>
    <mergeCell ref="AC88:AD88"/>
    <mergeCell ref="AF88:AH88"/>
    <mergeCell ref="B89:C89"/>
    <mergeCell ref="AC89:AD89"/>
    <mergeCell ref="AF89:AH89"/>
    <mergeCell ref="B90:C90"/>
    <mergeCell ref="AC90:AD90"/>
    <mergeCell ref="AF90:AH90"/>
    <mergeCell ref="B93:C93"/>
    <mergeCell ref="AC93:AD93"/>
    <mergeCell ref="AF93:AH93"/>
    <mergeCell ref="B91:C91"/>
    <mergeCell ref="AC91:AD91"/>
    <mergeCell ref="AF91:AH91"/>
    <mergeCell ref="B92:C92"/>
    <mergeCell ref="AC92:AD92"/>
    <mergeCell ref="AF92:AH92"/>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100"/>
  <sheetViews>
    <sheetView topLeftCell="A67" workbookViewId="0">
      <selection activeCell="B10" sqref="B10:C11"/>
    </sheetView>
  </sheetViews>
  <sheetFormatPr defaultRowHeight="15"/>
  <cols>
    <col min="1" max="1" width="3.375" style="16" customWidth="1"/>
    <col min="2" max="2" width="15.375" style="44" customWidth="1"/>
    <col min="3" max="3" width="8.875" style="16" hidden="1" customWidth="1"/>
    <col min="4" max="4" width="11.25" style="165" customWidth="1"/>
    <col min="5" max="5" width="13" style="165" hidden="1" customWidth="1"/>
    <col min="6" max="6" width="17.125" style="205" hidden="1" customWidth="1"/>
    <col min="7" max="7" width="7.25" style="44" customWidth="1"/>
    <col min="8" max="8" width="6.625" style="44" customWidth="1"/>
    <col min="9" max="9" width="8.375" style="44" bestFit="1" customWidth="1"/>
    <col min="10" max="10" width="5.5" style="45" hidden="1" customWidth="1"/>
    <col min="11" max="11" width="8.375" style="44" customWidth="1"/>
    <col min="12" max="12" width="8.125" style="44" customWidth="1"/>
    <col min="13" max="13" width="1.6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25" style="44" customWidth="1"/>
    <col min="23" max="23" width="5.125" style="44" customWidth="1"/>
    <col min="24" max="24" width="4.375" style="44" customWidth="1"/>
    <col min="25" max="25" width="5.25" style="44" customWidth="1"/>
    <col min="26" max="26" width="7.625" style="357" bestFit="1" customWidth="1"/>
    <col min="27" max="27" width="11.75" style="44" customWidth="1"/>
    <col min="28" max="28" width="2.5" style="44" customWidth="1"/>
    <col min="29" max="29" width="16.75" style="6" customWidth="1"/>
    <col min="30" max="30" width="20.25" style="6" customWidth="1"/>
    <col min="31" max="36" width="9" style="16"/>
    <col min="37" max="37" width="9" style="55"/>
    <col min="38" max="16384" width="9" style="16"/>
  </cols>
  <sheetData>
    <row r="1" spans="1:38" ht="16.5">
      <c r="A1" s="793" t="s">
        <v>78</v>
      </c>
      <c r="B1" s="793"/>
      <c r="C1" s="793"/>
      <c r="D1" s="793"/>
      <c r="E1" s="793"/>
      <c r="F1" s="793"/>
      <c r="G1" s="793"/>
      <c r="H1" s="793"/>
      <c r="I1" s="17"/>
      <c r="J1" s="8"/>
      <c r="K1" s="17"/>
      <c r="L1" s="17"/>
      <c r="M1" s="17"/>
      <c r="N1" s="17"/>
      <c r="O1" s="17"/>
      <c r="P1" s="17"/>
      <c r="Q1" s="17"/>
      <c r="R1" s="17"/>
      <c r="S1" s="17"/>
      <c r="T1" s="17"/>
      <c r="U1" s="17"/>
      <c r="V1" s="17"/>
      <c r="W1" s="17"/>
      <c r="X1" s="17"/>
      <c r="Y1" s="17"/>
      <c r="Z1" s="351"/>
      <c r="AA1" s="17"/>
      <c r="AB1" s="17"/>
      <c r="AC1" s="17"/>
      <c r="AD1" s="8"/>
      <c r="AE1" s="17"/>
      <c r="AF1" s="17"/>
      <c r="AG1" s="17"/>
      <c r="AH1" s="17"/>
      <c r="AI1" s="15"/>
    </row>
    <row r="2" spans="1:38" ht="16.5">
      <c r="A2" s="751" t="s">
        <v>185</v>
      </c>
      <c r="B2" s="751"/>
      <c r="C2" s="751"/>
      <c r="D2" s="751"/>
      <c r="E2" s="751"/>
      <c r="F2" s="751"/>
      <c r="G2" s="751"/>
      <c r="H2" s="751"/>
      <c r="I2" s="18"/>
      <c r="J2" s="24"/>
      <c r="K2" s="18"/>
      <c r="L2" s="18"/>
      <c r="M2" s="18"/>
      <c r="N2" s="18"/>
      <c r="O2" s="18"/>
      <c r="P2" s="18"/>
      <c r="Q2" s="18"/>
      <c r="R2" s="18"/>
      <c r="S2" s="18"/>
      <c r="T2" s="18"/>
      <c r="U2" s="18"/>
      <c r="V2" s="18"/>
      <c r="W2" s="18"/>
      <c r="X2" s="18"/>
      <c r="Y2" s="18"/>
      <c r="Z2" s="352"/>
      <c r="AA2" s="18"/>
      <c r="AB2" s="18"/>
      <c r="AC2" s="18"/>
      <c r="AD2" s="24"/>
      <c r="AE2" s="18"/>
      <c r="AF2" s="18"/>
      <c r="AG2" s="18"/>
      <c r="AH2" s="18"/>
      <c r="AI2" s="15"/>
    </row>
    <row r="3" spans="1:38" ht="3.75" customHeight="1">
      <c r="A3" s="4"/>
      <c r="B3" s="45"/>
      <c r="C3" s="749"/>
      <c r="D3" s="749"/>
      <c r="E3" s="4"/>
      <c r="F3" s="37"/>
      <c r="G3" s="4"/>
      <c r="H3" s="45"/>
      <c r="I3" s="45"/>
      <c r="K3" s="45"/>
      <c r="L3" s="45"/>
      <c r="M3" s="45"/>
      <c r="N3" s="45"/>
      <c r="O3" s="45"/>
      <c r="P3" s="45"/>
      <c r="Q3" s="748"/>
      <c r="R3" s="748"/>
      <c r="S3" s="748"/>
      <c r="T3" s="748"/>
      <c r="U3" s="748"/>
      <c r="V3" s="748"/>
      <c r="W3" s="748"/>
      <c r="X3" s="748"/>
      <c r="Y3" s="748"/>
      <c r="Z3" s="748"/>
      <c r="AA3" s="748"/>
      <c r="AB3" s="748"/>
      <c r="AC3" s="748"/>
      <c r="AD3" s="45"/>
      <c r="AE3" s="4"/>
      <c r="AF3" s="749"/>
      <c r="AG3" s="749"/>
      <c r="AH3" s="794"/>
      <c r="AI3" s="794"/>
    </row>
    <row r="4" spans="1:38" ht="22.5" customHeight="1">
      <c r="A4" s="795" t="s">
        <v>394</v>
      </c>
      <c r="B4" s="795"/>
      <c r="C4" s="795"/>
      <c r="D4" s="795"/>
      <c r="E4" s="795"/>
      <c r="F4" s="795"/>
      <c r="G4" s="795"/>
      <c r="H4" s="795"/>
      <c r="I4" s="795"/>
      <c r="J4" s="795"/>
      <c r="K4" s="795"/>
      <c r="L4" s="795"/>
      <c r="M4" s="795"/>
      <c r="N4" s="795"/>
      <c r="O4" s="795"/>
      <c r="P4" s="795"/>
      <c r="Q4" s="795"/>
      <c r="R4" s="795"/>
      <c r="S4" s="795"/>
      <c r="T4" s="795"/>
      <c r="U4" s="795"/>
      <c r="V4" s="795"/>
      <c r="W4" s="795"/>
      <c r="X4" s="795"/>
      <c r="Y4" s="795"/>
      <c r="Z4" s="795"/>
      <c r="AA4" s="795"/>
      <c r="AB4" s="795"/>
      <c r="AC4" s="795"/>
      <c r="AD4" s="72"/>
      <c r="AE4" s="17"/>
      <c r="AF4" s="17"/>
      <c r="AG4" s="17">
        <f>2.67*1150000*0.65</f>
        <v>1995825</v>
      </c>
      <c r="AH4" s="17"/>
      <c r="AI4" s="15"/>
    </row>
    <row r="5" spans="1:38" ht="22.5" customHeight="1">
      <c r="A5" s="795" t="s">
        <v>373</v>
      </c>
      <c r="B5" s="795"/>
      <c r="C5" s="795"/>
      <c r="D5" s="795"/>
      <c r="E5" s="795"/>
      <c r="F5" s="795"/>
      <c r="G5" s="795"/>
      <c r="H5" s="795"/>
      <c r="I5" s="795"/>
      <c r="J5" s="795"/>
      <c r="K5" s="795"/>
      <c r="L5" s="795"/>
      <c r="M5" s="795"/>
      <c r="N5" s="795"/>
      <c r="O5" s="795"/>
      <c r="P5" s="795"/>
      <c r="Q5" s="795"/>
      <c r="R5" s="795"/>
      <c r="S5" s="795"/>
      <c r="T5" s="795"/>
      <c r="U5" s="795"/>
      <c r="V5" s="795"/>
      <c r="W5" s="795"/>
      <c r="X5" s="795"/>
      <c r="Y5" s="795"/>
      <c r="Z5" s="795"/>
      <c r="AA5" s="795"/>
      <c r="AB5" s="795"/>
      <c r="AC5" s="795"/>
      <c r="AD5" s="72"/>
      <c r="AE5" s="17"/>
      <c r="AF5" s="17"/>
      <c r="AG5" s="17"/>
      <c r="AH5" s="17"/>
      <c r="AI5" s="15"/>
    </row>
    <row r="6" spans="1:38" ht="18" customHeight="1">
      <c r="A6" s="8"/>
      <c r="B6" s="50"/>
      <c r="C6" s="8" t="s">
        <v>86</v>
      </c>
      <c r="D6" s="761"/>
      <c r="E6" s="761"/>
      <c r="F6" s="761"/>
      <c r="G6" s="761"/>
      <c r="H6" s="761"/>
      <c r="Q6" s="48" t="s">
        <v>228</v>
      </c>
      <c r="R6" s="48"/>
      <c r="S6" s="48"/>
      <c r="T6" s="48"/>
      <c r="U6" s="48"/>
      <c r="V6" s="48"/>
      <c r="W6" s="48"/>
      <c r="X6" s="48"/>
      <c r="Y6" s="48"/>
      <c r="Z6" s="353"/>
      <c r="AA6" s="48"/>
      <c r="AB6" s="48"/>
      <c r="AC6" s="67"/>
      <c r="AD6" s="67"/>
      <c r="AE6" s="17" t="s">
        <v>17</v>
      </c>
      <c r="AF6" s="17"/>
      <c r="AG6" s="17">
        <f>3*1150000</f>
        <v>3450000</v>
      </c>
      <c r="AH6" s="17">
        <f>2.67*1150000</f>
        <v>3070500</v>
      </c>
      <c r="AI6" s="17"/>
    </row>
    <row r="7" spans="1:38">
      <c r="A7" s="8"/>
      <c r="B7" s="146">
        <v>1490000</v>
      </c>
      <c r="C7" s="77">
        <v>1150000</v>
      </c>
      <c r="D7" s="761"/>
      <c r="E7" s="761"/>
      <c r="F7" s="761"/>
      <c r="G7" s="761"/>
      <c r="H7" s="761"/>
      <c r="I7" s="48"/>
      <c r="J7" s="50"/>
      <c r="K7" s="48"/>
      <c r="L7" s="48"/>
      <c r="M7" s="48"/>
      <c r="N7" s="48"/>
      <c r="O7" s="48"/>
      <c r="P7" s="48"/>
      <c r="Q7" s="48" t="s">
        <v>16</v>
      </c>
      <c r="R7" s="48"/>
      <c r="S7" s="48"/>
      <c r="T7" s="48"/>
      <c r="U7" s="48"/>
      <c r="V7" s="48"/>
      <c r="W7" s="48"/>
      <c r="X7" s="48"/>
      <c r="Y7" s="48"/>
      <c r="Z7" s="353"/>
      <c r="AA7" s="48"/>
      <c r="AB7" s="48"/>
      <c r="AE7" s="17"/>
      <c r="AF7" s="17"/>
      <c r="AG7" s="17">
        <f>AG6*10.5%</f>
        <v>362250</v>
      </c>
      <c r="AH7" s="17">
        <f>AH6*10.5%</f>
        <v>322402.5</v>
      </c>
      <c r="AI7" s="17"/>
    </row>
    <row r="8" spans="1:38">
      <c r="A8" s="8"/>
      <c r="B8" s="50"/>
      <c r="C8" s="8"/>
      <c r="D8" s="788"/>
      <c r="E8" s="788"/>
      <c r="F8" s="788"/>
      <c r="G8" s="788"/>
      <c r="H8" s="788"/>
      <c r="I8" s="52"/>
      <c r="J8" s="46"/>
      <c r="K8" s="52"/>
      <c r="L8" s="52"/>
      <c r="M8" s="52"/>
      <c r="N8" s="52"/>
      <c r="O8" s="52"/>
      <c r="P8" s="52"/>
      <c r="Q8" s="52" t="s">
        <v>1</v>
      </c>
      <c r="R8" s="52"/>
      <c r="S8" s="52"/>
      <c r="T8" s="52"/>
      <c r="U8" s="52"/>
      <c r="V8" s="52"/>
      <c r="W8" s="52"/>
      <c r="X8" s="52"/>
      <c r="Y8" s="52"/>
      <c r="Z8" s="354"/>
      <c r="AA8" s="52"/>
      <c r="AB8" s="52"/>
      <c r="AC8" s="66"/>
      <c r="AD8" s="66"/>
      <c r="AE8" s="17"/>
      <c r="AF8" s="17"/>
      <c r="AG8" s="16">
        <f>AG6-AG7</f>
        <v>3087750</v>
      </c>
      <c r="AH8" s="16">
        <f>AH6-AH7</f>
        <v>2748097.5</v>
      </c>
      <c r="AK8" s="56"/>
    </row>
    <row r="9" spans="1:38" ht="4.5" customHeight="1">
      <c r="A9" s="8"/>
      <c r="B9" s="50"/>
      <c r="C9" s="8"/>
      <c r="D9" s="160"/>
      <c r="E9" s="160"/>
      <c r="F9" s="203"/>
      <c r="G9" s="46"/>
      <c r="H9" s="46"/>
      <c r="I9" s="52"/>
      <c r="J9" s="46"/>
      <c r="K9" s="52"/>
      <c r="L9" s="52"/>
      <c r="M9" s="52"/>
      <c r="N9" s="52"/>
      <c r="O9" s="52"/>
      <c r="P9" s="52"/>
      <c r="Q9" s="48"/>
      <c r="R9" s="48"/>
      <c r="S9" s="48"/>
      <c r="T9" s="48"/>
      <c r="U9" s="48"/>
      <c r="V9" s="48"/>
      <c r="W9" s="48"/>
      <c r="X9" s="48"/>
      <c r="Y9" s="48"/>
      <c r="Z9" s="353"/>
      <c r="AA9" s="48"/>
      <c r="AB9" s="53"/>
      <c r="AE9" s="17"/>
      <c r="AF9" s="17"/>
      <c r="AG9" s="16">
        <f>AG6*0.65</f>
        <v>2242500</v>
      </c>
      <c r="AH9" s="16">
        <f>AH6*0.65</f>
        <v>1995825</v>
      </c>
      <c r="AK9" s="56"/>
    </row>
    <row r="10" spans="1:38" s="43" customFormat="1" ht="27.75" customHeight="1">
      <c r="A10" s="789" t="s">
        <v>2</v>
      </c>
      <c r="B10" s="789" t="s">
        <v>3</v>
      </c>
      <c r="C10" s="789"/>
      <c r="D10" s="790" t="s">
        <v>51</v>
      </c>
      <c r="E10" s="786" t="s">
        <v>235</v>
      </c>
      <c r="F10" s="791" t="s">
        <v>15</v>
      </c>
      <c r="G10" s="773" t="s">
        <v>129</v>
      </c>
      <c r="H10" s="786" t="s">
        <v>270</v>
      </c>
      <c r="I10" s="782" t="s">
        <v>179</v>
      </c>
      <c r="J10" s="782" t="s">
        <v>266</v>
      </c>
      <c r="K10" s="782" t="s">
        <v>267</v>
      </c>
      <c r="L10" s="782" t="s">
        <v>169</v>
      </c>
      <c r="M10" s="784"/>
      <c r="N10" s="786" t="s">
        <v>147</v>
      </c>
      <c r="O10" s="786" t="s">
        <v>148</v>
      </c>
      <c r="P10" s="773" t="s">
        <v>149</v>
      </c>
      <c r="Q10" s="766" t="s">
        <v>67</v>
      </c>
      <c r="R10" s="767"/>
      <c r="S10" s="767"/>
      <c r="T10" s="767"/>
      <c r="U10" s="768"/>
      <c r="V10" s="769" t="s">
        <v>167</v>
      </c>
      <c r="W10" s="770"/>
      <c r="X10" s="769" t="s">
        <v>168</v>
      </c>
      <c r="Y10" s="770"/>
      <c r="Z10" s="771" t="s">
        <v>272</v>
      </c>
      <c r="AA10" s="773" t="s">
        <v>153</v>
      </c>
      <c r="AB10" s="775" t="s">
        <v>5</v>
      </c>
      <c r="AC10" s="776"/>
      <c r="AD10" s="84"/>
      <c r="AE10" s="85"/>
      <c r="AF10" s="86"/>
      <c r="AG10" s="86">
        <f>AG9+AG8</f>
        <v>5330250</v>
      </c>
      <c r="AH10" s="86">
        <f>AH9+AH8</f>
        <v>4743922.5</v>
      </c>
      <c r="AI10" s="86"/>
      <c r="AJ10" s="779"/>
      <c r="AK10" s="87"/>
      <c r="AL10" s="79"/>
    </row>
    <row r="11" spans="1:38" s="43" customFormat="1" ht="41.25" customHeight="1">
      <c r="A11" s="789"/>
      <c r="B11" s="789"/>
      <c r="C11" s="789"/>
      <c r="D11" s="790"/>
      <c r="E11" s="787"/>
      <c r="F11" s="792"/>
      <c r="G11" s="774"/>
      <c r="H11" s="787"/>
      <c r="I11" s="783"/>
      <c r="J11" s="783"/>
      <c r="K11" s="783"/>
      <c r="L11" s="783"/>
      <c r="M11" s="785"/>
      <c r="N11" s="787"/>
      <c r="O11" s="787"/>
      <c r="P11" s="774"/>
      <c r="Q11" s="140" t="s">
        <v>113</v>
      </c>
      <c r="R11" s="140" t="s">
        <v>68</v>
      </c>
      <c r="S11" s="140" t="s">
        <v>60</v>
      </c>
      <c r="T11" s="138" t="s">
        <v>150</v>
      </c>
      <c r="U11" s="138" t="s">
        <v>151</v>
      </c>
      <c r="V11" s="138" t="s">
        <v>84</v>
      </c>
      <c r="W11" s="340" t="s">
        <v>169</v>
      </c>
      <c r="X11" s="138" t="s">
        <v>84</v>
      </c>
      <c r="Y11" s="340" t="s">
        <v>169</v>
      </c>
      <c r="Z11" s="772"/>
      <c r="AA11" s="774"/>
      <c r="AB11" s="777"/>
      <c r="AC11" s="778"/>
      <c r="AD11" s="84"/>
      <c r="AE11" s="85"/>
      <c r="AF11" s="86"/>
      <c r="AG11" s="86">
        <f>AG10+750000</f>
        <v>6080250</v>
      </c>
      <c r="AH11" s="86">
        <f>AH10+750000</f>
        <v>5493922.5</v>
      </c>
      <c r="AI11" s="86"/>
      <c r="AJ11" s="779"/>
      <c r="AK11" s="87"/>
      <c r="AL11" s="79"/>
    </row>
    <row r="12" spans="1:38"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2" t="s">
        <v>360</v>
      </c>
      <c r="AA12" s="254" t="s">
        <v>361</v>
      </c>
      <c r="AB12" s="780" t="s">
        <v>171</v>
      </c>
      <c r="AC12" s="781"/>
      <c r="AD12" s="84"/>
      <c r="AE12" s="147"/>
      <c r="AF12" s="86"/>
      <c r="AG12" s="86"/>
      <c r="AH12" s="86"/>
      <c r="AI12" s="86"/>
      <c r="AJ12" s="141"/>
      <c r="AK12" s="87"/>
      <c r="AL12" s="79"/>
    </row>
    <row r="13" spans="1:38" s="412" customFormat="1" ht="29.25" customHeight="1">
      <c r="A13" s="129" t="s">
        <v>32</v>
      </c>
      <c r="B13" s="311" t="s">
        <v>191</v>
      </c>
      <c r="C13" s="130"/>
      <c r="D13" s="229" t="s">
        <v>55</v>
      </c>
      <c r="E13" s="364" t="s">
        <v>238</v>
      </c>
      <c r="F13" s="313" t="s">
        <v>205</v>
      </c>
      <c r="G13" s="314" t="s">
        <v>246</v>
      </c>
      <c r="H13" s="315">
        <v>3</v>
      </c>
      <c r="I13" s="131">
        <v>4873050</v>
      </c>
      <c r="J13" s="237"/>
      <c r="K13" s="131"/>
      <c r="L13" s="131">
        <f t="shared" ref="L13:L68" si="0">ROUND(I13+K13,0)</f>
        <v>4873050</v>
      </c>
      <c r="M13" s="131"/>
      <c r="N13" s="131">
        <f t="shared" ref="N13:N68" si="1">L13/24*M13</f>
        <v>0</v>
      </c>
      <c r="O13" s="131"/>
      <c r="P13" s="131">
        <f t="shared" ref="P13:P68" si="2">L13-N13+O13</f>
        <v>4873050</v>
      </c>
      <c r="Q13" s="131">
        <f>L13*8%</f>
        <v>389844</v>
      </c>
      <c r="R13" s="132">
        <f>L13*1.5%</f>
        <v>73095.75</v>
      </c>
      <c r="S13" s="131">
        <f>L13*1%</f>
        <v>48730.5</v>
      </c>
      <c r="T13" s="132"/>
      <c r="U13" s="132">
        <f t="shared" ref="U13:U59" si="3">SUM(Q13:T13)</f>
        <v>511670.25</v>
      </c>
      <c r="V13" s="132"/>
      <c r="W13" s="132"/>
      <c r="X13" s="365"/>
      <c r="Y13" s="132"/>
      <c r="Z13" s="132"/>
      <c r="AA13" s="132">
        <f t="shared" ref="AA13:AA68" si="4">P13-U13+W13+Y13+Z13</f>
        <v>4361379.75</v>
      </c>
      <c r="AB13" s="133" t="str">
        <f t="shared" ref="AB13:AB33" si="5">A13</f>
        <v>01</v>
      </c>
      <c r="AC13" s="366"/>
      <c r="AD13" s="102" t="s">
        <v>231</v>
      </c>
      <c r="AE13" s="120"/>
      <c r="AF13" s="116"/>
      <c r="AK13" s="411"/>
    </row>
    <row r="14" spans="1:38" s="412" customFormat="1" ht="30.75" customHeight="1">
      <c r="A14" s="202" t="s">
        <v>33</v>
      </c>
      <c r="B14" s="94" t="s">
        <v>250</v>
      </c>
      <c r="C14" s="95"/>
      <c r="D14" s="112" t="s">
        <v>55</v>
      </c>
      <c r="E14" s="228"/>
      <c r="F14" s="223" t="str">
        <f>VLOOKUP(B14,[1]LuongBC_T01!$B$277:$C$292,2,FALSE)</f>
        <v>0016100006668008</v>
      </c>
      <c r="G14" s="97" t="s">
        <v>246</v>
      </c>
      <c r="H14" s="233">
        <v>9</v>
      </c>
      <c r="I14" s="98">
        <v>6530353</v>
      </c>
      <c r="J14" s="113"/>
      <c r="K14" s="98"/>
      <c r="L14" s="98">
        <f t="shared" si="0"/>
        <v>6530353</v>
      </c>
      <c r="M14" s="98"/>
      <c r="N14" s="98">
        <f t="shared" si="1"/>
        <v>0</v>
      </c>
      <c r="O14" s="98"/>
      <c r="P14" s="98">
        <f t="shared" si="2"/>
        <v>6530353</v>
      </c>
      <c r="Q14" s="98">
        <f>L14*8%</f>
        <v>522428.24</v>
      </c>
      <c r="R14" s="99">
        <f>L14*1.5%</f>
        <v>97955.294999999998</v>
      </c>
      <c r="S14" s="98">
        <f>L14*1%</f>
        <v>65303.53</v>
      </c>
      <c r="T14" s="99"/>
      <c r="U14" s="99">
        <f t="shared" si="3"/>
        <v>685687.06500000006</v>
      </c>
      <c r="V14" s="99"/>
      <c r="W14" s="99"/>
      <c r="X14" s="151"/>
      <c r="Y14" s="99"/>
      <c r="Z14" s="99"/>
      <c r="AA14" s="99">
        <f t="shared" si="4"/>
        <v>5844665.9349999996</v>
      </c>
      <c r="AB14" s="101" t="str">
        <f t="shared" si="5"/>
        <v>02</v>
      </c>
      <c r="AC14" s="102"/>
      <c r="AD14" s="411"/>
      <c r="AE14" s="411"/>
      <c r="AK14" s="411"/>
    </row>
    <row r="15" spans="1:38" s="412" customFormat="1" ht="42.75" customHeight="1">
      <c r="A15" s="202" t="s">
        <v>34</v>
      </c>
      <c r="B15" s="396" t="s">
        <v>243</v>
      </c>
      <c r="C15" s="397"/>
      <c r="D15" s="398" t="s">
        <v>244</v>
      </c>
      <c r="E15" s="399"/>
      <c r="F15" s="400"/>
      <c r="G15" s="401" t="s">
        <v>242</v>
      </c>
      <c r="H15" s="402">
        <v>3</v>
      </c>
      <c r="I15" s="403">
        <v>5579155</v>
      </c>
      <c r="J15" s="404"/>
      <c r="K15" s="403"/>
      <c r="L15" s="403">
        <f t="shared" si="0"/>
        <v>5579155</v>
      </c>
      <c r="M15" s="403"/>
      <c r="N15" s="403">
        <f t="shared" si="1"/>
        <v>0</v>
      </c>
      <c r="O15" s="403"/>
      <c r="P15" s="403">
        <f t="shared" si="2"/>
        <v>5579155</v>
      </c>
      <c r="Q15" s="403"/>
      <c r="R15" s="405"/>
      <c r="S15" s="403"/>
      <c r="T15" s="405"/>
      <c r="U15" s="405">
        <f t="shared" si="3"/>
        <v>0</v>
      </c>
      <c r="V15" s="405"/>
      <c r="W15" s="405"/>
      <c r="X15" s="405"/>
      <c r="Y15" s="405"/>
      <c r="Z15" s="405"/>
      <c r="AA15" s="405">
        <f t="shared" si="4"/>
        <v>5579155</v>
      </c>
      <c r="AB15" s="406" t="str">
        <f t="shared" si="5"/>
        <v>03</v>
      </c>
      <c r="AC15" s="407" t="s">
        <v>376</v>
      </c>
      <c r="AD15" s="367"/>
      <c r="AE15" s="232"/>
      <c r="AF15" s="232"/>
      <c r="AG15" s="110"/>
      <c r="AH15" s="110"/>
      <c r="AK15" s="111"/>
    </row>
    <row r="16" spans="1:38" s="412" customFormat="1" ht="24.75" customHeight="1">
      <c r="A16" s="202" t="s">
        <v>35</v>
      </c>
      <c r="B16" s="94" t="s">
        <v>249</v>
      </c>
      <c r="C16" s="95"/>
      <c r="D16" s="112" t="s">
        <v>55</v>
      </c>
      <c r="E16" s="228"/>
      <c r="F16" s="223" t="str">
        <f>VLOOKUP(B16,[1]LuongBC_T01!$B$277:$C$292,2,FALSE)</f>
        <v>0016100006650001</v>
      </c>
      <c r="G16" s="97" t="s">
        <v>246</v>
      </c>
      <c r="H16" s="233">
        <v>9</v>
      </c>
      <c r="I16" s="98">
        <v>6856871</v>
      </c>
      <c r="J16" s="113"/>
      <c r="K16" s="98"/>
      <c r="L16" s="98">
        <f t="shared" si="0"/>
        <v>6856871</v>
      </c>
      <c r="M16" s="98"/>
      <c r="N16" s="98">
        <f t="shared" si="1"/>
        <v>0</v>
      </c>
      <c r="O16" s="98"/>
      <c r="P16" s="98">
        <f t="shared" si="2"/>
        <v>6856871</v>
      </c>
      <c r="Q16" s="98">
        <f t="shared" ref="Q16:Q34" si="6">L16*8%</f>
        <v>548549.68000000005</v>
      </c>
      <c r="R16" s="99">
        <f t="shared" ref="R16:R59" si="7">L16*1.5%</f>
        <v>102853.065</v>
      </c>
      <c r="S16" s="98">
        <f t="shared" ref="S16:S59" si="8">L16*1%</f>
        <v>68568.710000000006</v>
      </c>
      <c r="T16" s="99"/>
      <c r="U16" s="99">
        <f t="shared" si="3"/>
        <v>719971.45500000007</v>
      </c>
      <c r="V16" s="99"/>
      <c r="W16" s="99"/>
      <c r="X16" s="151"/>
      <c r="Y16" s="99"/>
      <c r="Z16" s="99"/>
      <c r="AA16" s="99">
        <f t="shared" si="4"/>
        <v>6136899.5449999999</v>
      </c>
      <c r="AB16" s="101" t="str">
        <f t="shared" si="5"/>
        <v>04</v>
      </c>
      <c r="AC16" s="102"/>
      <c r="AD16" s="411"/>
      <c r="AE16" s="411"/>
      <c r="AK16" s="411"/>
    </row>
    <row r="17" spans="1:37" s="412" customFormat="1" ht="42.75" customHeight="1">
      <c r="A17" s="202" t="s">
        <v>36</v>
      </c>
      <c r="B17" s="94" t="s">
        <v>318</v>
      </c>
      <c r="C17" s="95"/>
      <c r="D17" s="112" t="s">
        <v>244</v>
      </c>
      <c r="E17" s="227" t="s">
        <v>335</v>
      </c>
      <c r="F17" s="336" t="s">
        <v>336</v>
      </c>
      <c r="G17" s="97" t="s">
        <v>242</v>
      </c>
      <c r="H17" s="233">
        <v>1</v>
      </c>
      <c r="I17" s="98">
        <v>5060458</v>
      </c>
      <c r="J17" s="113"/>
      <c r="K17" s="98"/>
      <c r="L17" s="98">
        <f t="shared" si="0"/>
        <v>5060458</v>
      </c>
      <c r="M17" s="98"/>
      <c r="N17" s="98">
        <f t="shared" si="1"/>
        <v>0</v>
      </c>
      <c r="O17" s="98"/>
      <c r="P17" s="98">
        <f t="shared" si="2"/>
        <v>5060458</v>
      </c>
      <c r="Q17" s="98">
        <f t="shared" si="6"/>
        <v>404836.64</v>
      </c>
      <c r="R17" s="99">
        <f t="shared" si="7"/>
        <v>75906.87</v>
      </c>
      <c r="S17" s="98">
        <f t="shared" si="8"/>
        <v>50604.58</v>
      </c>
      <c r="T17" s="99"/>
      <c r="U17" s="99">
        <f t="shared" si="3"/>
        <v>531348.09</v>
      </c>
      <c r="V17" s="99"/>
      <c r="W17" s="100"/>
      <c r="X17" s="100"/>
      <c r="Y17" s="100"/>
      <c r="Z17" s="100"/>
      <c r="AA17" s="99">
        <f t="shared" si="4"/>
        <v>4529109.91</v>
      </c>
      <c r="AB17" s="101" t="str">
        <f t="shared" si="5"/>
        <v>05</v>
      </c>
      <c r="AC17" s="255"/>
      <c r="AD17" s="255" t="s">
        <v>320</v>
      </c>
      <c r="AE17" s="117"/>
      <c r="AF17" s="144"/>
      <c r="AK17" s="411"/>
    </row>
    <row r="18" spans="1:37" s="412" customFormat="1" ht="31.5" customHeight="1">
      <c r="A18" s="202" t="s">
        <v>37</v>
      </c>
      <c r="B18" s="94" t="s">
        <v>343</v>
      </c>
      <c r="C18" s="95"/>
      <c r="D18" s="112" t="s">
        <v>55</v>
      </c>
      <c r="E18" s="228"/>
      <c r="F18" s="223"/>
      <c r="G18" s="97" t="s">
        <v>245</v>
      </c>
      <c r="H18" s="233">
        <v>12</v>
      </c>
      <c r="I18" s="98">
        <v>8088879</v>
      </c>
      <c r="J18" s="113"/>
      <c r="K18" s="98"/>
      <c r="L18" s="98">
        <f t="shared" si="0"/>
        <v>8088879</v>
      </c>
      <c r="M18" s="98"/>
      <c r="N18" s="98">
        <f t="shared" si="1"/>
        <v>0</v>
      </c>
      <c r="O18" s="98"/>
      <c r="P18" s="98">
        <f t="shared" si="2"/>
        <v>8088879</v>
      </c>
      <c r="Q18" s="98">
        <f t="shared" si="6"/>
        <v>647110.32000000007</v>
      </c>
      <c r="R18" s="99">
        <f t="shared" si="7"/>
        <v>121333.185</v>
      </c>
      <c r="S18" s="98">
        <f t="shared" si="8"/>
        <v>80888.790000000008</v>
      </c>
      <c r="T18" s="99"/>
      <c r="U18" s="99">
        <f t="shared" si="3"/>
        <v>849332.29500000016</v>
      </c>
      <c r="V18" s="99"/>
      <c r="W18" s="99"/>
      <c r="X18" s="151"/>
      <c r="Y18" s="99"/>
      <c r="Z18" s="99"/>
      <c r="AA18" s="99">
        <f t="shared" si="4"/>
        <v>7239546.7050000001</v>
      </c>
      <c r="AB18" s="101" t="str">
        <f t="shared" si="5"/>
        <v>06</v>
      </c>
      <c r="AC18" s="102"/>
      <c r="AD18" s="102"/>
      <c r="AE18" s="120"/>
      <c r="AF18" s="116"/>
      <c r="AK18" s="411"/>
    </row>
    <row r="19" spans="1:37" s="104" customFormat="1" ht="31.5" customHeight="1">
      <c r="A19" s="202" t="s">
        <v>38</v>
      </c>
      <c r="B19" s="94" t="s">
        <v>344</v>
      </c>
      <c r="C19" s="95"/>
      <c r="D19" s="112" t="s">
        <v>345</v>
      </c>
      <c r="E19" s="228"/>
      <c r="F19" s="209"/>
      <c r="G19" s="97" t="s">
        <v>242</v>
      </c>
      <c r="H19" s="233">
        <v>6</v>
      </c>
      <c r="I19" s="98">
        <v>6458569</v>
      </c>
      <c r="J19" s="113"/>
      <c r="K19" s="98"/>
      <c r="L19" s="98">
        <f t="shared" si="0"/>
        <v>6458569</v>
      </c>
      <c r="M19" s="98"/>
      <c r="N19" s="98">
        <f t="shared" si="1"/>
        <v>0</v>
      </c>
      <c r="O19" s="98"/>
      <c r="P19" s="98">
        <f t="shared" si="2"/>
        <v>6458569</v>
      </c>
      <c r="Q19" s="98">
        <f t="shared" si="6"/>
        <v>516685.52</v>
      </c>
      <c r="R19" s="99">
        <f t="shared" si="7"/>
        <v>96878.535000000003</v>
      </c>
      <c r="S19" s="98">
        <f t="shared" si="8"/>
        <v>64585.69</v>
      </c>
      <c r="T19" s="99"/>
      <c r="U19" s="99">
        <f t="shared" si="3"/>
        <v>678149.74500000011</v>
      </c>
      <c r="V19" s="99"/>
      <c r="W19" s="99"/>
      <c r="X19" s="151"/>
      <c r="Y19" s="99"/>
      <c r="Z19" s="99"/>
      <c r="AA19" s="99">
        <f t="shared" si="4"/>
        <v>5780419.2549999999</v>
      </c>
      <c r="AB19" s="101" t="str">
        <f t="shared" si="5"/>
        <v>07</v>
      </c>
      <c r="AC19" s="102"/>
      <c r="AD19" s="102"/>
      <c r="AE19" s="120"/>
      <c r="AF19" s="116"/>
      <c r="AG19" s="412"/>
      <c r="AK19" s="105"/>
    </row>
    <row r="20" spans="1:37" s="104" customFormat="1" ht="28.5" customHeight="1">
      <c r="A20" s="202" t="s">
        <v>39</v>
      </c>
      <c r="B20" s="94" t="s">
        <v>135</v>
      </c>
      <c r="C20" s="95" t="s">
        <v>109</v>
      </c>
      <c r="D20" s="112" t="s">
        <v>120</v>
      </c>
      <c r="E20" s="227" t="s">
        <v>236</v>
      </c>
      <c r="F20" s="209" t="s">
        <v>208</v>
      </c>
      <c r="G20" s="107" t="s">
        <v>242</v>
      </c>
      <c r="H20" s="233">
        <v>5</v>
      </c>
      <c r="I20" s="98">
        <v>6151018</v>
      </c>
      <c r="J20" s="113"/>
      <c r="K20" s="98"/>
      <c r="L20" s="98">
        <f t="shared" si="0"/>
        <v>6151018</v>
      </c>
      <c r="M20" s="98"/>
      <c r="N20" s="98">
        <f t="shared" si="1"/>
        <v>0</v>
      </c>
      <c r="O20" s="98"/>
      <c r="P20" s="98">
        <f t="shared" si="2"/>
        <v>6151018</v>
      </c>
      <c r="Q20" s="98">
        <f t="shared" si="6"/>
        <v>492081.44</v>
      </c>
      <c r="R20" s="99">
        <f t="shared" si="7"/>
        <v>92265.26999999999</v>
      </c>
      <c r="S20" s="98">
        <f t="shared" si="8"/>
        <v>61510.18</v>
      </c>
      <c r="T20" s="99"/>
      <c r="U20" s="99">
        <f t="shared" si="3"/>
        <v>645856.89</v>
      </c>
      <c r="V20" s="99"/>
      <c r="W20" s="99"/>
      <c r="X20" s="99"/>
      <c r="Y20" s="99"/>
      <c r="Z20" s="99"/>
      <c r="AA20" s="99">
        <f t="shared" si="4"/>
        <v>5505161.1100000003</v>
      </c>
      <c r="AB20" s="101" t="str">
        <f t="shared" si="5"/>
        <v>08</v>
      </c>
      <c r="AC20" s="102"/>
      <c r="AD20" s="102" t="s">
        <v>110</v>
      </c>
      <c r="AE20" s="102" t="s">
        <v>112</v>
      </c>
      <c r="AF20" s="110" t="e">
        <f>#REF!*2</f>
        <v>#REF!</v>
      </c>
      <c r="AG20" s="110"/>
      <c r="AH20" s="110"/>
      <c r="AK20" s="111"/>
    </row>
    <row r="21" spans="1:37" s="412" customFormat="1" ht="26.25" customHeight="1">
      <c r="A21" s="202" t="s">
        <v>40</v>
      </c>
      <c r="B21" s="143" t="s">
        <v>132</v>
      </c>
      <c r="C21" s="95" t="s">
        <v>6</v>
      </c>
      <c r="D21" s="112" t="s">
        <v>166</v>
      </c>
      <c r="E21" s="338" t="s">
        <v>234</v>
      </c>
      <c r="F21" s="223" t="s">
        <v>202</v>
      </c>
      <c r="G21" s="107" t="s">
        <v>245</v>
      </c>
      <c r="H21" s="96">
        <v>5</v>
      </c>
      <c r="I21" s="98">
        <v>5748615</v>
      </c>
      <c r="J21" s="113"/>
      <c r="K21" s="98"/>
      <c r="L21" s="98">
        <f t="shared" si="0"/>
        <v>5748615</v>
      </c>
      <c r="M21" s="98"/>
      <c r="N21" s="98">
        <f t="shared" si="1"/>
        <v>0</v>
      </c>
      <c r="O21" s="98"/>
      <c r="P21" s="98">
        <f t="shared" si="2"/>
        <v>5748615</v>
      </c>
      <c r="Q21" s="98">
        <f t="shared" si="6"/>
        <v>459889.2</v>
      </c>
      <c r="R21" s="99">
        <f t="shared" si="7"/>
        <v>86229.224999999991</v>
      </c>
      <c r="S21" s="98">
        <f t="shared" si="8"/>
        <v>57486.15</v>
      </c>
      <c r="T21" s="99"/>
      <c r="U21" s="99">
        <f t="shared" si="3"/>
        <v>603604.57500000007</v>
      </c>
      <c r="V21" s="99"/>
      <c r="W21" s="99"/>
      <c r="X21" s="99"/>
      <c r="Y21" s="99"/>
      <c r="Z21" s="99"/>
      <c r="AA21" s="99">
        <f t="shared" si="4"/>
        <v>5145010.4249999998</v>
      </c>
      <c r="AB21" s="101" t="str">
        <f t="shared" si="5"/>
        <v>09</v>
      </c>
      <c r="AC21" s="102" t="s">
        <v>358</v>
      </c>
      <c r="AD21" s="117">
        <f>3.33*1390000</f>
        <v>4628700</v>
      </c>
      <c r="AE21" s="754"/>
      <c r="AF21" s="755"/>
      <c r="AG21" s="755"/>
      <c r="AK21" s="119"/>
    </row>
    <row r="22" spans="1:37" s="412" customFormat="1" ht="23.25" customHeight="1">
      <c r="A22" s="202" t="s">
        <v>24</v>
      </c>
      <c r="B22" s="94" t="s">
        <v>139</v>
      </c>
      <c r="C22" s="95" t="s">
        <v>81</v>
      </c>
      <c r="D22" s="112" t="s">
        <v>69</v>
      </c>
      <c r="E22" s="228" t="str">
        <f>VLOOKUP(B22,[2]T3!$B$2:$D$328,3,FALSE)</f>
        <v>026050143</v>
      </c>
      <c r="F22" s="223" t="s">
        <v>217</v>
      </c>
      <c r="G22" s="107" t="s">
        <v>242</v>
      </c>
      <c r="H22" s="233">
        <v>6</v>
      </c>
      <c r="I22" s="98">
        <v>6458569</v>
      </c>
      <c r="J22" s="113"/>
      <c r="K22" s="98"/>
      <c r="L22" s="98">
        <f t="shared" si="0"/>
        <v>6458569</v>
      </c>
      <c r="M22" s="98"/>
      <c r="N22" s="98">
        <f t="shared" si="1"/>
        <v>0</v>
      </c>
      <c r="O22" s="98"/>
      <c r="P22" s="98">
        <f t="shared" si="2"/>
        <v>6458569</v>
      </c>
      <c r="Q22" s="98">
        <f t="shared" si="6"/>
        <v>516685.52</v>
      </c>
      <c r="R22" s="99">
        <f t="shared" si="7"/>
        <v>96878.535000000003</v>
      </c>
      <c r="S22" s="98">
        <f t="shared" si="8"/>
        <v>64585.69</v>
      </c>
      <c r="T22" s="99"/>
      <c r="U22" s="99">
        <f t="shared" si="3"/>
        <v>678149.74500000011</v>
      </c>
      <c r="V22" s="99"/>
      <c r="W22" s="99"/>
      <c r="X22" s="99"/>
      <c r="Y22" s="99"/>
      <c r="Z22" s="99"/>
      <c r="AA22" s="99">
        <f t="shared" si="4"/>
        <v>5780419.2549999999</v>
      </c>
      <c r="AB22" s="101" t="str">
        <f t="shared" si="5"/>
        <v>10</v>
      </c>
      <c r="AC22" s="102"/>
      <c r="AD22" s="134" t="s">
        <v>108</v>
      </c>
      <c r="AE22" s="117" t="e">
        <f>#REF!/24</f>
        <v>#REF!</v>
      </c>
      <c r="AK22" s="411"/>
    </row>
    <row r="23" spans="1:37" s="412" customFormat="1" ht="27" customHeight="1">
      <c r="A23" s="202" t="s">
        <v>25</v>
      </c>
      <c r="B23" s="143" t="s">
        <v>127</v>
      </c>
      <c r="C23" s="95" t="s">
        <v>124</v>
      </c>
      <c r="D23" s="112" t="s">
        <v>120</v>
      </c>
      <c r="E23" s="228" t="str">
        <f>VLOOKUP(B23,[2]T3!$B$2:$D$328,3,FALSE)</f>
        <v>025444854</v>
      </c>
      <c r="F23" s="223" t="s">
        <v>209</v>
      </c>
      <c r="G23" s="107" t="s">
        <v>245</v>
      </c>
      <c r="H23" s="233">
        <v>2</v>
      </c>
      <c r="I23" s="98">
        <v>4965870</v>
      </c>
      <c r="J23" s="113"/>
      <c r="K23" s="98"/>
      <c r="L23" s="98">
        <f t="shared" si="0"/>
        <v>4965870</v>
      </c>
      <c r="M23" s="98"/>
      <c r="N23" s="98">
        <f t="shared" si="1"/>
        <v>0</v>
      </c>
      <c r="O23" s="98"/>
      <c r="P23" s="98">
        <f t="shared" si="2"/>
        <v>4965870</v>
      </c>
      <c r="Q23" s="98">
        <f t="shared" si="6"/>
        <v>397269.60000000003</v>
      </c>
      <c r="R23" s="99">
        <f t="shared" si="7"/>
        <v>74488.05</v>
      </c>
      <c r="S23" s="98">
        <f t="shared" si="8"/>
        <v>49658.700000000004</v>
      </c>
      <c r="T23" s="99"/>
      <c r="U23" s="99">
        <f t="shared" si="3"/>
        <v>521416.35000000003</v>
      </c>
      <c r="V23" s="99"/>
      <c r="W23" s="99"/>
      <c r="X23" s="99"/>
      <c r="Y23" s="99"/>
      <c r="Z23" s="99"/>
      <c r="AA23" s="99">
        <f t="shared" si="4"/>
        <v>4444453.6500000004</v>
      </c>
      <c r="AB23" s="101" t="str">
        <f t="shared" si="5"/>
        <v>11</v>
      </c>
      <c r="AC23" s="102"/>
      <c r="AD23" s="102" t="s">
        <v>125</v>
      </c>
      <c r="AE23" s="144"/>
      <c r="AF23" s="110"/>
      <c r="AG23" s="110"/>
      <c r="AH23" s="110"/>
      <c r="AK23" s="111"/>
    </row>
    <row r="24" spans="1:37" s="412" customFormat="1" ht="30" customHeight="1">
      <c r="A24" s="202" t="s">
        <v>26</v>
      </c>
      <c r="B24" s="94" t="s">
        <v>256</v>
      </c>
      <c r="C24" s="95"/>
      <c r="D24" s="112" t="s">
        <v>257</v>
      </c>
      <c r="E24" s="228"/>
      <c r="F24" s="223" t="str">
        <f>VLOOKUP(B24,[1]LuongBC_T01!$B$277:$C$292,2,FALSE)</f>
        <v>0016100006675004</v>
      </c>
      <c r="G24" s="107" t="s">
        <v>245</v>
      </c>
      <c r="H24" s="96">
        <v>4</v>
      </c>
      <c r="I24" s="98">
        <v>5474872</v>
      </c>
      <c r="J24" s="113"/>
      <c r="K24" s="98"/>
      <c r="L24" s="98">
        <f t="shared" si="0"/>
        <v>5474872</v>
      </c>
      <c r="M24" s="98"/>
      <c r="N24" s="98">
        <f t="shared" si="1"/>
        <v>0</v>
      </c>
      <c r="O24" s="98"/>
      <c r="P24" s="98">
        <f t="shared" si="2"/>
        <v>5474872</v>
      </c>
      <c r="Q24" s="98">
        <f t="shared" si="6"/>
        <v>437989.76</v>
      </c>
      <c r="R24" s="99">
        <f t="shared" si="7"/>
        <v>82123.08</v>
      </c>
      <c r="S24" s="98">
        <f t="shared" si="8"/>
        <v>54748.72</v>
      </c>
      <c r="T24" s="99"/>
      <c r="U24" s="99">
        <f t="shared" si="3"/>
        <v>574861.56000000006</v>
      </c>
      <c r="V24" s="99"/>
      <c r="W24" s="100"/>
      <c r="X24" s="100"/>
      <c r="Y24" s="100"/>
      <c r="Z24" s="100"/>
      <c r="AA24" s="99">
        <f t="shared" si="4"/>
        <v>4900010.4399999995</v>
      </c>
      <c r="AB24" s="101" t="str">
        <f t="shared" si="5"/>
        <v>12</v>
      </c>
      <c r="AC24" s="102"/>
      <c r="AD24" s="102"/>
      <c r="AE24" s="109"/>
      <c r="AF24" s="110"/>
      <c r="AG24" s="110"/>
      <c r="AH24" s="110"/>
      <c r="AI24" s="110"/>
      <c r="AJ24" s="109"/>
      <c r="AK24" s="111"/>
    </row>
    <row r="25" spans="1:37" s="412" customFormat="1" ht="30.75" customHeight="1">
      <c r="A25" s="202" t="s">
        <v>31</v>
      </c>
      <c r="B25" s="94" t="s">
        <v>247</v>
      </c>
      <c r="C25" s="95"/>
      <c r="D25" s="112" t="s">
        <v>8</v>
      </c>
      <c r="E25" s="338"/>
      <c r="F25" s="223" t="str">
        <f>VLOOKUP(B25,[1]LuongBC_T01!$B$277:$C$292,2,FALSE)</f>
        <v>0016100006692006</v>
      </c>
      <c r="G25" s="107" t="s">
        <v>246</v>
      </c>
      <c r="H25" s="233">
        <v>11</v>
      </c>
      <c r="I25" s="98">
        <v>7559700</v>
      </c>
      <c r="J25" s="113"/>
      <c r="K25" s="98"/>
      <c r="L25" s="98">
        <f t="shared" si="0"/>
        <v>7559700</v>
      </c>
      <c r="M25" s="98"/>
      <c r="N25" s="98">
        <f t="shared" si="1"/>
        <v>0</v>
      </c>
      <c r="O25" s="98"/>
      <c r="P25" s="98">
        <f t="shared" si="2"/>
        <v>7559700</v>
      </c>
      <c r="Q25" s="98">
        <f t="shared" si="6"/>
        <v>604776</v>
      </c>
      <c r="R25" s="99">
        <f t="shared" si="7"/>
        <v>113395.5</v>
      </c>
      <c r="S25" s="98">
        <f t="shared" si="8"/>
        <v>75597</v>
      </c>
      <c r="T25" s="99"/>
      <c r="U25" s="99">
        <f t="shared" si="3"/>
        <v>793768.5</v>
      </c>
      <c r="V25" s="151"/>
      <c r="W25" s="99"/>
      <c r="X25" s="99"/>
      <c r="Y25" s="99"/>
      <c r="Z25" s="99"/>
      <c r="AA25" s="99">
        <f t="shared" si="4"/>
        <v>6765931.5</v>
      </c>
      <c r="AB25" s="101" t="str">
        <f t="shared" si="5"/>
        <v>13</v>
      </c>
      <c r="AC25" s="102"/>
      <c r="AD25" s="117"/>
      <c r="AE25" s="234"/>
      <c r="AF25" s="110"/>
      <c r="AG25" s="110"/>
      <c r="AI25" s="144"/>
      <c r="AK25" s="111"/>
    </row>
    <row r="26" spans="1:37" s="412" customFormat="1" ht="29.25" customHeight="1">
      <c r="A26" s="202" t="s">
        <v>27</v>
      </c>
      <c r="B26" s="94" t="s">
        <v>248</v>
      </c>
      <c r="C26" s="95"/>
      <c r="D26" s="112" t="s">
        <v>8</v>
      </c>
      <c r="E26" s="338"/>
      <c r="F26" s="223" t="str">
        <f>VLOOKUP(B26,[1]LuongBC_T01!$B$277:$C$292,2,FALSE)</f>
        <v>0016100006677007</v>
      </c>
      <c r="G26" s="107" t="s">
        <v>246</v>
      </c>
      <c r="H26" s="233">
        <v>10</v>
      </c>
      <c r="I26" s="98">
        <v>7199714</v>
      </c>
      <c r="J26" s="113"/>
      <c r="K26" s="98"/>
      <c r="L26" s="98">
        <f t="shared" si="0"/>
        <v>7199714</v>
      </c>
      <c r="M26" s="98"/>
      <c r="N26" s="98">
        <f t="shared" si="1"/>
        <v>0</v>
      </c>
      <c r="O26" s="98"/>
      <c r="P26" s="98">
        <f t="shared" si="2"/>
        <v>7199714</v>
      </c>
      <c r="Q26" s="98">
        <f t="shared" si="6"/>
        <v>575977.12</v>
      </c>
      <c r="R26" s="99">
        <f t="shared" si="7"/>
        <v>107995.70999999999</v>
      </c>
      <c r="S26" s="98">
        <f t="shared" si="8"/>
        <v>71997.14</v>
      </c>
      <c r="T26" s="99"/>
      <c r="U26" s="99">
        <f t="shared" si="3"/>
        <v>755969.97</v>
      </c>
      <c r="V26" s="151"/>
      <c r="W26" s="99"/>
      <c r="X26" s="99"/>
      <c r="Y26" s="99"/>
      <c r="Z26" s="99"/>
      <c r="AA26" s="99">
        <f t="shared" si="4"/>
        <v>6443744.0300000003</v>
      </c>
      <c r="AB26" s="101" t="str">
        <f t="shared" si="5"/>
        <v>14</v>
      </c>
      <c r="AC26" s="102"/>
      <c r="AD26" s="117"/>
      <c r="AE26" s="234"/>
      <c r="AF26" s="110"/>
      <c r="AG26" s="110"/>
      <c r="AI26" s="144"/>
      <c r="AK26" s="111"/>
    </row>
    <row r="27" spans="1:37" s="412" customFormat="1" ht="29.25" customHeight="1">
      <c r="A27" s="202" t="s">
        <v>28</v>
      </c>
      <c r="B27" s="94" t="s">
        <v>253</v>
      </c>
      <c r="C27" s="95"/>
      <c r="D27" s="112" t="s">
        <v>8</v>
      </c>
      <c r="E27" s="228"/>
      <c r="F27" s="223"/>
      <c r="G27" s="97" t="s">
        <v>246</v>
      </c>
      <c r="H27" s="233">
        <v>2</v>
      </c>
      <c r="I27" s="98">
        <v>4641000</v>
      </c>
      <c r="J27" s="113"/>
      <c r="K27" s="98"/>
      <c r="L27" s="98">
        <f t="shared" si="0"/>
        <v>4641000</v>
      </c>
      <c r="M27" s="98"/>
      <c r="N27" s="98">
        <f t="shared" si="1"/>
        <v>0</v>
      </c>
      <c r="O27" s="98"/>
      <c r="P27" s="98">
        <f t="shared" si="2"/>
        <v>4641000</v>
      </c>
      <c r="Q27" s="98">
        <f t="shared" si="6"/>
        <v>371280</v>
      </c>
      <c r="R27" s="99">
        <f t="shared" si="7"/>
        <v>69615</v>
      </c>
      <c r="S27" s="98">
        <f t="shared" si="8"/>
        <v>46410</v>
      </c>
      <c r="T27" s="99"/>
      <c r="U27" s="99">
        <f t="shared" si="3"/>
        <v>487305</v>
      </c>
      <c r="V27" s="99"/>
      <c r="W27" s="99"/>
      <c r="X27" s="151"/>
      <c r="Y27" s="99"/>
      <c r="Z27" s="99"/>
      <c r="AA27" s="99">
        <f t="shared" si="4"/>
        <v>4153695</v>
      </c>
      <c r="AB27" s="101" t="str">
        <f t="shared" si="5"/>
        <v>15</v>
      </c>
      <c r="AC27" s="102"/>
      <c r="AD27" s="102"/>
      <c r="AE27" s="120"/>
      <c r="AF27" s="116"/>
      <c r="AK27" s="411"/>
    </row>
    <row r="28" spans="1:37" s="104" customFormat="1" ht="28.5" customHeight="1">
      <c r="A28" s="202" t="s">
        <v>29</v>
      </c>
      <c r="B28" s="94" t="s">
        <v>140</v>
      </c>
      <c r="C28" s="95" t="s">
        <v>58</v>
      </c>
      <c r="D28" s="112" t="s">
        <v>274</v>
      </c>
      <c r="E28" s="228" t="str">
        <f>VLOOKUP(B28,[2]T3!$B$2:$D$328,3,FALSE)</f>
        <v>025177943</v>
      </c>
      <c r="F28" s="209" t="s">
        <v>215</v>
      </c>
      <c r="G28" s="107" t="s">
        <v>245</v>
      </c>
      <c r="H28" s="96">
        <v>4</v>
      </c>
      <c r="I28" s="98">
        <v>5474872</v>
      </c>
      <c r="J28" s="113"/>
      <c r="K28" s="98"/>
      <c r="L28" s="98">
        <f t="shared" si="0"/>
        <v>5474872</v>
      </c>
      <c r="M28" s="98"/>
      <c r="N28" s="98">
        <f t="shared" si="1"/>
        <v>0</v>
      </c>
      <c r="O28" s="98"/>
      <c r="P28" s="98">
        <f t="shared" si="2"/>
        <v>5474872</v>
      </c>
      <c r="Q28" s="98">
        <f t="shared" si="6"/>
        <v>437989.76</v>
      </c>
      <c r="R28" s="99">
        <f t="shared" si="7"/>
        <v>82123.08</v>
      </c>
      <c r="S28" s="98">
        <f t="shared" si="8"/>
        <v>54748.72</v>
      </c>
      <c r="T28" s="99"/>
      <c r="U28" s="99">
        <f t="shared" si="3"/>
        <v>574861.56000000006</v>
      </c>
      <c r="V28" s="99"/>
      <c r="W28" s="99"/>
      <c r="X28" s="99"/>
      <c r="Y28" s="99"/>
      <c r="Z28" s="99"/>
      <c r="AA28" s="99">
        <f t="shared" si="4"/>
        <v>4900010.4399999995</v>
      </c>
      <c r="AB28" s="101" t="str">
        <f t="shared" si="5"/>
        <v>16</v>
      </c>
      <c r="AC28" s="102"/>
      <c r="AD28" s="135">
        <f>2.67-2.41</f>
        <v>0.25999999999999979</v>
      </c>
      <c r="AE28" s="106" t="s">
        <v>59</v>
      </c>
      <c r="AF28" s="136"/>
      <c r="AG28" s="137"/>
      <c r="AK28" s="111"/>
    </row>
    <row r="29" spans="1:37" s="104" customFormat="1" ht="27.75" customHeight="1">
      <c r="A29" s="202" t="s">
        <v>30</v>
      </c>
      <c r="B29" s="94" t="s">
        <v>144</v>
      </c>
      <c r="C29" s="95" t="s">
        <v>23</v>
      </c>
      <c r="D29" s="112" t="s">
        <v>274</v>
      </c>
      <c r="E29" s="228" t="str">
        <f>VLOOKUP(B29,[2]T3!$B$2:$D$328,3,FALSE)</f>
        <v>025632449</v>
      </c>
      <c r="F29" s="209" t="s">
        <v>220</v>
      </c>
      <c r="G29" s="107" t="s">
        <v>245</v>
      </c>
      <c r="H29" s="233">
        <v>2</v>
      </c>
      <c r="I29" s="98">
        <v>4965870</v>
      </c>
      <c r="J29" s="113"/>
      <c r="K29" s="98"/>
      <c r="L29" s="98">
        <f t="shared" si="0"/>
        <v>4965870</v>
      </c>
      <c r="M29" s="98"/>
      <c r="N29" s="98">
        <f t="shared" si="1"/>
        <v>0</v>
      </c>
      <c r="O29" s="98"/>
      <c r="P29" s="98">
        <f t="shared" si="2"/>
        <v>4965870</v>
      </c>
      <c r="Q29" s="98">
        <f t="shared" si="6"/>
        <v>397269.60000000003</v>
      </c>
      <c r="R29" s="99">
        <f t="shared" si="7"/>
        <v>74488.05</v>
      </c>
      <c r="S29" s="98">
        <f t="shared" si="8"/>
        <v>49658.700000000004</v>
      </c>
      <c r="T29" s="99"/>
      <c r="U29" s="99">
        <f t="shared" si="3"/>
        <v>521416.35000000003</v>
      </c>
      <c r="V29" s="99"/>
      <c r="W29" s="99"/>
      <c r="X29" s="99"/>
      <c r="Y29" s="99"/>
      <c r="Z29" s="99"/>
      <c r="AA29" s="99">
        <f t="shared" si="4"/>
        <v>4444453.6500000004</v>
      </c>
      <c r="AB29" s="101" t="str">
        <f t="shared" si="5"/>
        <v>17</v>
      </c>
      <c r="AC29" s="102"/>
      <c r="AD29" s="120" t="s">
        <v>85</v>
      </c>
      <c r="AE29" s="109"/>
      <c r="AF29" s="120" t="s">
        <v>111</v>
      </c>
      <c r="AG29" s="110"/>
      <c r="AH29" s="110"/>
      <c r="AK29" s="111"/>
    </row>
    <row r="30" spans="1:37" s="104" customFormat="1" ht="25.5" customHeight="1">
      <c r="A30" s="202" t="s">
        <v>88</v>
      </c>
      <c r="B30" s="396" t="s">
        <v>276</v>
      </c>
      <c r="C30" s="408"/>
      <c r="D30" s="398" t="s">
        <v>277</v>
      </c>
      <c r="E30" s="399"/>
      <c r="F30" s="400"/>
      <c r="G30" s="401" t="s">
        <v>246</v>
      </c>
      <c r="H30" s="402">
        <v>1</v>
      </c>
      <c r="I30" s="403">
        <v>4641000</v>
      </c>
      <c r="J30" s="404"/>
      <c r="K30" s="403"/>
      <c r="L30" s="403">
        <f t="shared" si="0"/>
        <v>4641000</v>
      </c>
      <c r="M30" s="403"/>
      <c r="N30" s="403">
        <f t="shared" si="1"/>
        <v>0</v>
      </c>
      <c r="O30" s="403"/>
      <c r="P30" s="403">
        <f t="shared" si="2"/>
        <v>4641000</v>
      </c>
      <c r="Q30" s="403">
        <f t="shared" si="6"/>
        <v>371280</v>
      </c>
      <c r="R30" s="405">
        <f t="shared" si="7"/>
        <v>69615</v>
      </c>
      <c r="S30" s="403">
        <f t="shared" si="8"/>
        <v>46410</v>
      </c>
      <c r="T30" s="405"/>
      <c r="U30" s="405">
        <f t="shared" si="3"/>
        <v>487305</v>
      </c>
      <c r="V30" s="405"/>
      <c r="W30" s="409"/>
      <c r="X30" s="409"/>
      <c r="Y30" s="409"/>
      <c r="Z30" s="409"/>
      <c r="AA30" s="405">
        <f t="shared" si="4"/>
        <v>4153695</v>
      </c>
      <c r="AB30" s="406" t="str">
        <f t="shared" si="5"/>
        <v>18</v>
      </c>
      <c r="AC30" s="410" t="s">
        <v>377</v>
      </c>
      <c r="AD30" s="255" t="s">
        <v>278</v>
      </c>
      <c r="AE30" s="117"/>
      <c r="AF30" s="144"/>
      <c r="AG30" s="412"/>
      <c r="AK30" s="105"/>
    </row>
    <row r="31" spans="1:37" s="104" customFormat="1" ht="38.25" customHeight="1">
      <c r="A31" s="202" t="s">
        <v>89</v>
      </c>
      <c r="B31" s="94" t="s">
        <v>303</v>
      </c>
      <c r="C31" s="95"/>
      <c r="D31" s="112" t="s">
        <v>304</v>
      </c>
      <c r="E31" s="228"/>
      <c r="F31" s="223"/>
      <c r="G31" s="97" t="s">
        <v>246</v>
      </c>
      <c r="H31" s="233">
        <v>1</v>
      </c>
      <c r="I31" s="98">
        <v>4420000</v>
      </c>
      <c r="J31" s="113"/>
      <c r="K31" s="98"/>
      <c r="L31" s="98">
        <f t="shared" si="0"/>
        <v>4420000</v>
      </c>
      <c r="M31" s="98"/>
      <c r="N31" s="98">
        <f t="shared" si="1"/>
        <v>0</v>
      </c>
      <c r="O31" s="98"/>
      <c r="P31" s="98">
        <f t="shared" si="2"/>
        <v>4420000</v>
      </c>
      <c r="Q31" s="98">
        <f t="shared" si="6"/>
        <v>353600</v>
      </c>
      <c r="R31" s="99">
        <f t="shared" si="7"/>
        <v>66300</v>
      </c>
      <c r="S31" s="98">
        <f t="shared" si="8"/>
        <v>44200</v>
      </c>
      <c r="T31" s="99"/>
      <c r="U31" s="99">
        <f t="shared" si="3"/>
        <v>464100</v>
      </c>
      <c r="V31" s="99"/>
      <c r="W31" s="100"/>
      <c r="X31" s="100"/>
      <c r="Y31" s="100"/>
      <c r="Z31" s="100"/>
      <c r="AA31" s="99">
        <f t="shared" si="4"/>
        <v>3955900</v>
      </c>
      <c r="AB31" s="101" t="str">
        <f t="shared" si="5"/>
        <v>19</v>
      </c>
      <c r="AC31" s="255"/>
      <c r="AD31" s="255" t="s">
        <v>314</v>
      </c>
      <c r="AE31" s="117"/>
      <c r="AF31" s="144"/>
      <c r="AG31" s="412"/>
      <c r="AK31" s="105"/>
    </row>
    <row r="32" spans="1:37" s="104" customFormat="1" ht="31.5" customHeight="1">
      <c r="A32" s="202" t="s">
        <v>90</v>
      </c>
      <c r="B32" s="94" t="s">
        <v>350</v>
      </c>
      <c r="C32" s="95"/>
      <c r="D32" s="112" t="s">
        <v>239</v>
      </c>
      <c r="E32" s="228"/>
      <c r="F32" s="209"/>
      <c r="G32" s="97" t="s">
        <v>246</v>
      </c>
      <c r="H32" s="233">
        <v>12</v>
      </c>
      <c r="I32" s="98">
        <v>7559700</v>
      </c>
      <c r="J32" s="339">
        <v>0.55000000000000004</v>
      </c>
      <c r="K32" s="113">
        <f>I32*J32</f>
        <v>4157835.0000000005</v>
      </c>
      <c r="L32" s="98">
        <f t="shared" si="0"/>
        <v>11717535</v>
      </c>
      <c r="M32" s="98"/>
      <c r="N32" s="98">
        <f t="shared" si="1"/>
        <v>0</v>
      </c>
      <c r="O32" s="98"/>
      <c r="P32" s="98">
        <f t="shared" si="2"/>
        <v>11717535</v>
      </c>
      <c r="Q32" s="98">
        <f t="shared" si="6"/>
        <v>937402.8</v>
      </c>
      <c r="R32" s="99">
        <f t="shared" si="7"/>
        <v>175763.02499999999</v>
      </c>
      <c r="S32" s="98">
        <f t="shared" si="8"/>
        <v>117175.35</v>
      </c>
      <c r="T32" s="99"/>
      <c r="U32" s="99">
        <f t="shared" si="3"/>
        <v>1230341.175</v>
      </c>
      <c r="V32" s="99"/>
      <c r="W32" s="99"/>
      <c r="X32" s="151"/>
      <c r="Y32" s="99"/>
      <c r="Z32" s="99"/>
      <c r="AA32" s="99">
        <f t="shared" si="4"/>
        <v>10487193.824999999</v>
      </c>
      <c r="AB32" s="101" t="str">
        <f t="shared" si="5"/>
        <v>20</v>
      </c>
      <c r="AC32" s="102"/>
      <c r="AD32" s="102"/>
      <c r="AE32" s="120"/>
      <c r="AF32" s="116"/>
      <c r="AG32" s="412"/>
      <c r="AK32" s="105"/>
    </row>
    <row r="33" spans="1:37" s="104" customFormat="1" ht="39.75" customHeight="1">
      <c r="A33" s="202" t="s">
        <v>91</v>
      </c>
      <c r="B33" s="94" t="s">
        <v>305</v>
      </c>
      <c r="C33" s="95"/>
      <c r="D33" s="112" t="s">
        <v>304</v>
      </c>
      <c r="E33" s="228"/>
      <c r="F33" s="223"/>
      <c r="G33" s="97" t="s">
        <v>246</v>
      </c>
      <c r="H33" s="233">
        <v>1</v>
      </c>
      <c r="I33" s="98">
        <v>4420000</v>
      </c>
      <c r="J33" s="113"/>
      <c r="K33" s="98"/>
      <c r="L33" s="98">
        <f t="shared" si="0"/>
        <v>4420000</v>
      </c>
      <c r="M33" s="98"/>
      <c r="N33" s="98">
        <f t="shared" si="1"/>
        <v>0</v>
      </c>
      <c r="O33" s="98"/>
      <c r="P33" s="98">
        <f t="shared" si="2"/>
        <v>4420000</v>
      </c>
      <c r="Q33" s="98">
        <f t="shared" si="6"/>
        <v>353600</v>
      </c>
      <c r="R33" s="99">
        <f t="shared" si="7"/>
        <v>66300</v>
      </c>
      <c r="S33" s="98">
        <f t="shared" si="8"/>
        <v>44200</v>
      </c>
      <c r="T33" s="99"/>
      <c r="U33" s="99">
        <f t="shared" si="3"/>
        <v>464100</v>
      </c>
      <c r="V33" s="99"/>
      <c r="W33" s="100"/>
      <c r="X33" s="100"/>
      <c r="Y33" s="100"/>
      <c r="Z33" s="100"/>
      <c r="AA33" s="99">
        <f t="shared" si="4"/>
        <v>3955900</v>
      </c>
      <c r="AB33" s="101" t="str">
        <f t="shared" si="5"/>
        <v>21</v>
      </c>
      <c r="AC33" s="255"/>
      <c r="AD33" s="255" t="s">
        <v>315</v>
      </c>
      <c r="AE33" s="117"/>
      <c r="AF33" s="144"/>
      <c r="AG33" s="412"/>
      <c r="AK33" s="105"/>
    </row>
    <row r="34" spans="1:37" s="104" customFormat="1" ht="39.75" customHeight="1">
      <c r="A34" s="202" t="s">
        <v>92</v>
      </c>
      <c r="B34" s="383" t="s">
        <v>370</v>
      </c>
      <c r="C34" s="384"/>
      <c r="D34" s="385" t="s">
        <v>371</v>
      </c>
      <c r="E34" s="386"/>
      <c r="F34" s="387"/>
      <c r="G34" s="388" t="s">
        <v>246</v>
      </c>
      <c r="H34" s="389">
        <v>1</v>
      </c>
      <c r="I34" s="390">
        <v>4420000</v>
      </c>
      <c r="J34" s="391"/>
      <c r="K34" s="390"/>
      <c r="L34" s="390">
        <f t="shared" si="0"/>
        <v>4420000</v>
      </c>
      <c r="M34" s="390"/>
      <c r="N34" s="390">
        <f t="shared" si="1"/>
        <v>0</v>
      </c>
      <c r="O34" s="390"/>
      <c r="P34" s="390">
        <f t="shared" si="2"/>
        <v>4420000</v>
      </c>
      <c r="Q34" s="390">
        <f t="shared" si="6"/>
        <v>353600</v>
      </c>
      <c r="R34" s="392">
        <f t="shared" si="7"/>
        <v>66300</v>
      </c>
      <c r="S34" s="390">
        <f t="shared" si="8"/>
        <v>44200</v>
      </c>
      <c r="T34" s="392"/>
      <c r="U34" s="392">
        <f t="shared" si="3"/>
        <v>464100</v>
      </c>
      <c r="V34" s="392"/>
      <c r="W34" s="393"/>
      <c r="X34" s="393"/>
      <c r="Y34" s="393"/>
      <c r="Z34" s="393"/>
      <c r="AA34" s="392">
        <f t="shared" si="4"/>
        <v>3955900</v>
      </c>
      <c r="AB34" s="394" t="str">
        <f>A34</f>
        <v>22</v>
      </c>
      <c r="AC34" s="395" t="s">
        <v>374</v>
      </c>
      <c r="AD34" s="255"/>
      <c r="AE34" s="117"/>
      <c r="AF34" s="144"/>
      <c r="AG34" s="412"/>
      <c r="AK34" s="105"/>
    </row>
    <row r="35" spans="1:37" s="412" customFormat="1" ht="30" customHeight="1">
      <c r="A35" s="202" t="s">
        <v>93</v>
      </c>
      <c r="B35" s="94" t="s">
        <v>254</v>
      </c>
      <c r="C35" s="95"/>
      <c r="D35" s="112" t="s">
        <v>255</v>
      </c>
      <c r="E35" s="228"/>
      <c r="F35" s="223"/>
      <c r="G35" s="107" t="s">
        <v>245</v>
      </c>
      <c r="H35" s="96">
        <v>7</v>
      </c>
      <c r="I35" s="98">
        <v>6337848</v>
      </c>
      <c r="J35" s="113"/>
      <c r="K35" s="98"/>
      <c r="L35" s="98">
        <f t="shared" si="0"/>
        <v>6337848</v>
      </c>
      <c r="M35" s="98"/>
      <c r="N35" s="98">
        <f t="shared" si="1"/>
        <v>0</v>
      </c>
      <c r="O35" s="98"/>
      <c r="P35" s="98">
        <f t="shared" si="2"/>
        <v>6337848</v>
      </c>
      <c r="Q35" s="98">
        <f>L35*8%+1</f>
        <v>507028.84</v>
      </c>
      <c r="R35" s="99">
        <f t="shared" si="7"/>
        <v>95067.72</v>
      </c>
      <c r="S35" s="98">
        <f t="shared" si="8"/>
        <v>63378.48</v>
      </c>
      <c r="T35" s="99"/>
      <c r="U35" s="99">
        <f t="shared" si="3"/>
        <v>665475.04</v>
      </c>
      <c r="V35" s="99"/>
      <c r="W35" s="100"/>
      <c r="X35" s="100"/>
      <c r="Y35" s="100"/>
      <c r="Z35" s="100">
        <v>852000</v>
      </c>
      <c r="AA35" s="99">
        <f t="shared" si="4"/>
        <v>6524372.96</v>
      </c>
      <c r="AB35" s="101" t="str">
        <f>A35</f>
        <v>23</v>
      </c>
      <c r="AC35" s="102"/>
      <c r="AD35" s="102"/>
      <c r="AE35" s="109"/>
      <c r="AF35" s="110"/>
      <c r="AG35" s="110"/>
      <c r="AH35" s="110"/>
      <c r="AI35" s="110"/>
      <c r="AJ35" s="109"/>
      <c r="AK35" s="111"/>
    </row>
    <row r="36" spans="1:37" s="412" customFormat="1" ht="24.75" customHeight="1">
      <c r="A36" s="202" t="s">
        <v>94</v>
      </c>
      <c r="B36" s="94" t="s">
        <v>133</v>
      </c>
      <c r="C36" s="95" t="s">
        <v>65</v>
      </c>
      <c r="D36" s="112" t="s">
        <v>73</v>
      </c>
      <c r="E36" s="228" t="str">
        <f>VLOOKUP(B36,[2]T3!$B$2:$D$328,3,FALSE)</f>
        <v>230718298</v>
      </c>
      <c r="F36" s="209" t="s">
        <v>206</v>
      </c>
      <c r="G36" s="107" t="s">
        <v>242</v>
      </c>
      <c r="H36" s="233">
        <v>5</v>
      </c>
      <c r="I36" s="98">
        <v>6151018</v>
      </c>
      <c r="J36" s="113"/>
      <c r="K36" s="98"/>
      <c r="L36" s="98">
        <f t="shared" si="0"/>
        <v>6151018</v>
      </c>
      <c r="M36" s="98">
        <v>0</v>
      </c>
      <c r="N36" s="98">
        <f t="shared" si="1"/>
        <v>0</v>
      </c>
      <c r="O36" s="98"/>
      <c r="P36" s="98">
        <f t="shared" si="2"/>
        <v>6151018</v>
      </c>
      <c r="Q36" s="98">
        <f t="shared" ref="Q36:Q59" si="9">L36*8%</f>
        <v>492081.44</v>
      </c>
      <c r="R36" s="99">
        <f t="shared" si="7"/>
        <v>92265.26999999999</v>
      </c>
      <c r="S36" s="98">
        <f t="shared" si="8"/>
        <v>61510.18</v>
      </c>
      <c r="T36" s="99"/>
      <c r="U36" s="99">
        <f t="shared" si="3"/>
        <v>645856.89</v>
      </c>
      <c r="V36" s="99"/>
      <c r="W36" s="100"/>
      <c r="X36" s="100"/>
      <c r="Y36" s="100"/>
      <c r="Z36" s="100"/>
      <c r="AA36" s="99">
        <f t="shared" si="4"/>
        <v>5505161.1100000003</v>
      </c>
      <c r="AB36" s="101" t="str">
        <f t="shared" ref="AB36:AB59" si="10">A36</f>
        <v>24</v>
      </c>
      <c r="AC36" s="102"/>
      <c r="AD36" s="102" t="s">
        <v>105</v>
      </c>
      <c r="AE36" s="108"/>
      <c r="AG36" s="412" t="e">
        <f>#REF!-#REF!</f>
        <v>#REF!</v>
      </c>
      <c r="AH36" s="116"/>
      <c r="AK36" s="411"/>
    </row>
    <row r="37" spans="1:37" s="104" customFormat="1" ht="24.75" customHeight="1">
      <c r="A37" s="202" t="s">
        <v>95</v>
      </c>
      <c r="B37" s="94" t="s">
        <v>290</v>
      </c>
      <c r="C37" s="95"/>
      <c r="D37" s="112" t="s">
        <v>291</v>
      </c>
      <c r="E37" s="228"/>
      <c r="F37" s="223"/>
      <c r="G37" s="97" t="s">
        <v>242</v>
      </c>
      <c r="H37" s="233">
        <v>1</v>
      </c>
      <c r="I37" s="98">
        <v>5060458</v>
      </c>
      <c r="J37" s="113"/>
      <c r="K37" s="98"/>
      <c r="L37" s="98">
        <f t="shared" si="0"/>
        <v>5060458</v>
      </c>
      <c r="M37" s="98"/>
      <c r="N37" s="98">
        <f t="shared" si="1"/>
        <v>0</v>
      </c>
      <c r="O37" s="98"/>
      <c r="P37" s="98">
        <f t="shared" si="2"/>
        <v>5060458</v>
      </c>
      <c r="Q37" s="98">
        <f t="shared" si="9"/>
        <v>404836.64</v>
      </c>
      <c r="R37" s="99">
        <f t="shared" si="7"/>
        <v>75906.87</v>
      </c>
      <c r="S37" s="98">
        <f t="shared" si="8"/>
        <v>50604.58</v>
      </c>
      <c r="T37" s="99"/>
      <c r="U37" s="99">
        <f t="shared" si="3"/>
        <v>531348.09</v>
      </c>
      <c r="V37" s="99"/>
      <c r="W37" s="100"/>
      <c r="X37" s="100"/>
      <c r="Y37" s="100"/>
      <c r="Z37" s="100"/>
      <c r="AA37" s="99">
        <f t="shared" si="4"/>
        <v>4529109.91</v>
      </c>
      <c r="AB37" s="101" t="str">
        <f t="shared" si="10"/>
        <v>25</v>
      </c>
      <c r="AC37" s="255"/>
      <c r="AD37" s="255" t="s">
        <v>300</v>
      </c>
      <c r="AE37" s="117"/>
      <c r="AF37" s="144"/>
      <c r="AG37" s="412"/>
      <c r="AK37" s="105"/>
    </row>
    <row r="38" spans="1:37" s="104" customFormat="1" ht="33" customHeight="1">
      <c r="A38" s="202" t="s">
        <v>96</v>
      </c>
      <c r="B38" s="94" t="s">
        <v>327</v>
      </c>
      <c r="C38" s="95"/>
      <c r="D38" s="112" t="s">
        <v>326</v>
      </c>
      <c r="E38" s="228"/>
      <c r="F38" s="336" t="s">
        <v>337</v>
      </c>
      <c r="G38" s="97" t="s">
        <v>242</v>
      </c>
      <c r="H38" s="233">
        <v>1</v>
      </c>
      <c r="I38" s="98">
        <v>5060458</v>
      </c>
      <c r="J38" s="113"/>
      <c r="K38" s="98"/>
      <c r="L38" s="98">
        <f t="shared" si="0"/>
        <v>5060458</v>
      </c>
      <c r="M38" s="98"/>
      <c r="N38" s="98">
        <f t="shared" si="1"/>
        <v>0</v>
      </c>
      <c r="O38" s="98"/>
      <c r="P38" s="98">
        <f t="shared" si="2"/>
        <v>5060458</v>
      </c>
      <c r="Q38" s="98">
        <f t="shared" si="9"/>
        <v>404836.64</v>
      </c>
      <c r="R38" s="99">
        <f t="shared" si="7"/>
        <v>75906.87</v>
      </c>
      <c r="S38" s="98">
        <f t="shared" si="8"/>
        <v>50604.58</v>
      </c>
      <c r="T38" s="99"/>
      <c r="U38" s="99">
        <f t="shared" si="3"/>
        <v>531348.09</v>
      </c>
      <c r="V38" s="99"/>
      <c r="W38" s="100"/>
      <c r="X38" s="100"/>
      <c r="Y38" s="100"/>
      <c r="Z38" s="100"/>
      <c r="AA38" s="99">
        <f t="shared" si="4"/>
        <v>4529109.91</v>
      </c>
      <c r="AB38" s="101" t="str">
        <f t="shared" si="10"/>
        <v>26</v>
      </c>
      <c r="AC38" s="255"/>
      <c r="AD38" s="335" t="s">
        <v>328</v>
      </c>
      <c r="AE38" s="117"/>
      <c r="AF38" s="144"/>
      <c r="AG38" s="412"/>
      <c r="AK38" s="105"/>
    </row>
    <row r="39" spans="1:37" s="104" customFormat="1" ht="36.75" customHeight="1">
      <c r="A39" s="202" t="s">
        <v>97</v>
      </c>
      <c r="B39" s="94" t="s">
        <v>138</v>
      </c>
      <c r="C39" s="95" t="s">
        <v>66</v>
      </c>
      <c r="D39" s="112" t="s">
        <v>172</v>
      </c>
      <c r="E39" s="227" t="s">
        <v>237</v>
      </c>
      <c r="F39" s="209" t="s">
        <v>214</v>
      </c>
      <c r="G39" s="107" t="s">
        <v>242</v>
      </c>
      <c r="H39" s="235">
        <v>7</v>
      </c>
      <c r="I39" s="98">
        <v>6781498</v>
      </c>
      <c r="J39" s="113"/>
      <c r="K39" s="98"/>
      <c r="L39" s="98">
        <f t="shared" si="0"/>
        <v>6781498</v>
      </c>
      <c r="M39" s="98"/>
      <c r="N39" s="98">
        <f t="shared" si="1"/>
        <v>0</v>
      </c>
      <c r="O39" s="98"/>
      <c r="P39" s="98">
        <f t="shared" si="2"/>
        <v>6781498</v>
      </c>
      <c r="Q39" s="98">
        <f t="shared" si="9"/>
        <v>542519.84</v>
      </c>
      <c r="R39" s="99">
        <f t="shared" si="7"/>
        <v>101722.47</v>
      </c>
      <c r="S39" s="98">
        <f t="shared" si="8"/>
        <v>67814.98</v>
      </c>
      <c r="T39" s="99"/>
      <c r="U39" s="99">
        <f t="shared" si="3"/>
        <v>712057.28999999992</v>
      </c>
      <c r="V39" s="99"/>
      <c r="W39" s="99"/>
      <c r="X39" s="99"/>
      <c r="Y39" s="99"/>
      <c r="Z39" s="99"/>
      <c r="AA39" s="99">
        <f t="shared" si="4"/>
        <v>6069440.71</v>
      </c>
      <c r="AB39" s="101" t="str">
        <f t="shared" si="10"/>
        <v>27</v>
      </c>
      <c r="AC39" s="102"/>
      <c r="AD39" s="103" t="s">
        <v>72</v>
      </c>
      <c r="AE39" s="152"/>
      <c r="AF39" s="104" t="e">
        <f>AF50*15</f>
        <v>#REF!</v>
      </c>
      <c r="AG39" s="412"/>
      <c r="AK39" s="105"/>
    </row>
    <row r="40" spans="1:37" s="104" customFormat="1" ht="42.75" customHeight="1">
      <c r="A40" s="202" t="s">
        <v>98</v>
      </c>
      <c r="B40" s="94" t="s">
        <v>283</v>
      </c>
      <c r="C40" s="95"/>
      <c r="D40" s="112" t="s">
        <v>287</v>
      </c>
      <c r="E40" s="228"/>
      <c r="F40" s="223" t="s">
        <v>324</v>
      </c>
      <c r="G40" s="97" t="s">
        <v>242</v>
      </c>
      <c r="H40" s="233">
        <v>1</v>
      </c>
      <c r="I40" s="98">
        <v>5060458</v>
      </c>
      <c r="J40" s="113"/>
      <c r="K40" s="98"/>
      <c r="L40" s="98">
        <f t="shared" si="0"/>
        <v>5060458</v>
      </c>
      <c r="M40" s="98"/>
      <c r="N40" s="98">
        <f t="shared" si="1"/>
        <v>0</v>
      </c>
      <c r="O40" s="98"/>
      <c r="P40" s="98">
        <f t="shared" si="2"/>
        <v>5060458</v>
      </c>
      <c r="Q40" s="98">
        <f t="shared" si="9"/>
        <v>404836.64</v>
      </c>
      <c r="R40" s="99">
        <f t="shared" si="7"/>
        <v>75906.87</v>
      </c>
      <c r="S40" s="98">
        <f t="shared" si="8"/>
        <v>50604.58</v>
      </c>
      <c r="T40" s="99"/>
      <c r="U40" s="99">
        <f t="shared" si="3"/>
        <v>531348.09</v>
      </c>
      <c r="V40" s="99"/>
      <c r="W40" s="100"/>
      <c r="X40" s="100"/>
      <c r="Y40" s="100"/>
      <c r="Z40" s="100"/>
      <c r="AA40" s="99">
        <f t="shared" si="4"/>
        <v>4529109.91</v>
      </c>
      <c r="AB40" s="101" t="str">
        <f t="shared" si="10"/>
        <v>28</v>
      </c>
      <c r="AC40" s="255"/>
      <c r="AD40" s="255" t="s">
        <v>284</v>
      </c>
      <c r="AE40" s="117"/>
      <c r="AF40" s="144"/>
      <c r="AG40" s="412"/>
      <c r="AK40" s="105"/>
    </row>
    <row r="41" spans="1:37" s="412" customFormat="1" ht="33" customHeight="1">
      <c r="A41" s="202" t="s">
        <v>99</v>
      </c>
      <c r="B41" s="143" t="s">
        <v>130</v>
      </c>
      <c r="C41" s="95" t="s">
        <v>7</v>
      </c>
      <c r="D41" s="112" t="s">
        <v>239</v>
      </c>
      <c r="E41" s="226" t="s">
        <v>233</v>
      </c>
      <c r="F41" s="223" t="s">
        <v>203</v>
      </c>
      <c r="G41" s="107" t="s">
        <v>245</v>
      </c>
      <c r="H41" s="233">
        <v>4</v>
      </c>
      <c r="I41" s="98">
        <v>5474872</v>
      </c>
      <c r="J41" s="113"/>
      <c r="K41" s="98"/>
      <c r="L41" s="98">
        <f t="shared" si="0"/>
        <v>5474872</v>
      </c>
      <c r="M41" s="98"/>
      <c r="N41" s="98">
        <f t="shared" si="1"/>
        <v>0</v>
      </c>
      <c r="O41" s="98"/>
      <c r="P41" s="98">
        <f t="shared" si="2"/>
        <v>5474872</v>
      </c>
      <c r="Q41" s="98">
        <f t="shared" si="9"/>
        <v>437989.76</v>
      </c>
      <c r="R41" s="99">
        <f t="shared" si="7"/>
        <v>82123.08</v>
      </c>
      <c r="S41" s="98">
        <f t="shared" si="8"/>
        <v>54748.72</v>
      </c>
      <c r="T41" s="99"/>
      <c r="U41" s="99">
        <f t="shared" si="3"/>
        <v>574861.56000000006</v>
      </c>
      <c r="V41" s="151"/>
      <c r="W41" s="99"/>
      <c r="X41" s="151"/>
      <c r="Y41" s="99"/>
      <c r="Z41" s="99"/>
      <c r="AA41" s="99">
        <f t="shared" si="4"/>
        <v>4900010.4399999995</v>
      </c>
      <c r="AB41" s="101" t="str">
        <f t="shared" si="10"/>
        <v>29</v>
      </c>
      <c r="AC41" s="102" t="s">
        <v>359</v>
      </c>
      <c r="AD41" s="117">
        <f>AD21*10.5%</f>
        <v>486013.5</v>
      </c>
      <c r="AE41" s="754"/>
      <c r="AF41" s="755"/>
      <c r="AG41" s="755"/>
      <c r="AH41" s="755"/>
      <c r="AK41" s="119"/>
    </row>
    <row r="42" spans="1:37" s="104" customFormat="1" ht="37.5" customHeight="1">
      <c r="A42" s="202" t="s">
        <v>100</v>
      </c>
      <c r="B42" s="94" t="s">
        <v>145</v>
      </c>
      <c r="C42" s="95" t="s">
        <v>117</v>
      </c>
      <c r="D42" s="112" t="s">
        <v>287</v>
      </c>
      <c r="E42" s="226" t="s">
        <v>232</v>
      </c>
      <c r="F42" s="209" t="s">
        <v>210</v>
      </c>
      <c r="G42" s="107" t="s">
        <v>242</v>
      </c>
      <c r="H42" s="233">
        <v>1</v>
      </c>
      <c r="I42" s="98">
        <v>5060458</v>
      </c>
      <c r="J42" s="113"/>
      <c r="K42" s="98"/>
      <c r="L42" s="98">
        <f t="shared" si="0"/>
        <v>5060458</v>
      </c>
      <c r="M42" s="98"/>
      <c r="N42" s="98">
        <f t="shared" si="1"/>
        <v>0</v>
      </c>
      <c r="O42" s="98"/>
      <c r="P42" s="98">
        <f t="shared" si="2"/>
        <v>5060458</v>
      </c>
      <c r="Q42" s="98">
        <f t="shared" si="9"/>
        <v>404836.64</v>
      </c>
      <c r="R42" s="99">
        <f t="shared" si="7"/>
        <v>75906.87</v>
      </c>
      <c r="S42" s="98">
        <f t="shared" si="8"/>
        <v>50604.58</v>
      </c>
      <c r="T42" s="99"/>
      <c r="U42" s="99">
        <f t="shared" si="3"/>
        <v>531348.09</v>
      </c>
      <c r="V42" s="99"/>
      <c r="W42" s="99"/>
      <c r="X42" s="99"/>
      <c r="Y42" s="99"/>
      <c r="Z42" s="99"/>
      <c r="AA42" s="99">
        <f t="shared" si="4"/>
        <v>4529109.91</v>
      </c>
      <c r="AB42" s="101" t="str">
        <f t="shared" si="10"/>
        <v>30</v>
      </c>
      <c r="AC42" s="118"/>
      <c r="AD42" s="139" t="s">
        <v>118</v>
      </c>
      <c r="AE42" s="155"/>
      <c r="AF42" s="128"/>
      <c r="AG42" s="110"/>
      <c r="AH42" s="110"/>
      <c r="AK42" s="111"/>
    </row>
    <row r="43" spans="1:37" s="104" customFormat="1" ht="42.75" customHeight="1">
      <c r="A43" s="202" t="s">
        <v>101</v>
      </c>
      <c r="B43" s="94" t="s">
        <v>311</v>
      </c>
      <c r="C43" s="95"/>
      <c r="D43" s="112" t="s">
        <v>287</v>
      </c>
      <c r="E43" s="228"/>
      <c r="F43" s="223"/>
      <c r="G43" s="97" t="s">
        <v>242</v>
      </c>
      <c r="H43" s="233">
        <v>1</v>
      </c>
      <c r="I43" s="98">
        <v>5060458</v>
      </c>
      <c r="J43" s="113"/>
      <c r="K43" s="98"/>
      <c r="L43" s="98">
        <f t="shared" si="0"/>
        <v>5060458</v>
      </c>
      <c r="M43" s="98"/>
      <c r="N43" s="98">
        <f t="shared" si="1"/>
        <v>0</v>
      </c>
      <c r="O43" s="98"/>
      <c r="P43" s="98">
        <f t="shared" si="2"/>
        <v>5060458</v>
      </c>
      <c r="Q43" s="98">
        <f t="shared" si="9"/>
        <v>404836.64</v>
      </c>
      <c r="R43" s="99">
        <f t="shared" si="7"/>
        <v>75906.87</v>
      </c>
      <c r="S43" s="98">
        <f t="shared" si="8"/>
        <v>50604.58</v>
      </c>
      <c r="T43" s="99"/>
      <c r="U43" s="99">
        <f t="shared" si="3"/>
        <v>531348.09</v>
      </c>
      <c r="V43" s="99"/>
      <c r="W43" s="100"/>
      <c r="X43" s="100"/>
      <c r="Y43" s="100"/>
      <c r="Z43" s="100"/>
      <c r="AA43" s="99">
        <f t="shared" si="4"/>
        <v>4529109.91</v>
      </c>
      <c r="AB43" s="101" t="str">
        <f t="shared" si="10"/>
        <v>31</v>
      </c>
      <c r="AC43" s="255"/>
      <c r="AD43" s="255" t="s">
        <v>312</v>
      </c>
      <c r="AE43" s="117"/>
      <c r="AF43" s="144"/>
      <c r="AG43" s="412"/>
      <c r="AK43" s="105"/>
    </row>
    <row r="44" spans="1:37" s="412" customFormat="1" ht="39" customHeight="1">
      <c r="A44" s="202" t="s">
        <v>102</v>
      </c>
      <c r="B44" s="94" t="s">
        <v>346</v>
      </c>
      <c r="C44" s="95"/>
      <c r="D44" s="112" t="s">
        <v>347</v>
      </c>
      <c r="E44" s="228"/>
      <c r="F44" s="223"/>
      <c r="G44" s="97" t="s">
        <v>245</v>
      </c>
      <c r="H44" s="233">
        <v>4</v>
      </c>
      <c r="I44" s="98">
        <v>5474872</v>
      </c>
      <c r="J44" s="113"/>
      <c r="K44" s="98"/>
      <c r="L44" s="98">
        <f t="shared" si="0"/>
        <v>5474872</v>
      </c>
      <c r="M44" s="98"/>
      <c r="N44" s="98">
        <f t="shared" si="1"/>
        <v>0</v>
      </c>
      <c r="O44" s="98"/>
      <c r="P44" s="98">
        <f t="shared" si="2"/>
        <v>5474872</v>
      </c>
      <c r="Q44" s="98">
        <f t="shared" si="9"/>
        <v>437989.76</v>
      </c>
      <c r="R44" s="99">
        <f t="shared" si="7"/>
        <v>82123.08</v>
      </c>
      <c r="S44" s="98">
        <f t="shared" si="8"/>
        <v>54748.72</v>
      </c>
      <c r="T44" s="99"/>
      <c r="U44" s="99">
        <f t="shared" si="3"/>
        <v>574861.56000000006</v>
      </c>
      <c r="V44" s="99"/>
      <c r="W44" s="99"/>
      <c r="X44" s="151"/>
      <c r="Y44" s="99"/>
      <c r="Z44" s="99"/>
      <c r="AA44" s="99">
        <f t="shared" si="4"/>
        <v>4900010.4399999995</v>
      </c>
      <c r="AB44" s="101" t="str">
        <f t="shared" si="10"/>
        <v>32</v>
      </c>
      <c r="AC44" s="102"/>
      <c r="AD44" s="102"/>
      <c r="AE44" s="120"/>
      <c r="AF44" s="116"/>
      <c r="AK44" s="411"/>
    </row>
    <row r="45" spans="1:37" s="412" customFormat="1" ht="41.25" customHeight="1">
      <c r="A45" s="202" t="s">
        <v>103</v>
      </c>
      <c r="B45" s="94" t="s">
        <v>134</v>
      </c>
      <c r="C45" s="95" t="s">
        <v>56</v>
      </c>
      <c r="D45" s="112" t="s">
        <v>347</v>
      </c>
      <c r="E45" s="228" t="str">
        <f>VLOOKUP(B45,[2]T3!$B$2:$D$328,3,FALSE)</f>
        <v>025804258</v>
      </c>
      <c r="F45" s="223" t="s">
        <v>207</v>
      </c>
      <c r="G45" s="107" t="s">
        <v>245</v>
      </c>
      <c r="H45" s="96">
        <v>5</v>
      </c>
      <c r="I45" s="98">
        <v>5748615</v>
      </c>
      <c r="J45" s="113"/>
      <c r="K45" s="98"/>
      <c r="L45" s="98">
        <f>ROUND(I45+K45,0)</f>
        <v>5748615</v>
      </c>
      <c r="M45" s="98"/>
      <c r="N45" s="98">
        <f>L45/24*M45</f>
        <v>0</v>
      </c>
      <c r="O45" s="98"/>
      <c r="P45" s="98">
        <f>L45-N45+O45</f>
        <v>5748615</v>
      </c>
      <c r="Q45" s="98">
        <f>L45*8%</f>
        <v>459889.2</v>
      </c>
      <c r="R45" s="99">
        <f>L45*1.5%</f>
        <v>86229.224999999991</v>
      </c>
      <c r="S45" s="98">
        <f>L45*1%</f>
        <v>57486.15</v>
      </c>
      <c r="T45" s="99"/>
      <c r="U45" s="99">
        <f>SUM(Q45:T45)</f>
        <v>603604.57500000007</v>
      </c>
      <c r="V45" s="99"/>
      <c r="W45" s="100"/>
      <c r="X45" s="100"/>
      <c r="Y45" s="100"/>
      <c r="Z45" s="100"/>
      <c r="AA45" s="99">
        <f>P45-U45+W45+Y45+Z45</f>
        <v>5145010.4249999998</v>
      </c>
      <c r="AB45" s="101" t="str">
        <f>A45</f>
        <v>33</v>
      </c>
      <c r="AC45" s="102"/>
      <c r="AD45" s="102" t="s">
        <v>106</v>
      </c>
      <c r="AE45" s="109">
        <v>1786995</v>
      </c>
      <c r="AF45" s="110">
        <f>AE45/26</f>
        <v>68730.576923076922</v>
      </c>
      <c r="AG45" s="110"/>
      <c r="AH45" s="110" t="e">
        <f>#REF!+48000</f>
        <v>#REF!</v>
      </c>
      <c r="AI45" s="110"/>
      <c r="AJ45" s="109"/>
      <c r="AK45" s="111"/>
    </row>
    <row r="46" spans="1:37" s="104" customFormat="1" ht="33" customHeight="1">
      <c r="A46" s="202" t="s">
        <v>104</v>
      </c>
      <c r="B46" s="94" t="s">
        <v>128</v>
      </c>
      <c r="C46" s="95" t="s">
        <v>123</v>
      </c>
      <c r="D46" s="112" t="s">
        <v>187</v>
      </c>
      <c r="E46" s="228" t="str">
        <f>VLOOKUP(B46,[2]T3!$B$2:$D$328,3,FALSE)</f>
        <v>024759058</v>
      </c>
      <c r="F46" s="209" t="s">
        <v>224</v>
      </c>
      <c r="G46" s="107" t="s">
        <v>242</v>
      </c>
      <c r="H46" s="333">
        <v>1</v>
      </c>
      <c r="I46" s="98">
        <v>5060458</v>
      </c>
      <c r="J46" s="113"/>
      <c r="K46" s="98"/>
      <c r="L46" s="98">
        <f t="shared" si="0"/>
        <v>5060458</v>
      </c>
      <c r="M46" s="98"/>
      <c r="N46" s="98">
        <f t="shared" si="1"/>
        <v>0</v>
      </c>
      <c r="O46" s="98"/>
      <c r="P46" s="98">
        <f t="shared" si="2"/>
        <v>5060458</v>
      </c>
      <c r="Q46" s="98">
        <f t="shared" si="9"/>
        <v>404836.64</v>
      </c>
      <c r="R46" s="99">
        <f t="shared" si="7"/>
        <v>75906.87</v>
      </c>
      <c r="S46" s="98">
        <f t="shared" si="8"/>
        <v>50604.58</v>
      </c>
      <c r="T46" s="99"/>
      <c r="U46" s="99">
        <f t="shared" si="3"/>
        <v>531348.09</v>
      </c>
      <c r="V46" s="99"/>
      <c r="W46" s="334"/>
      <c r="X46" s="334"/>
      <c r="Y46" s="334"/>
      <c r="Z46" s="334"/>
      <c r="AA46" s="99">
        <f t="shared" si="4"/>
        <v>4529109.91</v>
      </c>
      <c r="AB46" s="101" t="str">
        <f t="shared" si="10"/>
        <v>34</v>
      </c>
      <c r="AC46" s="102"/>
      <c r="AD46" s="145" t="s">
        <v>126</v>
      </c>
      <c r="AE46" s="412"/>
      <c r="AF46" s="412"/>
      <c r="AJ46" s="105"/>
    </row>
    <row r="47" spans="1:37" s="104" customFormat="1" ht="28.5" customHeight="1">
      <c r="A47" s="202" t="s">
        <v>258</v>
      </c>
      <c r="B47" s="94" t="s">
        <v>141</v>
      </c>
      <c r="C47" s="95" t="s">
        <v>87</v>
      </c>
      <c r="D47" s="112" t="s">
        <v>187</v>
      </c>
      <c r="E47" s="228" t="str">
        <f>VLOOKUP(B47,[2]T3!$B$2:$D$328,3,FALSE)</f>
        <v>025128010</v>
      </c>
      <c r="F47" s="209" t="s">
        <v>216</v>
      </c>
      <c r="G47" s="107" t="s">
        <v>242</v>
      </c>
      <c r="H47" s="96">
        <v>3</v>
      </c>
      <c r="I47" s="98">
        <v>5579155</v>
      </c>
      <c r="J47" s="113"/>
      <c r="K47" s="98"/>
      <c r="L47" s="98">
        <f t="shared" si="0"/>
        <v>5579155</v>
      </c>
      <c r="M47" s="98"/>
      <c r="N47" s="98">
        <f t="shared" si="1"/>
        <v>0</v>
      </c>
      <c r="O47" s="98"/>
      <c r="P47" s="98">
        <f t="shared" si="2"/>
        <v>5579155</v>
      </c>
      <c r="Q47" s="98">
        <f t="shared" si="9"/>
        <v>446332.4</v>
      </c>
      <c r="R47" s="99">
        <f t="shared" si="7"/>
        <v>83687.324999999997</v>
      </c>
      <c r="S47" s="98">
        <f t="shared" si="8"/>
        <v>55791.55</v>
      </c>
      <c r="T47" s="99"/>
      <c r="U47" s="99">
        <f t="shared" si="3"/>
        <v>585811.27500000002</v>
      </c>
      <c r="V47" s="99"/>
      <c r="W47" s="99"/>
      <c r="X47" s="99"/>
      <c r="Y47" s="99"/>
      <c r="Z47" s="99"/>
      <c r="AA47" s="99">
        <f t="shared" si="4"/>
        <v>4993343.7249999996</v>
      </c>
      <c r="AB47" s="101" t="str">
        <f t="shared" si="10"/>
        <v>35</v>
      </c>
      <c r="AC47" s="102"/>
      <c r="AD47" s="127" t="s">
        <v>115</v>
      </c>
      <c r="AE47" s="109" t="e">
        <f>AE22*4</f>
        <v>#REF!</v>
      </c>
      <c r="AF47" s="120"/>
      <c r="AG47" s="110"/>
      <c r="AH47" s="110"/>
      <c r="AK47" s="111"/>
    </row>
    <row r="48" spans="1:37" s="104" customFormat="1" ht="28.5" customHeight="1">
      <c r="A48" s="202" t="s">
        <v>259</v>
      </c>
      <c r="B48" s="94" t="s">
        <v>163</v>
      </c>
      <c r="C48" s="95"/>
      <c r="D48" s="112" t="s">
        <v>187</v>
      </c>
      <c r="E48" s="228" t="str">
        <f>VLOOKUP(B48,[2]T3!$B$2:$D$328,3,FALSE)</f>
        <v>290936998</v>
      </c>
      <c r="F48" s="209" t="s">
        <v>221</v>
      </c>
      <c r="G48" s="97" t="s">
        <v>242</v>
      </c>
      <c r="H48" s="233">
        <v>5</v>
      </c>
      <c r="I48" s="98">
        <v>6151018</v>
      </c>
      <c r="J48" s="113"/>
      <c r="K48" s="98"/>
      <c r="L48" s="98">
        <f t="shared" si="0"/>
        <v>6151018</v>
      </c>
      <c r="M48" s="98"/>
      <c r="N48" s="98">
        <f t="shared" si="1"/>
        <v>0</v>
      </c>
      <c r="O48" s="98"/>
      <c r="P48" s="98">
        <f t="shared" si="2"/>
        <v>6151018</v>
      </c>
      <c r="Q48" s="98">
        <f t="shared" si="9"/>
        <v>492081.44</v>
      </c>
      <c r="R48" s="99">
        <f t="shared" si="7"/>
        <v>92265.26999999999</v>
      </c>
      <c r="S48" s="98">
        <f t="shared" si="8"/>
        <v>61510.18</v>
      </c>
      <c r="T48" s="99"/>
      <c r="U48" s="99">
        <f t="shared" si="3"/>
        <v>645856.89</v>
      </c>
      <c r="V48" s="99"/>
      <c r="W48" s="99"/>
      <c r="X48" s="99"/>
      <c r="Y48" s="99"/>
      <c r="Z48" s="99"/>
      <c r="AA48" s="99">
        <f t="shared" si="4"/>
        <v>5505161.1100000003</v>
      </c>
      <c r="AB48" s="101" t="str">
        <f t="shared" si="10"/>
        <v>36</v>
      </c>
      <c r="AC48" s="118"/>
      <c r="AD48" s="155"/>
      <c r="AE48" s="155"/>
      <c r="AF48" s="128"/>
      <c r="AG48" s="110"/>
      <c r="AH48" s="110"/>
      <c r="AK48" s="111"/>
    </row>
    <row r="49" spans="1:37" s="104" customFormat="1" ht="28.5" customHeight="1">
      <c r="A49" s="202" t="s">
        <v>260</v>
      </c>
      <c r="B49" s="94" t="s">
        <v>146</v>
      </c>
      <c r="C49" s="95" t="s">
        <v>63</v>
      </c>
      <c r="D49" s="112" t="s">
        <v>187</v>
      </c>
      <c r="E49" s="228" t="str">
        <f>VLOOKUP(B49,[2]T3!$B$2:$D$328,3,FALSE)</f>
        <v>001186011890</v>
      </c>
      <c r="F49" s="209" t="s">
        <v>222</v>
      </c>
      <c r="G49" s="97" t="s">
        <v>242</v>
      </c>
      <c r="H49" s="233">
        <v>6</v>
      </c>
      <c r="I49" s="98">
        <v>6458569</v>
      </c>
      <c r="J49" s="113"/>
      <c r="K49" s="98"/>
      <c r="L49" s="98">
        <f t="shared" si="0"/>
        <v>6458569</v>
      </c>
      <c r="M49" s="98"/>
      <c r="N49" s="98">
        <f t="shared" si="1"/>
        <v>0</v>
      </c>
      <c r="O49" s="98"/>
      <c r="P49" s="98">
        <f t="shared" si="2"/>
        <v>6458569</v>
      </c>
      <c r="Q49" s="98">
        <f t="shared" si="9"/>
        <v>516685.52</v>
      </c>
      <c r="R49" s="99">
        <f t="shared" si="7"/>
        <v>96878.535000000003</v>
      </c>
      <c r="S49" s="98">
        <f t="shared" si="8"/>
        <v>64585.69</v>
      </c>
      <c r="T49" s="99"/>
      <c r="U49" s="99">
        <f t="shared" si="3"/>
        <v>678149.74500000011</v>
      </c>
      <c r="V49" s="99"/>
      <c r="W49" s="100"/>
      <c r="X49" s="100"/>
      <c r="Y49" s="100"/>
      <c r="Z49" s="100"/>
      <c r="AA49" s="99">
        <f t="shared" si="4"/>
        <v>5780419.2549999999</v>
      </c>
      <c r="AB49" s="101" t="str">
        <f t="shared" si="10"/>
        <v>37</v>
      </c>
      <c r="AC49" s="255"/>
      <c r="AD49" s="103"/>
      <c r="AE49" s="103" t="s">
        <v>64</v>
      </c>
      <c r="AF49" s="102"/>
      <c r="AG49" s="412"/>
      <c r="AK49" s="105"/>
    </row>
    <row r="50" spans="1:37" s="104" customFormat="1" ht="36.75" customHeight="1">
      <c r="A50" s="202" t="s">
        <v>261</v>
      </c>
      <c r="B50" s="143" t="s">
        <v>137</v>
      </c>
      <c r="C50" s="95" t="s">
        <v>82</v>
      </c>
      <c r="D50" s="112" t="s">
        <v>188</v>
      </c>
      <c r="E50" s="228" t="str">
        <f>VLOOKUP(B50,[2]T3!$B$2:$D$328,3,FALSE)</f>
        <v>095189000070</v>
      </c>
      <c r="F50" s="209" t="s">
        <v>213</v>
      </c>
      <c r="G50" s="97" t="s">
        <v>242</v>
      </c>
      <c r="H50" s="235">
        <v>5</v>
      </c>
      <c r="I50" s="98">
        <v>6151018</v>
      </c>
      <c r="J50" s="113"/>
      <c r="K50" s="98"/>
      <c r="L50" s="98">
        <f t="shared" si="0"/>
        <v>6151018</v>
      </c>
      <c r="M50" s="98"/>
      <c r="N50" s="98">
        <f t="shared" si="1"/>
        <v>0</v>
      </c>
      <c r="O50" s="98"/>
      <c r="P50" s="98">
        <f t="shared" si="2"/>
        <v>6151018</v>
      </c>
      <c r="Q50" s="98">
        <f t="shared" si="9"/>
        <v>492081.44</v>
      </c>
      <c r="R50" s="99">
        <f t="shared" si="7"/>
        <v>92265.26999999999</v>
      </c>
      <c r="S50" s="98">
        <f t="shared" si="8"/>
        <v>61510.18</v>
      </c>
      <c r="T50" s="99"/>
      <c r="U50" s="99">
        <f t="shared" si="3"/>
        <v>645856.89</v>
      </c>
      <c r="V50" s="99"/>
      <c r="W50" s="99"/>
      <c r="X50" s="99"/>
      <c r="Y50" s="99"/>
      <c r="Z50" s="99"/>
      <c r="AA50" s="99">
        <f t="shared" si="4"/>
        <v>5505161.1100000003</v>
      </c>
      <c r="AB50" s="101" t="str">
        <f t="shared" si="10"/>
        <v>38</v>
      </c>
      <c r="AC50" s="134"/>
      <c r="AD50" s="102" t="s">
        <v>83</v>
      </c>
      <c r="AE50" s="102" t="s">
        <v>112</v>
      </c>
      <c r="AF50" s="104" t="e">
        <f>#REF!/24</f>
        <v>#REF!</v>
      </c>
      <c r="AG50" s="412"/>
      <c r="AK50" s="105"/>
    </row>
    <row r="51" spans="1:37" s="104" customFormat="1" ht="27" customHeight="1">
      <c r="A51" s="202" t="s">
        <v>262</v>
      </c>
      <c r="B51" s="94" t="s">
        <v>136</v>
      </c>
      <c r="C51" s="331" t="s">
        <v>7</v>
      </c>
      <c r="D51" s="112" t="s">
        <v>189</v>
      </c>
      <c r="E51" s="228" t="str">
        <f>VLOOKUP(B51,[2]T3!$B$2:$D$328,3,FALSE)</f>
        <v>023680986</v>
      </c>
      <c r="F51" s="209" t="s">
        <v>212</v>
      </c>
      <c r="G51" s="97" t="s">
        <v>242</v>
      </c>
      <c r="H51" s="233">
        <v>5</v>
      </c>
      <c r="I51" s="98">
        <v>6151018</v>
      </c>
      <c r="J51" s="113"/>
      <c r="K51" s="98"/>
      <c r="L51" s="98">
        <f t="shared" si="0"/>
        <v>6151018</v>
      </c>
      <c r="M51" s="98"/>
      <c r="N51" s="98">
        <f t="shared" si="1"/>
        <v>0</v>
      </c>
      <c r="O51" s="98"/>
      <c r="P51" s="98">
        <f t="shared" si="2"/>
        <v>6151018</v>
      </c>
      <c r="Q51" s="98">
        <f t="shared" si="9"/>
        <v>492081.44</v>
      </c>
      <c r="R51" s="99">
        <f t="shared" si="7"/>
        <v>92265.26999999999</v>
      </c>
      <c r="S51" s="98">
        <f t="shared" si="8"/>
        <v>61510.18</v>
      </c>
      <c r="T51" s="99"/>
      <c r="U51" s="99">
        <f t="shared" si="3"/>
        <v>645856.89</v>
      </c>
      <c r="V51" s="99"/>
      <c r="W51" s="332"/>
      <c r="X51" s="332"/>
      <c r="Y51" s="332"/>
      <c r="Z51" s="332"/>
      <c r="AA51" s="99">
        <f t="shared" si="4"/>
        <v>5505161.1100000003</v>
      </c>
      <c r="AB51" s="101" t="str">
        <f t="shared" si="10"/>
        <v>39</v>
      </c>
      <c r="AC51" s="118"/>
      <c r="AD51" s="114" t="s">
        <v>107</v>
      </c>
      <c r="AE51" s="115"/>
      <c r="AF51" s="115" t="e">
        <f>#REF!*2</f>
        <v>#REF!</v>
      </c>
      <c r="AG51" s="115"/>
      <c r="AH51" s="115"/>
      <c r="AK51" s="105"/>
    </row>
    <row r="52" spans="1:37" s="104" customFormat="1" ht="33" customHeight="1">
      <c r="A52" s="202" t="s">
        <v>263</v>
      </c>
      <c r="B52" s="94" t="s">
        <v>301</v>
      </c>
      <c r="C52" s="95"/>
      <c r="D52" s="112" t="s">
        <v>189</v>
      </c>
      <c r="E52" s="228"/>
      <c r="F52" s="223" t="s">
        <v>325</v>
      </c>
      <c r="G52" s="97" t="s">
        <v>242</v>
      </c>
      <c r="H52" s="233">
        <v>1</v>
      </c>
      <c r="I52" s="98">
        <v>5060458</v>
      </c>
      <c r="J52" s="113"/>
      <c r="K52" s="98"/>
      <c r="L52" s="98">
        <f>ROUND(I52+K52,0)</f>
        <v>5060458</v>
      </c>
      <c r="M52" s="98"/>
      <c r="N52" s="98">
        <f>L52/24*M52</f>
        <v>0</v>
      </c>
      <c r="O52" s="98"/>
      <c r="P52" s="98">
        <f>L52-N52+O52</f>
        <v>5060458</v>
      </c>
      <c r="Q52" s="98">
        <f>L52*8%</f>
        <v>404836.64</v>
      </c>
      <c r="R52" s="99">
        <f>L52*1.5%</f>
        <v>75906.87</v>
      </c>
      <c r="S52" s="98">
        <f>L52*1%</f>
        <v>50604.58</v>
      </c>
      <c r="T52" s="99"/>
      <c r="U52" s="99">
        <f>SUM(Q52:T52)</f>
        <v>531348.09</v>
      </c>
      <c r="V52" s="99"/>
      <c r="W52" s="100"/>
      <c r="X52" s="100"/>
      <c r="Y52" s="100"/>
      <c r="Z52" s="100"/>
      <c r="AA52" s="99">
        <f>P52-U52+W52+Y52+Z52</f>
        <v>4529109.91</v>
      </c>
      <c r="AB52" s="101" t="str">
        <f>A52</f>
        <v>40</v>
      </c>
      <c r="AC52" s="255"/>
      <c r="AD52" s="255" t="s">
        <v>302</v>
      </c>
      <c r="AE52" s="117"/>
      <c r="AF52" s="144"/>
      <c r="AG52" s="412"/>
      <c r="AK52" s="105"/>
    </row>
    <row r="53" spans="1:37" s="104" customFormat="1" ht="35.25" customHeight="1">
      <c r="A53" s="202" t="s">
        <v>264</v>
      </c>
      <c r="B53" s="94" t="s">
        <v>181</v>
      </c>
      <c r="C53" s="95"/>
      <c r="D53" s="112" t="s">
        <v>364</v>
      </c>
      <c r="E53" s="228" t="str">
        <f>VLOOKUP(B53,[2]T3!$B$2:$D$328,3,FALSE)</f>
        <v>025273555</v>
      </c>
      <c r="F53" s="223" t="s">
        <v>223</v>
      </c>
      <c r="G53" s="97" t="s">
        <v>246</v>
      </c>
      <c r="H53" s="233">
        <v>3</v>
      </c>
      <c r="I53" s="98">
        <v>4873050</v>
      </c>
      <c r="J53" s="113"/>
      <c r="K53" s="98"/>
      <c r="L53" s="98">
        <f t="shared" si="0"/>
        <v>4873050</v>
      </c>
      <c r="M53" s="98"/>
      <c r="N53" s="98">
        <f t="shared" si="1"/>
        <v>0</v>
      </c>
      <c r="O53" s="98"/>
      <c r="P53" s="98">
        <f t="shared" si="2"/>
        <v>4873050</v>
      </c>
      <c r="Q53" s="98">
        <f t="shared" si="9"/>
        <v>389844</v>
      </c>
      <c r="R53" s="99">
        <f t="shared" si="7"/>
        <v>73095.75</v>
      </c>
      <c r="S53" s="98">
        <f t="shared" si="8"/>
        <v>48730.5</v>
      </c>
      <c r="T53" s="99"/>
      <c r="U53" s="99">
        <f t="shared" si="3"/>
        <v>511670.25</v>
      </c>
      <c r="V53" s="99"/>
      <c r="W53" s="100"/>
      <c r="X53" s="100"/>
      <c r="Y53" s="100"/>
      <c r="Z53" s="100"/>
      <c r="AA53" s="99">
        <f t="shared" si="4"/>
        <v>4361379.75</v>
      </c>
      <c r="AB53" s="101" t="str">
        <f t="shared" si="10"/>
        <v>41</v>
      </c>
      <c r="AC53" s="255"/>
      <c r="AD53" s="145" t="s">
        <v>183</v>
      </c>
      <c r="AE53" s="117"/>
      <c r="AF53" s="144"/>
      <c r="AG53" s="412"/>
      <c r="AK53" s="105"/>
    </row>
    <row r="54" spans="1:37" s="104" customFormat="1" ht="33.75" customHeight="1">
      <c r="A54" s="202" t="s">
        <v>265</v>
      </c>
      <c r="B54" s="94" t="s">
        <v>173</v>
      </c>
      <c r="C54" s="95"/>
      <c r="D54" s="112" t="s">
        <v>364</v>
      </c>
      <c r="E54" s="228" t="str">
        <f>VLOOKUP(B54,[2]T3!$B$2:$D$328,3,FALSE)</f>
        <v>025947357</v>
      </c>
      <c r="F54" s="209" t="s">
        <v>211</v>
      </c>
      <c r="G54" s="97" t="s">
        <v>242</v>
      </c>
      <c r="H54" s="233">
        <v>3</v>
      </c>
      <c r="I54" s="98">
        <v>5579155</v>
      </c>
      <c r="J54" s="113"/>
      <c r="K54" s="98"/>
      <c r="L54" s="98">
        <f t="shared" si="0"/>
        <v>5579155</v>
      </c>
      <c r="M54" s="98"/>
      <c r="N54" s="98">
        <f t="shared" si="1"/>
        <v>0</v>
      </c>
      <c r="O54" s="98"/>
      <c r="P54" s="98">
        <f t="shared" si="2"/>
        <v>5579155</v>
      </c>
      <c r="Q54" s="98">
        <f t="shared" si="9"/>
        <v>446332.4</v>
      </c>
      <c r="R54" s="99">
        <f t="shared" si="7"/>
        <v>83687.324999999997</v>
      </c>
      <c r="S54" s="98">
        <f t="shared" si="8"/>
        <v>55791.55</v>
      </c>
      <c r="T54" s="99"/>
      <c r="U54" s="99">
        <f t="shared" si="3"/>
        <v>585811.27500000002</v>
      </c>
      <c r="V54" s="99"/>
      <c r="W54" s="99"/>
      <c r="X54" s="99"/>
      <c r="Y54" s="99"/>
      <c r="Z54" s="99"/>
      <c r="AA54" s="99">
        <f t="shared" si="4"/>
        <v>4993343.7249999996</v>
      </c>
      <c r="AB54" s="101" t="str">
        <f t="shared" si="10"/>
        <v>42</v>
      </c>
      <c r="AC54" s="118"/>
      <c r="AD54" s="139" t="s">
        <v>174</v>
      </c>
      <c r="AE54" s="155"/>
      <c r="AF54" s="128"/>
      <c r="AG54" s="110"/>
      <c r="AH54" s="110"/>
      <c r="AK54" s="111"/>
    </row>
    <row r="55" spans="1:37" s="412" customFormat="1" ht="24" customHeight="1">
      <c r="A55" s="202" t="s">
        <v>279</v>
      </c>
      <c r="B55" s="94" t="s">
        <v>143</v>
      </c>
      <c r="C55" s="95" t="s">
        <v>9</v>
      </c>
      <c r="D55" s="112" t="s">
        <v>10</v>
      </c>
      <c r="E55" s="228" t="str">
        <f>VLOOKUP(B55,[2]T3!$B$2:$D$328,3,FALSE)</f>
        <v>273417648</v>
      </c>
      <c r="F55" s="223" t="s">
        <v>219</v>
      </c>
      <c r="G55" s="107" t="s">
        <v>242</v>
      </c>
      <c r="H55" s="96">
        <v>3</v>
      </c>
      <c r="I55" s="98">
        <v>5579155</v>
      </c>
      <c r="J55" s="113"/>
      <c r="K55" s="98"/>
      <c r="L55" s="98">
        <f t="shared" si="0"/>
        <v>5579155</v>
      </c>
      <c r="M55" s="98"/>
      <c r="N55" s="98">
        <f t="shared" si="1"/>
        <v>0</v>
      </c>
      <c r="O55" s="98"/>
      <c r="P55" s="98">
        <f t="shared" si="2"/>
        <v>5579155</v>
      </c>
      <c r="Q55" s="98">
        <f t="shared" si="9"/>
        <v>446332.4</v>
      </c>
      <c r="R55" s="99">
        <f t="shared" si="7"/>
        <v>83687.324999999997</v>
      </c>
      <c r="S55" s="98">
        <f t="shared" si="8"/>
        <v>55791.55</v>
      </c>
      <c r="T55" s="99"/>
      <c r="U55" s="99">
        <f t="shared" si="3"/>
        <v>585811.27500000002</v>
      </c>
      <c r="V55" s="99"/>
      <c r="W55" s="99"/>
      <c r="X55" s="99"/>
      <c r="Y55" s="99"/>
      <c r="Z55" s="99"/>
      <c r="AA55" s="99">
        <f t="shared" si="4"/>
        <v>4993343.7249999996</v>
      </c>
      <c r="AB55" s="101" t="str">
        <f t="shared" si="10"/>
        <v>43</v>
      </c>
      <c r="AC55" s="102"/>
      <c r="AD55" s="117" t="s">
        <v>116</v>
      </c>
      <c r="AE55" s="109"/>
      <c r="AF55" s="120"/>
      <c r="AG55" s="110" t="e">
        <f>AG57*12</f>
        <v>#REF!</v>
      </c>
      <c r="AH55" s="110"/>
      <c r="AK55" s="111"/>
    </row>
    <row r="56" spans="1:37" s="104" customFormat="1" ht="31.5" customHeight="1">
      <c r="A56" s="202" t="s">
        <v>285</v>
      </c>
      <c r="B56" s="94" t="s">
        <v>309</v>
      </c>
      <c r="C56" s="95"/>
      <c r="D56" s="112" t="s">
        <v>310</v>
      </c>
      <c r="E56" s="228"/>
      <c r="F56" s="223"/>
      <c r="G56" s="97" t="s">
        <v>245</v>
      </c>
      <c r="H56" s="233">
        <v>1</v>
      </c>
      <c r="I56" s="98">
        <v>4729400</v>
      </c>
      <c r="J56" s="113"/>
      <c r="K56" s="98"/>
      <c r="L56" s="98">
        <f t="shared" si="0"/>
        <v>4729400</v>
      </c>
      <c r="M56" s="98"/>
      <c r="N56" s="98">
        <f t="shared" si="1"/>
        <v>0</v>
      </c>
      <c r="O56" s="98"/>
      <c r="P56" s="98">
        <f t="shared" si="2"/>
        <v>4729400</v>
      </c>
      <c r="Q56" s="98">
        <f t="shared" si="9"/>
        <v>378352</v>
      </c>
      <c r="R56" s="99">
        <f t="shared" si="7"/>
        <v>70941</v>
      </c>
      <c r="S56" s="98">
        <f t="shared" si="8"/>
        <v>47294</v>
      </c>
      <c r="T56" s="99"/>
      <c r="U56" s="99">
        <f t="shared" si="3"/>
        <v>496587</v>
      </c>
      <c r="V56" s="99"/>
      <c r="W56" s="100"/>
      <c r="X56" s="100"/>
      <c r="Y56" s="100"/>
      <c r="Z56" s="100"/>
      <c r="AA56" s="99">
        <f t="shared" si="4"/>
        <v>4232813</v>
      </c>
      <c r="AB56" s="101" t="str">
        <f t="shared" si="10"/>
        <v>44</v>
      </c>
      <c r="AC56" s="255"/>
      <c r="AD56" s="255" t="s">
        <v>308</v>
      </c>
      <c r="AE56" s="117"/>
      <c r="AF56" s="144"/>
      <c r="AG56" s="412"/>
      <c r="AK56" s="105"/>
    </row>
    <row r="57" spans="1:37" s="104" customFormat="1" ht="30" customHeight="1">
      <c r="A57" s="202" t="s">
        <v>288</v>
      </c>
      <c r="B57" s="94" t="s">
        <v>142</v>
      </c>
      <c r="C57" s="95" t="s">
        <v>114</v>
      </c>
      <c r="D57" s="112" t="s">
        <v>10</v>
      </c>
      <c r="E57" s="228" t="str">
        <f>VLOOKUP(B57,[2]T3!$B$2:$D$328,3,FALSE)</f>
        <v>250835904</v>
      </c>
      <c r="F57" s="223" t="s">
        <v>218</v>
      </c>
      <c r="G57" s="107" t="s">
        <v>242</v>
      </c>
      <c r="H57" s="96">
        <v>3</v>
      </c>
      <c r="I57" s="98">
        <v>5579155</v>
      </c>
      <c r="J57" s="113"/>
      <c r="K57" s="98"/>
      <c r="L57" s="98">
        <f t="shared" si="0"/>
        <v>5579155</v>
      </c>
      <c r="M57" s="98"/>
      <c r="N57" s="98">
        <f t="shared" si="1"/>
        <v>0</v>
      </c>
      <c r="O57" s="98"/>
      <c r="P57" s="98">
        <f t="shared" si="2"/>
        <v>5579155</v>
      </c>
      <c r="Q57" s="98">
        <f t="shared" si="9"/>
        <v>446332.4</v>
      </c>
      <c r="R57" s="99">
        <f t="shared" si="7"/>
        <v>83687.324999999997</v>
      </c>
      <c r="S57" s="98">
        <f t="shared" si="8"/>
        <v>55791.55</v>
      </c>
      <c r="T57" s="99"/>
      <c r="U57" s="99">
        <f t="shared" si="3"/>
        <v>585811.27500000002</v>
      </c>
      <c r="V57" s="99"/>
      <c r="W57" s="99"/>
      <c r="X57" s="99"/>
      <c r="Y57" s="99"/>
      <c r="Z57" s="99"/>
      <c r="AA57" s="99">
        <f t="shared" si="4"/>
        <v>4993343.7249999996</v>
      </c>
      <c r="AB57" s="101" t="str">
        <f t="shared" si="10"/>
        <v>45</v>
      </c>
      <c r="AC57" s="102"/>
      <c r="AD57" s="127" t="s">
        <v>115</v>
      </c>
      <c r="AE57" s="109"/>
      <c r="AF57" s="120"/>
      <c r="AG57" s="110" t="e">
        <f>#REF!/26</f>
        <v>#REF!</v>
      </c>
      <c r="AH57" s="110"/>
      <c r="AK57" s="111"/>
    </row>
    <row r="58" spans="1:37" s="104" customFormat="1" ht="30" customHeight="1">
      <c r="A58" s="202" t="s">
        <v>292</v>
      </c>
      <c r="B58" s="94" t="s">
        <v>165</v>
      </c>
      <c r="C58" s="159"/>
      <c r="D58" s="112" t="s">
        <v>269</v>
      </c>
      <c r="E58" s="226"/>
      <c r="F58" s="209"/>
      <c r="G58" s="107" t="s">
        <v>242</v>
      </c>
      <c r="H58" s="233">
        <v>12</v>
      </c>
      <c r="I58" s="98">
        <v>8655100</v>
      </c>
      <c r="J58" s="339">
        <v>0.09</v>
      </c>
      <c r="K58" s="113">
        <f>I58*J58</f>
        <v>778959</v>
      </c>
      <c r="L58" s="98">
        <f t="shared" si="0"/>
        <v>9434059</v>
      </c>
      <c r="M58" s="98"/>
      <c r="N58" s="98">
        <f t="shared" si="1"/>
        <v>0</v>
      </c>
      <c r="O58" s="98"/>
      <c r="P58" s="98">
        <f t="shared" si="2"/>
        <v>9434059</v>
      </c>
      <c r="Q58" s="98">
        <f t="shared" si="9"/>
        <v>754724.72</v>
      </c>
      <c r="R58" s="99">
        <f t="shared" si="7"/>
        <v>141510.88500000001</v>
      </c>
      <c r="S58" s="98">
        <f t="shared" si="8"/>
        <v>94340.59</v>
      </c>
      <c r="T58" s="99"/>
      <c r="U58" s="99">
        <f t="shared" si="3"/>
        <v>990576.19499999995</v>
      </c>
      <c r="V58" s="99"/>
      <c r="W58" s="99"/>
      <c r="X58" s="99"/>
      <c r="Y58" s="99"/>
      <c r="Z58" s="99"/>
      <c r="AA58" s="99">
        <f t="shared" si="4"/>
        <v>8443482.8049999997</v>
      </c>
      <c r="AB58" s="101" t="str">
        <f t="shared" si="10"/>
        <v>46</v>
      </c>
      <c r="AC58" s="102"/>
      <c r="AD58" s="117"/>
      <c r="AE58" s="411"/>
      <c r="AF58" s="412"/>
      <c r="AG58" s="412"/>
      <c r="AK58" s="105"/>
    </row>
    <row r="59" spans="1:37" s="412" customFormat="1" ht="39" customHeight="1">
      <c r="A59" s="202" t="s">
        <v>293</v>
      </c>
      <c r="B59" s="94" t="s">
        <v>348</v>
      </c>
      <c r="C59" s="95"/>
      <c r="D59" s="112" t="s">
        <v>349</v>
      </c>
      <c r="E59" s="228"/>
      <c r="F59" s="209"/>
      <c r="G59" s="97" t="s">
        <v>245</v>
      </c>
      <c r="H59" s="233">
        <v>4</v>
      </c>
      <c r="I59" s="98">
        <v>5474872</v>
      </c>
      <c r="J59" s="113"/>
      <c r="K59" s="98"/>
      <c r="L59" s="98">
        <f t="shared" si="0"/>
        <v>5474872</v>
      </c>
      <c r="M59" s="98"/>
      <c r="N59" s="98">
        <f t="shared" si="1"/>
        <v>0</v>
      </c>
      <c r="O59" s="98"/>
      <c r="P59" s="98">
        <f t="shared" si="2"/>
        <v>5474872</v>
      </c>
      <c r="Q59" s="98">
        <f t="shared" si="9"/>
        <v>437989.76</v>
      </c>
      <c r="R59" s="99">
        <f t="shared" si="7"/>
        <v>82123.08</v>
      </c>
      <c r="S59" s="98">
        <f t="shared" si="8"/>
        <v>54748.72</v>
      </c>
      <c r="T59" s="99"/>
      <c r="U59" s="99">
        <f t="shared" si="3"/>
        <v>574861.56000000006</v>
      </c>
      <c r="V59" s="99"/>
      <c r="W59" s="99"/>
      <c r="X59" s="151"/>
      <c r="Y59" s="99"/>
      <c r="Z59" s="99"/>
      <c r="AA59" s="99">
        <f t="shared" si="4"/>
        <v>4900010.4399999995</v>
      </c>
      <c r="AB59" s="101" t="str">
        <f t="shared" si="10"/>
        <v>47</v>
      </c>
      <c r="AC59" s="102"/>
      <c r="AD59" s="102"/>
      <c r="AE59" s="120"/>
      <c r="AF59" s="116"/>
      <c r="AK59" s="411"/>
    </row>
    <row r="60" spans="1:37" s="412" customFormat="1" ht="29.25" customHeight="1">
      <c r="A60" s="202" t="s">
        <v>313</v>
      </c>
      <c r="B60" s="94" t="s">
        <v>306</v>
      </c>
      <c r="C60" s="95"/>
      <c r="D60" s="112" t="s">
        <v>378</v>
      </c>
      <c r="E60" s="228"/>
      <c r="F60" s="223"/>
      <c r="G60" s="97" t="s">
        <v>242</v>
      </c>
      <c r="H60" s="233">
        <v>1</v>
      </c>
      <c r="I60" s="98">
        <v>5060458</v>
      </c>
      <c r="J60" s="113"/>
      <c r="K60" s="98"/>
      <c r="L60" s="98">
        <f>ROUND(I60+K60,0)</f>
        <v>5060458</v>
      </c>
      <c r="M60" s="98"/>
      <c r="N60" s="98">
        <f>L60/24*M60</f>
        <v>0</v>
      </c>
      <c r="O60" s="98"/>
      <c r="P60" s="98">
        <f>L60-N60+O60</f>
        <v>5060458</v>
      </c>
      <c r="Q60" s="98">
        <f>L60*8%</f>
        <v>404836.64</v>
      </c>
      <c r="R60" s="99">
        <f>L60*1.5%</f>
        <v>75906.87</v>
      </c>
      <c r="S60" s="98">
        <f>L60*1%</f>
        <v>50604.58</v>
      </c>
      <c r="T60" s="99"/>
      <c r="U60" s="99">
        <f>SUM(Q60:T60)</f>
        <v>531348.09</v>
      </c>
      <c r="V60" s="99"/>
      <c r="W60" s="100"/>
      <c r="X60" s="100"/>
      <c r="Y60" s="100"/>
      <c r="Z60" s="100"/>
      <c r="AA60" s="99">
        <f>P60-U60+W60+Y60+Z60</f>
        <v>4529109.91</v>
      </c>
      <c r="AB60" s="101" t="str">
        <f>A60</f>
        <v>48</v>
      </c>
      <c r="AC60" s="255"/>
      <c r="AD60" s="255" t="s">
        <v>308</v>
      </c>
      <c r="AE60" s="117"/>
      <c r="AF60" s="144"/>
      <c r="AK60" s="411"/>
    </row>
    <row r="61" spans="1:37" s="414" customFormat="1" ht="29.25" customHeight="1">
      <c r="A61" s="202" t="s">
        <v>363</v>
      </c>
      <c r="B61" s="415" t="s">
        <v>379</v>
      </c>
      <c r="C61" s="416"/>
      <c r="D61" s="112" t="s">
        <v>378</v>
      </c>
      <c r="E61" s="266"/>
      <c r="F61" s="417"/>
      <c r="G61" s="97" t="s">
        <v>242</v>
      </c>
      <c r="H61" s="233">
        <v>1</v>
      </c>
      <c r="I61" s="98">
        <v>5060458</v>
      </c>
      <c r="J61" s="418"/>
      <c r="K61" s="267"/>
      <c r="L61" s="98">
        <f t="shared" ref="L61:L67" si="11">ROUND(I61+K61,0)</f>
        <v>5060458</v>
      </c>
      <c r="M61" s="267"/>
      <c r="N61" s="98">
        <f t="shared" ref="N61:N67" si="12">L61/24*M61</f>
        <v>0</v>
      </c>
      <c r="O61" s="267"/>
      <c r="P61" s="98">
        <f t="shared" ref="P61:P67" si="13">L61-N61+O61</f>
        <v>5060458</v>
      </c>
      <c r="Q61" s="98">
        <f t="shared" ref="Q61:Q67" si="14">L61*8%</f>
        <v>404836.64</v>
      </c>
      <c r="R61" s="99">
        <f t="shared" ref="R61:R67" si="15">L61*1.5%</f>
        <v>75906.87</v>
      </c>
      <c r="S61" s="98">
        <f t="shared" ref="S61:S67" si="16">L61*1%</f>
        <v>50604.58</v>
      </c>
      <c r="T61" s="419"/>
      <c r="U61" s="99">
        <f t="shared" ref="U61:U67" si="17">SUM(Q61:T61)</f>
        <v>531348.09</v>
      </c>
      <c r="V61" s="419"/>
      <c r="W61" s="419"/>
      <c r="X61" s="420"/>
      <c r="Y61" s="419"/>
      <c r="Z61" s="419"/>
      <c r="AA61" s="99">
        <f t="shared" ref="AA61:AA67" si="18">P61-U61+W61+Y61+Z61</f>
        <v>4529109.91</v>
      </c>
      <c r="AB61" s="101" t="str">
        <f t="shared" ref="AB61:AB68" si="19">A61</f>
        <v>49</v>
      </c>
      <c r="AC61" s="120"/>
      <c r="AD61" s="102"/>
      <c r="AE61" s="144"/>
      <c r="AF61" s="116"/>
      <c r="AK61" s="413"/>
    </row>
    <row r="62" spans="1:37" s="414" customFormat="1" ht="29.25" customHeight="1">
      <c r="A62" s="202" t="s">
        <v>386</v>
      </c>
      <c r="B62" s="415" t="s">
        <v>380</v>
      </c>
      <c r="C62" s="416"/>
      <c r="D62" s="112" t="s">
        <v>378</v>
      </c>
      <c r="E62" s="266"/>
      <c r="F62" s="417"/>
      <c r="G62" s="97" t="s">
        <v>242</v>
      </c>
      <c r="H62" s="233">
        <v>1</v>
      </c>
      <c r="I62" s="98">
        <v>5060458</v>
      </c>
      <c r="J62" s="418"/>
      <c r="K62" s="267"/>
      <c r="L62" s="98">
        <f t="shared" si="11"/>
        <v>5060458</v>
      </c>
      <c r="M62" s="267"/>
      <c r="N62" s="98">
        <f t="shared" si="12"/>
        <v>0</v>
      </c>
      <c r="O62" s="267"/>
      <c r="P62" s="98">
        <f t="shared" si="13"/>
        <v>5060458</v>
      </c>
      <c r="Q62" s="98">
        <f t="shared" si="14"/>
        <v>404836.64</v>
      </c>
      <c r="R62" s="99">
        <f t="shared" si="15"/>
        <v>75906.87</v>
      </c>
      <c r="S62" s="98">
        <f t="shared" si="16"/>
        <v>50604.58</v>
      </c>
      <c r="T62" s="419"/>
      <c r="U62" s="99">
        <f t="shared" si="17"/>
        <v>531348.09</v>
      </c>
      <c r="V62" s="419"/>
      <c r="W62" s="419"/>
      <c r="X62" s="420"/>
      <c r="Y62" s="419"/>
      <c r="Z62" s="419"/>
      <c r="AA62" s="99">
        <f t="shared" si="18"/>
        <v>4529109.91</v>
      </c>
      <c r="AB62" s="101" t="str">
        <f t="shared" si="19"/>
        <v>50</v>
      </c>
      <c r="AC62" s="120"/>
      <c r="AD62" s="102"/>
      <c r="AE62" s="144"/>
      <c r="AF62" s="116"/>
      <c r="AK62" s="413"/>
    </row>
    <row r="63" spans="1:37" s="414" customFormat="1" ht="29.25" customHeight="1">
      <c r="A63" s="202" t="s">
        <v>387</v>
      </c>
      <c r="B63" s="415" t="s">
        <v>381</v>
      </c>
      <c r="C63" s="416"/>
      <c r="D63" s="112" t="s">
        <v>378</v>
      </c>
      <c r="E63" s="266"/>
      <c r="F63" s="417"/>
      <c r="G63" s="97" t="s">
        <v>242</v>
      </c>
      <c r="H63" s="233">
        <v>1</v>
      </c>
      <c r="I63" s="98">
        <v>5060458</v>
      </c>
      <c r="J63" s="418"/>
      <c r="K63" s="267"/>
      <c r="L63" s="98">
        <f t="shared" si="11"/>
        <v>5060458</v>
      </c>
      <c r="M63" s="267"/>
      <c r="N63" s="98">
        <f t="shared" si="12"/>
        <v>0</v>
      </c>
      <c r="O63" s="267"/>
      <c r="P63" s="98">
        <f t="shared" si="13"/>
        <v>5060458</v>
      </c>
      <c r="Q63" s="98">
        <f t="shared" si="14"/>
        <v>404836.64</v>
      </c>
      <c r="R63" s="99">
        <f t="shared" si="15"/>
        <v>75906.87</v>
      </c>
      <c r="S63" s="98">
        <f t="shared" si="16"/>
        <v>50604.58</v>
      </c>
      <c r="T63" s="419"/>
      <c r="U63" s="99">
        <f t="shared" si="17"/>
        <v>531348.09</v>
      </c>
      <c r="V63" s="419"/>
      <c r="W63" s="419"/>
      <c r="X63" s="420"/>
      <c r="Y63" s="419"/>
      <c r="Z63" s="419"/>
      <c r="AA63" s="99">
        <f t="shared" si="18"/>
        <v>4529109.91</v>
      </c>
      <c r="AB63" s="101" t="str">
        <f t="shared" si="19"/>
        <v>51</v>
      </c>
      <c r="AC63" s="120"/>
      <c r="AD63" s="102"/>
      <c r="AE63" s="144"/>
      <c r="AF63" s="116"/>
      <c r="AK63" s="413"/>
    </row>
    <row r="64" spans="1:37" s="414" customFormat="1" ht="29.25" customHeight="1">
      <c r="A64" s="202" t="s">
        <v>388</v>
      </c>
      <c r="B64" s="415" t="s">
        <v>382</v>
      </c>
      <c r="C64" s="416"/>
      <c r="D64" s="112" t="s">
        <v>378</v>
      </c>
      <c r="E64" s="266"/>
      <c r="F64" s="417"/>
      <c r="G64" s="97" t="s">
        <v>242</v>
      </c>
      <c r="H64" s="233">
        <v>1</v>
      </c>
      <c r="I64" s="98">
        <v>5060458</v>
      </c>
      <c r="J64" s="418"/>
      <c r="K64" s="267"/>
      <c r="L64" s="98">
        <f t="shared" si="11"/>
        <v>5060458</v>
      </c>
      <c r="M64" s="267"/>
      <c r="N64" s="98">
        <f t="shared" si="12"/>
        <v>0</v>
      </c>
      <c r="O64" s="267"/>
      <c r="P64" s="98">
        <f t="shared" si="13"/>
        <v>5060458</v>
      </c>
      <c r="Q64" s="98">
        <f t="shared" si="14"/>
        <v>404836.64</v>
      </c>
      <c r="R64" s="99">
        <f t="shared" si="15"/>
        <v>75906.87</v>
      </c>
      <c r="S64" s="98">
        <f t="shared" si="16"/>
        <v>50604.58</v>
      </c>
      <c r="T64" s="419"/>
      <c r="U64" s="99">
        <f t="shared" si="17"/>
        <v>531348.09</v>
      </c>
      <c r="V64" s="419"/>
      <c r="W64" s="419"/>
      <c r="X64" s="420"/>
      <c r="Y64" s="419"/>
      <c r="Z64" s="419"/>
      <c r="AA64" s="99">
        <f t="shared" si="18"/>
        <v>4529109.91</v>
      </c>
      <c r="AB64" s="101" t="str">
        <f t="shared" si="19"/>
        <v>52</v>
      </c>
      <c r="AC64" s="120"/>
      <c r="AD64" s="102"/>
      <c r="AE64" s="144"/>
      <c r="AF64" s="116"/>
      <c r="AK64" s="413"/>
    </row>
    <row r="65" spans="1:39" s="414" customFormat="1" ht="29.25" customHeight="1">
      <c r="A65" s="202" t="s">
        <v>389</v>
      </c>
      <c r="B65" s="415" t="s">
        <v>383</v>
      </c>
      <c r="C65" s="416"/>
      <c r="D65" s="112" t="s">
        <v>378</v>
      </c>
      <c r="E65" s="266"/>
      <c r="F65" s="417"/>
      <c r="G65" s="97" t="s">
        <v>242</v>
      </c>
      <c r="H65" s="233">
        <v>1</v>
      </c>
      <c r="I65" s="98">
        <v>5060458</v>
      </c>
      <c r="J65" s="418"/>
      <c r="K65" s="267"/>
      <c r="L65" s="98">
        <f t="shared" si="11"/>
        <v>5060458</v>
      </c>
      <c r="M65" s="267"/>
      <c r="N65" s="98">
        <f t="shared" si="12"/>
        <v>0</v>
      </c>
      <c r="O65" s="267"/>
      <c r="P65" s="98">
        <f t="shared" si="13"/>
        <v>5060458</v>
      </c>
      <c r="Q65" s="98">
        <f t="shared" si="14"/>
        <v>404836.64</v>
      </c>
      <c r="R65" s="99">
        <f t="shared" si="15"/>
        <v>75906.87</v>
      </c>
      <c r="S65" s="98">
        <f t="shared" si="16"/>
        <v>50604.58</v>
      </c>
      <c r="T65" s="419"/>
      <c r="U65" s="99">
        <f t="shared" si="17"/>
        <v>531348.09</v>
      </c>
      <c r="V65" s="419"/>
      <c r="W65" s="419"/>
      <c r="X65" s="420"/>
      <c r="Y65" s="419"/>
      <c r="Z65" s="419"/>
      <c r="AA65" s="99">
        <f t="shared" si="18"/>
        <v>4529109.91</v>
      </c>
      <c r="AB65" s="101" t="str">
        <f t="shared" si="19"/>
        <v>53</v>
      </c>
      <c r="AC65" s="120"/>
      <c r="AD65" s="102"/>
      <c r="AE65" s="144"/>
      <c r="AF65" s="116"/>
      <c r="AK65" s="413"/>
    </row>
    <row r="66" spans="1:39" s="414" customFormat="1" ht="29.25" customHeight="1">
      <c r="A66" s="202" t="s">
        <v>390</v>
      </c>
      <c r="B66" s="415" t="s">
        <v>384</v>
      </c>
      <c r="C66" s="416"/>
      <c r="D66" s="112" t="s">
        <v>378</v>
      </c>
      <c r="E66" s="266"/>
      <c r="F66" s="417"/>
      <c r="G66" s="97" t="s">
        <v>242</v>
      </c>
      <c r="H66" s="233">
        <v>1</v>
      </c>
      <c r="I66" s="98">
        <v>5060458</v>
      </c>
      <c r="J66" s="418"/>
      <c r="K66" s="267"/>
      <c r="L66" s="98">
        <f t="shared" si="11"/>
        <v>5060458</v>
      </c>
      <c r="M66" s="267"/>
      <c r="N66" s="98">
        <f t="shared" si="12"/>
        <v>0</v>
      </c>
      <c r="O66" s="267"/>
      <c r="P66" s="98">
        <f t="shared" si="13"/>
        <v>5060458</v>
      </c>
      <c r="Q66" s="98">
        <f t="shared" si="14"/>
        <v>404836.64</v>
      </c>
      <c r="R66" s="99">
        <f t="shared" si="15"/>
        <v>75906.87</v>
      </c>
      <c r="S66" s="98">
        <f t="shared" si="16"/>
        <v>50604.58</v>
      </c>
      <c r="T66" s="419"/>
      <c r="U66" s="99">
        <f t="shared" si="17"/>
        <v>531348.09</v>
      </c>
      <c r="V66" s="419"/>
      <c r="W66" s="419"/>
      <c r="X66" s="420"/>
      <c r="Y66" s="419"/>
      <c r="Z66" s="419"/>
      <c r="AA66" s="99">
        <f t="shared" si="18"/>
        <v>4529109.91</v>
      </c>
      <c r="AB66" s="101" t="str">
        <f t="shared" si="19"/>
        <v>54</v>
      </c>
      <c r="AC66" s="120"/>
      <c r="AD66" s="102"/>
      <c r="AE66" s="144"/>
      <c r="AF66" s="116"/>
      <c r="AK66" s="413"/>
    </row>
    <row r="67" spans="1:39" s="414" customFormat="1" ht="29.25" customHeight="1">
      <c r="A67" s="202" t="s">
        <v>391</v>
      </c>
      <c r="B67" s="415" t="s">
        <v>385</v>
      </c>
      <c r="C67" s="416"/>
      <c r="D67" s="112" t="s">
        <v>378</v>
      </c>
      <c r="E67" s="266"/>
      <c r="F67" s="417"/>
      <c r="G67" s="97" t="s">
        <v>242</v>
      </c>
      <c r="H67" s="233">
        <v>1</v>
      </c>
      <c r="I67" s="98">
        <v>5060458</v>
      </c>
      <c r="J67" s="418"/>
      <c r="K67" s="267"/>
      <c r="L67" s="98">
        <f t="shared" si="11"/>
        <v>5060458</v>
      </c>
      <c r="M67" s="267"/>
      <c r="N67" s="98">
        <f t="shared" si="12"/>
        <v>0</v>
      </c>
      <c r="O67" s="267"/>
      <c r="P67" s="98">
        <f t="shared" si="13"/>
        <v>5060458</v>
      </c>
      <c r="Q67" s="98">
        <f t="shared" si="14"/>
        <v>404836.64</v>
      </c>
      <c r="R67" s="99">
        <f t="shared" si="15"/>
        <v>75906.87</v>
      </c>
      <c r="S67" s="98">
        <f t="shared" si="16"/>
        <v>50604.58</v>
      </c>
      <c r="T67" s="419"/>
      <c r="U67" s="99">
        <f t="shared" si="17"/>
        <v>531348.09</v>
      </c>
      <c r="V67" s="419"/>
      <c r="W67" s="419"/>
      <c r="X67" s="420"/>
      <c r="Y67" s="419"/>
      <c r="Z67" s="419"/>
      <c r="AA67" s="99">
        <f t="shared" si="18"/>
        <v>4529109.91</v>
      </c>
      <c r="AB67" s="101" t="str">
        <f t="shared" si="19"/>
        <v>55</v>
      </c>
      <c r="AC67" s="120"/>
      <c r="AD67" s="102"/>
      <c r="AE67" s="144"/>
      <c r="AF67" s="116"/>
      <c r="AK67" s="413"/>
    </row>
    <row r="68" spans="1:39" s="104" customFormat="1" ht="28.5" customHeight="1">
      <c r="A68" s="202" t="s">
        <v>392</v>
      </c>
      <c r="B68" s="318" t="s">
        <v>280</v>
      </c>
      <c r="C68" s="319"/>
      <c r="D68" s="320" t="s">
        <v>281</v>
      </c>
      <c r="E68" s="230"/>
      <c r="F68" s="321"/>
      <c r="G68" s="322" t="s">
        <v>242</v>
      </c>
      <c r="H68" s="323">
        <v>10</v>
      </c>
      <c r="I68" s="236">
        <v>7850431</v>
      </c>
      <c r="J68" s="324"/>
      <c r="K68" s="236"/>
      <c r="L68" s="236">
        <f t="shared" si="0"/>
        <v>7850431</v>
      </c>
      <c r="M68" s="236"/>
      <c r="N68" s="236">
        <f t="shared" si="1"/>
        <v>0</v>
      </c>
      <c r="O68" s="236"/>
      <c r="P68" s="236">
        <f t="shared" si="2"/>
        <v>7850431</v>
      </c>
      <c r="Q68" s="98">
        <v>0</v>
      </c>
      <c r="R68" s="99">
        <v>0</v>
      </c>
      <c r="S68" s="98">
        <v>0</v>
      </c>
      <c r="T68" s="325"/>
      <c r="U68" s="99">
        <f>SUM(Q68:T68)</f>
        <v>0</v>
      </c>
      <c r="V68" s="325"/>
      <c r="W68" s="326"/>
      <c r="X68" s="326"/>
      <c r="Y68" s="326"/>
      <c r="Z68" s="326"/>
      <c r="AA68" s="325">
        <f t="shared" si="4"/>
        <v>7850431</v>
      </c>
      <c r="AB68" s="101" t="str">
        <f t="shared" si="19"/>
        <v>56</v>
      </c>
      <c r="AC68" s="328"/>
      <c r="AD68" s="255" t="s">
        <v>278</v>
      </c>
      <c r="AE68" s="756" t="s">
        <v>330</v>
      </c>
      <c r="AF68" s="757"/>
      <c r="AG68" s="757"/>
      <c r="AK68" s="105"/>
    </row>
    <row r="69" spans="1:39" ht="33" customHeight="1">
      <c r="A69" s="88"/>
      <c r="B69" s="758" t="s">
        <v>11</v>
      </c>
      <c r="C69" s="759"/>
      <c r="D69" s="161"/>
      <c r="E69" s="161"/>
      <c r="F69" s="82"/>
      <c r="G69" s="82"/>
      <c r="H69" s="363">
        <f>SUM(H13:H68)</f>
        <v>220</v>
      </c>
      <c r="I69" s="80">
        <f>SUM(I13:I68)</f>
        <v>318234824</v>
      </c>
      <c r="J69" s="153">
        <f>SUM(J21:J59)</f>
        <v>0.64</v>
      </c>
      <c r="K69" s="80">
        <f>SUM(K13:K68)</f>
        <v>4936794</v>
      </c>
      <c r="L69" s="80">
        <f>SUM(L13:L68)</f>
        <v>323171618</v>
      </c>
      <c r="M69" s="80"/>
      <c r="N69" s="80">
        <f t="shared" ref="N69:Z69" si="20">SUM(N13:N68)</f>
        <v>0</v>
      </c>
      <c r="O69" s="80">
        <f t="shared" si="20"/>
        <v>0</v>
      </c>
      <c r="P69" s="80">
        <f>SUM(P13:P68)</f>
        <v>323171618</v>
      </c>
      <c r="Q69" s="80">
        <f>SUM(Q13:Q68)</f>
        <v>24779363.560000006</v>
      </c>
      <c r="R69" s="80">
        <f t="shared" si="20"/>
        <v>4646130.4800000032</v>
      </c>
      <c r="S69" s="80">
        <f t="shared" si="20"/>
        <v>3097420.3200000008</v>
      </c>
      <c r="T69" s="153">
        <f t="shared" si="20"/>
        <v>0</v>
      </c>
      <c r="U69" s="80">
        <f>SUM(U13:U68)</f>
        <v>32522914.359999992</v>
      </c>
      <c r="V69" s="93">
        <f t="shared" si="20"/>
        <v>0</v>
      </c>
      <c r="W69" s="80">
        <f t="shared" si="20"/>
        <v>0</v>
      </c>
      <c r="X69" s="93">
        <f t="shared" si="20"/>
        <v>0</v>
      </c>
      <c r="Y69" s="80">
        <f t="shared" si="20"/>
        <v>0</v>
      </c>
      <c r="Z69" s="355">
        <f t="shared" si="20"/>
        <v>852000</v>
      </c>
      <c r="AA69" s="80">
        <f>SUM(AA13:AA68)</f>
        <v>291500703.6400001</v>
      </c>
      <c r="AB69" s="90"/>
      <c r="AC69" s="91"/>
      <c r="AD69" s="92"/>
      <c r="AE69" s="71" t="s">
        <v>77</v>
      </c>
      <c r="AF69" s="60"/>
      <c r="AG69" s="60"/>
      <c r="AH69" s="42"/>
      <c r="AI69" s="42"/>
      <c r="AJ69" s="42"/>
      <c r="AK69" s="58"/>
      <c r="AL69" s="42"/>
    </row>
    <row r="70" spans="1:39" ht="44.25" hidden="1" customHeight="1">
      <c r="A70" s="6"/>
      <c r="B70" s="142"/>
      <c r="C70" s="64"/>
      <c r="D70" s="162"/>
      <c r="E70" s="162"/>
      <c r="F70" s="204"/>
      <c r="G70" s="47"/>
      <c r="H70" s="46"/>
      <c r="I70" s="52"/>
      <c r="J70" s="46"/>
      <c r="K70" s="52"/>
      <c r="L70" s="52"/>
      <c r="M70" s="52"/>
      <c r="N70" s="52"/>
      <c r="O70" s="52"/>
      <c r="P70" s="52"/>
      <c r="Q70" s="345">
        <v>21574227</v>
      </c>
      <c r="R70" s="345">
        <v>4045167</v>
      </c>
      <c r="S70" s="345">
        <v>2696778</v>
      </c>
      <c r="T70" s="344"/>
      <c r="U70" s="345">
        <v>28316172</v>
      </c>
      <c r="V70" s="344"/>
      <c r="W70" s="344"/>
      <c r="X70" s="344"/>
      <c r="Y70" s="344"/>
      <c r="Z70" s="344"/>
      <c r="AA70" s="345">
        <v>255377566</v>
      </c>
      <c r="AB70" s="54"/>
      <c r="AC70" s="68"/>
      <c r="AD70" s="68"/>
      <c r="AE70" s="65"/>
      <c r="AF70" s="65"/>
      <c r="AG70" s="65"/>
    </row>
    <row r="71" spans="1:39" ht="18.75" customHeight="1">
      <c r="A71" s="5"/>
      <c r="B71" s="760" t="s">
        <v>12</v>
      </c>
      <c r="C71" s="760"/>
      <c r="D71" s="17" t="s">
        <v>393</v>
      </c>
      <c r="E71" s="17"/>
      <c r="S71" s="18"/>
      <c r="T71" s="18"/>
      <c r="U71" s="18"/>
      <c r="V71" s="18"/>
      <c r="W71" s="18"/>
      <c r="X71" s="18"/>
      <c r="Y71" s="18"/>
      <c r="Z71" s="352"/>
      <c r="AA71" s="18"/>
      <c r="AB71" s="17"/>
      <c r="AC71" s="67"/>
      <c r="AD71" s="67"/>
      <c r="AE71" s="69"/>
      <c r="AF71" s="60"/>
      <c r="AG71" s="60"/>
    </row>
    <row r="72" spans="1:39" ht="7.5" customHeight="1">
      <c r="A72" s="5"/>
      <c r="B72" s="760"/>
      <c r="C72" s="760"/>
      <c r="D72" s="163"/>
      <c r="E72" s="163"/>
      <c r="F72" s="206"/>
      <c r="G72" s="49"/>
      <c r="H72" s="49"/>
      <c r="I72" s="50"/>
      <c r="J72" s="50"/>
      <c r="K72" s="50"/>
      <c r="L72" s="50"/>
      <c r="M72" s="50"/>
      <c r="N72" s="50"/>
      <c r="O72" s="50"/>
      <c r="P72" s="50"/>
      <c r="Q72" s="50"/>
      <c r="R72" s="50"/>
      <c r="S72" s="50"/>
      <c r="T72" s="50"/>
      <c r="U72" s="50"/>
      <c r="V72" s="50"/>
      <c r="W72" s="50"/>
      <c r="X72" s="50"/>
      <c r="Y72" s="50"/>
      <c r="Z72" s="356"/>
      <c r="AA72" s="50"/>
      <c r="AB72" s="761"/>
      <c r="AC72" s="761"/>
      <c r="AD72" s="50"/>
      <c r="AE72" s="750" t="e">
        <f>1000000-#REF!</f>
        <v>#REF!</v>
      </c>
      <c r="AF72" s="747"/>
      <c r="AG72" s="747"/>
    </row>
    <row r="73" spans="1:39" ht="21" customHeight="1">
      <c r="A73" s="5"/>
      <c r="B73" s="747"/>
      <c r="C73" s="747"/>
      <c r="D73" s="7"/>
      <c r="E73" s="7"/>
      <c r="F73" s="207"/>
      <c r="G73" s="5"/>
      <c r="H73" s="5"/>
      <c r="S73" s="762" t="s">
        <v>372</v>
      </c>
      <c r="T73" s="762"/>
      <c r="U73" s="762"/>
      <c r="V73" s="762"/>
      <c r="W73" s="762"/>
      <c r="X73" s="762"/>
      <c r="Y73" s="762"/>
      <c r="Z73" s="762"/>
      <c r="AA73" s="762"/>
      <c r="AB73" s="762"/>
      <c r="AC73" s="762"/>
      <c r="AD73" s="763"/>
      <c r="AE73" s="747"/>
      <c r="AF73" s="747"/>
      <c r="AG73" s="747"/>
    </row>
    <row r="74" spans="1:39" ht="15.75" customHeight="1">
      <c r="A74" s="751" t="s">
        <v>13</v>
      </c>
      <c r="B74" s="751"/>
      <c r="C74" s="751"/>
      <c r="D74" s="751"/>
      <c r="E74" s="751"/>
      <c r="F74" s="751"/>
      <c r="G74" s="751"/>
      <c r="H74" s="751"/>
      <c r="I74" s="751" t="s">
        <v>182</v>
      </c>
      <c r="J74" s="751"/>
      <c r="K74" s="751"/>
      <c r="L74" s="751"/>
      <c r="M74" s="751"/>
      <c r="N74" s="751"/>
      <c r="O74" s="751"/>
      <c r="P74" s="751"/>
      <c r="Q74" s="751"/>
      <c r="R74" s="751"/>
      <c r="S74" s="765" t="s">
        <v>14</v>
      </c>
      <c r="T74" s="765"/>
      <c r="U74" s="765"/>
      <c r="V74" s="765"/>
      <c r="W74" s="765"/>
      <c r="X74" s="765"/>
      <c r="Y74" s="765"/>
      <c r="Z74" s="765"/>
      <c r="AA74" s="765"/>
      <c r="AB74" s="765"/>
      <c r="AC74" s="765"/>
      <c r="AD74" s="764"/>
      <c r="AE74" s="752"/>
      <c r="AF74" s="752"/>
      <c r="AG74" s="752"/>
    </row>
    <row r="75" spans="1:39" ht="15.75" customHeight="1">
      <c r="A75" s="5"/>
      <c r="B75" s="749"/>
      <c r="C75" s="749"/>
      <c r="D75" s="7"/>
      <c r="E75" s="7"/>
      <c r="F75" s="207"/>
      <c r="G75" s="5"/>
      <c r="H75" s="5"/>
      <c r="I75" s="4"/>
      <c r="J75" s="4"/>
      <c r="K75" s="4"/>
      <c r="L75" s="4"/>
      <c r="M75" s="4"/>
      <c r="N75" s="4"/>
      <c r="O75" s="4"/>
      <c r="P75" s="4"/>
      <c r="Q75" s="70"/>
      <c r="R75" s="4"/>
      <c r="S75" s="4"/>
      <c r="T75" s="4"/>
      <c r="U75" s="4"/>
      <c r="V75" s="4"/>
      <c r="AB75" s="749"/>
      <c r="AC75" s="749"/>
      <c r="AD75" s="4"/>
      <c r="AE75" s="747"/>
      <c r="AF75" s="747"/>
      <c r="AG75" s="747"/>
    </row>
    <row r="76" spans="1:39" ht="15.75" customHeight="1">
      <c r="A76" s="5"/>
      <c r="B76" s="747"/>
      <c r="C76" s="747"/>
      <c r="D76" s="7"/>
      <c r="E76" s="7"/>
      <c r="F76" s="207"/>
      <c r="G76" s="5"/>
      <c r="H76" s="5"/>
      <c r="I76" s="4"/>
      <c r="J76" s="4"/>
      <c r="K76" s="4"/>
      <c r="L76" s="4"/>
      <c r="M76" s="4"/>
      <c r="N76" s="4"/>
      <c r="O76" s="4"/>
      <c r="P76" s="4"/>
      <c r="Q76" s="4"/>
      <c r="S76" s="157"/>
      <c r="T76" s="157"/>
      <c r="U76" s="157"/>
      <c r="V76" s="157"/>
      <c r="W76" s="157"/>
      <c r="X76" s="157"/>
      <c r="Y76" s="157"/>
      <c r="Z76" s="358"/>
      <c r="AA76" s="157"/>
      <c r="AB76" s="157"/>
      <c r="AC76" s="157"/>
      <c r="AD76" s="157"/>
      <c r="AE76" s="157"/>
      <c r="AF76" s="75"/>
      <c r="AG76" s="75"/>
      <c r="AH76" s="75"/>
      <c r="AI76" s="75"/>
      <c r="AJ76" s="75"/>
      <c r="AK76" s="75"/>
      <c r="AL76" s="75"/>
      <c r="AM76" s="75"/>
    </row>
    <row r="77" spans="1:39" ht="15.75" customHeight="1">
      <c r="A77" s="5"/>
      <c r="C77" s="5"/>
      <c r="D77" s="7"/>
      <c r="E77" s="7"/>
      <c r="F77" s="207"/>
      <c r="G77" s="5"/>
      <c r="H77" s="5"/>
      <c r="I77" s="4"/>
      <c r="J77" s="4"/>
      <c r="K77" s="4"/>
      <c r="L77" s="4"/>
      <c r="M77" s="4"/>
      <c r="N77" s="4"/>
      <c r="O77" s="4"/>
      <c r="P77" s="4"/>
      <c r="Q77" s="4"/>
      <c r="R77" s="4"/>
      <c r="S77" s="4"/>
      <c r="T77" s="4"/>
      <c r="U77" s="4"/>
      <c r="V77" s="4"/>
      <c r="AC77" s="75"/>
      <c r="AD77" s="75"/>
      <c r="AE77" s="75"/>
      <c r="AF77" s="75"/>
      <c r="AG77" s="75"/>
      <c r="AH77" s="75"/>
      <c r="AI77" s="75"/>
      <c r="AJ77" s="75"/>
      <c r="AK77" s="75"/>
      <c r="AL77" s="75"/>
      <c r="AM77" s="75"/>
    </row>
    <row r="78" spans="1:39" ht="9.75" customHeight="1">
      <c r="A78" s="5"/>
      <c r="B78" s="747"/>
      <c r="C78" s="747"/>
      <c r="D78" s="7"/>
      <c r="E78" s="7"/>
      <c r="F78" s="207"/>
      <c r="G78" s="5"/>
      <c r="H78" s="5"/>
      <c r="I78" s="4"/>
      <c r="J78" s="4"/>
      <c r="K78" s="4"/>
      <c r="L78" s="4"/>
      <c r="M78" s="4"/>
      <c r="N78" s="4"/>
      <c r="O78" s="4"/>
      <c r="P78" s="4"/>
      <c r="Q78" s="4"/>
      <c r="R78" s="4"/>
      <c r="S78" s="4"/>
      <c r="T78" s="4"/>
      <c r="U78" s="4"/>
      <c r="V78" s="4"/>
      <c r="AB78" s="749"/>
      <c r="AC78" s="749"/>
      <c r="AD78" s="4"/>
      <c r="AE78" s="750"/>
      <c r="AF78" s="747"/>
      <c r="AG78" s="747"/>
    </row>
    <row r="79" spans="1:39" ht="15.75" customHeight="1">
      <c r="A79" s="5"/>
      <c r="B79" s="747"/>
      <c r="C79" s="747"/>
      <c r="D79" s="7"/>
      <c r="E79" s="7"/>
      <c r="F79" s="207"/>
      <c r="G79" s="5"/>
      <c r="H79" s="5"/>
      <c r="I79" s="4"/>
      <c r="J79" s="4"/>
      <c r="K79" s="4"/>
      <c r="L79" s="4"/>
      <c r="M79" s="4"/>
      <c r="N79" s="4"/>
      <c r="O79" s="4"/>
      <c r="P79" s="4"/>
      <c r="Q79" s="4"/>
      <c r="R79" s="4"/>
      <c r="S79" s="4"/>
      <c r="T79" s="4"/>
      <c r="U79" s="4"/>
      <c r="V79" s="4"/>
      <c r="AB79" s="749"/>
      <c r="AC79" s="749"/>
      <c r="AD79" s="4"/>
      <c r="AE79" s="750"/>
      <c r="AF79" s="747"/>
      <c r="AG79" s="747"/>
    </row>
    <row r="80" spans="1:39" ht="15.75" customHeight="1">
      <c r="A80" s="5"/>
      <c r="B80" s="747"/>
      <c r="C80" s="747"/>
      <c r="D80" s="7"/>
      <c r="E80" s="7"/>
      <c r="F80" s="207"/>
      <c r="G80" s="5"/>
      <c r="H80" s="5"/>
      <c r="I80" s="4"/>
      <c r="J80" s="4"/>
      <c r="K80" s="4"/>
      <c r="L80" s="4"/>
      <c r="M80" s="4"/>
      <c r="N80" s="4"/>
      <c r="O80" s="4"/>
      <c r="P80" s="4"/>
      <c r="Q80" s="4"/>
      <c r="R80" s="4"/>
      <c r="S80" s="4"/>
      <c r="T80" s="4"/>
      <c r="U80" s="4"/>
      <c r="V80" s="4"/>
      <c r="AB80" s="749"/>
      <c r="AC80" s="749"/>
      <c r="AD80" s="4"/>
      <c r="AE80" s="750"/>
      <c r="AF80" s="747"/>
      <c r="AG80" s="747"/>
    </row>
    <row r="81" spans="1:33" ht="15.75" customHeight="1">
      <c r="A81" s="751" t="s">
        <v>225</v>
      </c>
      <c r="B81" s="751"/>
      <c r="C81" s="751"/>
      <c r="D81" s="751"/>
      <c r="E81" s="751"/>
      <c r="F81" s="751"/>
      <c r="G81" s="751"/>
      <c r="H81" s="751"/>
      <c r="I81" s="751" t="s">
        <v>122</v>
      </c>
      <c r="J81" s="751"/>
      <c r="K81" s="751"/>
      <c r="L81" s="751"/>
      <c r="M81" s="751"/>
      <c r="N81" s="751"/>
      <c r="O81" s="751"/>
      <c r="P81" s="751"/>
      <c r="Q81" s="751"/>
      <c r="R81" s="751"/>
      <c r="S81" s="751" t="s">
        <v>119</v>
      </c>
      <c r="T81" s="751"/>
      <c r="U81" s="751"/>
      <c r="V81" s="751"/>
      <c r="W81" s="751"/>
      <c r="X81" s="751"/>
      <c r="Y81" s="751"/>
      <c r="Z81" s="751"/>
      <c r="AA81" s="751"/>
      <c r="AB81" s="751"/>
      <c r="AC81" s="751"/>
      <c r="AD81" s="8"/>
      <c r="AE81" s="752"/>
      <c r="AF81" s="752"/>
      <c r="AG81" s="752"/>
    </row>
    <row r="82" spans="1:33">
      <c r="A82" s="61"/>
      <c r="B82" s="63"/>
      <c r="C82" s="62"/>
      <c r="D82" s="164"/>
      <c r="E82" s="164"/>
      <c r="F82" s="208"/>
      <c r="G82" s="63"/>
      <c r="H82" s="63"/>
      <c r="I82" s="63"/>
      <c r="J82" s="51"/>
      <c r="K82" s="63"/>
      <c r="L82" s="63"/>
      <c r="M82" s="63"/>
      <c r="N82" s="63"/>
      <c r="O82" s="63"/>
      <c r="P82" s="63"/>
      <c r="Q82" s="63"/>
      <c r="R82" s="63"/>
      <c r="S82" s="63"/>
      <c r="T82" s="63"/>
      <c r="U82" s="63"/>
      <c r="V82" s="63"/>
      <c r="W82" s="63"/>
      <c r="X82" s="63"/>
      <c r="Y82" s="63"/>
      <c r="Z82" s="359"/>
      <c r="AA82" s="63"/>
      <c r="AB82" s="753"/>
      <c r="AC82" s="753"/>
      <c r="AD82" s="51"/>
      <c r="AE82" s="750"/>
      <c r="AF82" s="747"/>
      <c r="AG82" s="747"/>
    </row>
    <row r="83" spans="1:33">
      <c r="B83" s="30"/>
      <c r="C83" s="19"/>
      <c r="G83" s="30"/>
      <c r="H83" s="30"/>
      <c r="AB83" s="748"/>
      <c r="AC83" s="748"/>
      <c r="AD83" s="45"/>
      <c r="AE83" s="747"/>
      <c r="AF83" s="747"/>
      <c r="AG83" s="747"/>
    </row>
    <row r="84" spans="1:33">
      <c r="A84" s="5"/>
      <c r="B84" s="747"/>
      <c r="C84" s="747"/>
      <c r="AB84" s="748"/>
      <c r="AC84" s="748"/>
      <c r="AD84" s="45"/>
      <c r="AE84" s="747"/>
      <c r="AF84" s="747"/>
      <c r="AG84" s="747"/>
    </row>
    <row r="85" spans="1:33">
      <c r="A85" s="5"/>
      <c r="B85" s="747"/>
      <c r="C85" s="747"/>
      <c r="AB85" s="748"/>
      <c r="AC85" s="748"/>
      <c r="AD85" s="45"/>
      <c r="AE85" s="747"/>
      <c r="AF85" s="747"/>
      <c r="AG85" s="747"/>
    </row>
    <row r="86" spans="1:33">
      <c r="A86" s="5"/>
      <c r="B86" s="747"/>
      <c r="C86" s="747"/>
      <c r="AB86" s="748"/>
      <c r="AC86" s="748"/>
      <c r="AD86" s="45"/>
      <c r="AE86" s="747"/>
      <c r="AF86" s="747"/>
      <c r="AG86" s="747"/>
    </row>
    <row r="87" spans="1:33">
      <c r="A87" s="5"/>
      <c r="B87" s="747"/>
      <c r="C87" s="747"/>
      <c r="AB87" s="748"/>
      <c r="AC87" s="748"/>
      <c r="AD87" s="45"/>
      <c r="AE87" s="747"/>
      <c r="AF87" s="747"/>
      <c r="AG87" s="747"/>
    </row>
    <row r="88" spans="1:33">
      <c r="A88" s="5"/>
      <c r="B88" s="747"/>
      <c r="C88" s="747"/>
      <c r="AB88" s="748"/>
      <c r="AC88" s="748"/>
      <c r="AD88" s="45"/>
      <c r="AE88" s="747"/>
      <c r="AF88" s="747"/>
      <c r="AG88" s="747"/>
    </row>
    <row r="89" spans="1:33">
      <c r="A89" s="5"/>
      <c r="B89" s="747"/>
      <c r="C89" s="747"/>
      <c r="AB89" s="748"/>
      <c r="AC89" s="748"/>
      <c r="AD89" s="45"/>
      <c r="AE89" s="747"/>
      <c r="AF89" s="747"/>
      <c r="AG89" s="747"/>
    </row>
    <row r="90" spans="1:33">
      <c r="A90" s="5"/>
      <c r="B90" s="747"/>
      <c r="C90" s="747"/>
      <c r="AB90" s="748"/>
      <c r="AC90" s="748"/>
      <c r="AD90" s="45"/>
      <c r="AE90" s="747"/>
      <c r="AF90" s="747"/>
      <c r="AG90" s="747"/>
    </row>
    <row r="91" spans="1:33">
      <c r="A91" s="5"/>
      <c r="B91" s="747"/>
      <c r="C91" s="747"/>
      <c r="AB91" s="748"/>
      <c r="AC91" s="748"/>
      <c r="AD91" s="45"/>
      <c r="AE91" s="747"/>
      <c r="AF91" s="747"/>
      <c r="AG91" s="747"/>
    </row>
    <row r="92" spans="1:33">
      <c r="A92" s="5"/>
      <c r="B92" s="747"/>
      <c r="C92" s="747"/>
      <c r="AB92" s="748"/>
      <c r="AC92" s="748"/>
      <c r="AD92" s="45"/>
      <c r="AE92" s="747"/>
      <c r="AF92" s="747"/>
      <c r="AG92" s="747"/>
    </row>
    <row r="93" spans="1:33">
      <c r="A93" s="5"/>
      <c r="B93" s="747"/>
      <c r="C93" s="747"/>
      <c r="AB93" s="748"/>
      <c r="AC93" s="748"/>
      <c r="AD93" s="45"/>
      <c r="AE93" s="747"/>
      <c r="AF93" s="747"/>
      <c r="AG93" s="747"/>
    </row>
    <row r="94" spans="1:33">
      <c r="A94" s="5"/>
      <c r="B94" s="747"/>
      <c r="C94" s="747"/>
      <c r="AB94" s="748"/>
      <c r="AC94" s="748"/>
      <c r="AD94" s="45"/>
      <c r="AE94" s="747"/>
      <c r="AF94" s="747"/>
      <c r="AG94" s="747"/>
    </row>
    <row r="95" spans="1:33">
      <c r="A95" s="5"/>
      <c r="B95" s="747"/>
      <c r="C95" s="747"/>
      <c r="AB95" s="748"/>
      <c r="AC95" s="748"/>
      <c r="AD95" s="45"/>
      <c r="AE95" s="747"/>
      <c r="AF95" s="747"/>
      <c r="AG95" s="747"/>
    </row>
    <row r="96" spans="1:33">
      <c r="A96" s="5"/>
      <c r="B96" s="747"/>
      <c r="C96" s="747"/>
      <c r="AB96" s="748"/>
      <c r="AC96" s="748"/>
      <c r="AD96" s="45"/>
      <c r="AE96" s="747"/>
      <c r="AF96" s="747"/>
      <c r="AG96" s="747"/>
    </row>
    <row r="97" spans="1:33">
      <c r="A97" s="5"/>
      <c r="B97" s="747"/>
      <c r="C97" s="747"/>
      <c r="AB97" s="748"/>
      <c r="AC97" s="748"/>
      <c r="AD97" s="45"/>
      <c r="AE97" s="747"/>
      <c r="AF97" s="747"/>
      <c r="AG97" s="747"/>
    </row>
    <row r="98" spans="1:33">
      <c r="A98" s="5"/>
      <c r="B98" s="747"/>
      <c r="C98" s="747"/>
      <c r="AB98" s="748"/>
      <c r="AC98" s="748"/>
      <c r="AD98" s="45"/>
      <c r="AE98" s="747"/>
      <c r="AF98" s="747"/>
      <c r="AG98" s="747"/>
    </row>
    <row r="99" spans="1:33">
      <c r="A99" s="5"/>
      <c r="B99" s="747"/>
      <c r="C99" s="747"/>
      <c r="AB99" s="748"/>
      <c r="AC99" s="748"/>
      <c r="AD99" s="45"/>
      <c r="AE99" s="747"/>
      <c r="AF99" s="747"/>
      <c r="AG99" s="747"/>
    </row>
    <row r="100" spans="1:33">
      <c r="A100" s="5"/>
      <c r="B100" s="747"/>
      <c r="C100" s="747"/>
      <c r="AB100" s="748"/>
      <c r="AC100" s="748"/>
      <c r="AD100" s="45"/>
      <c r="AE100" s="747"/>
      <c r="AF100" s="747"/>
      <c r="AG100" s="747"/>
    </row>
  </sheetData>
  <mergeCells count="123">
    <mergeCell ref="B100:C100"/>
    <mergeCell ref="AB100:AC100"/>
    <mergeCell ref="AE100:AG100"/>
    <mergeCell ref="B98:C98"/>
    <mergeCell ref="AB98:AC98"/>
    <mergeCell ref="AE98:AG98"/>
    <mergeCell ref="B99:C99"/>
    <mergeCell ref="AB99:AC99"/>
    <mergeCell ref="AE99:AG99"/>
    <mergeCell ref="B96:C96"/>
    <mergeCell ref="AB96:AC96"/>
    <mergeCell ref="AE96:AG96"/>
    <mergeCell ref="B97:C97"/>
    <mergeCell ref="AB97:AC97"/>
    <mergeCell ref="AE97:AG97"/>
    <mergeCell ref="B94:C94"/>
    <mergeCell ref="AB94:AC94"/>
    <mergeCell ref="AE94:AG94"/>
    <mergeCell ref="B95:C95"/>
    <mergeCell ref="AB95:AC95"/>
    <mergeCell ref="AE95:AG95"/>
    <mergeCell ref="B92:C92"/>
    <mergeCell ref="AB92:AC92"/>
    <mergeCell ref="AE92:AG92"/>
    <mergeCell ref="B93:C93"/>
    <mergeCell ref="AB93:AC93"/>
    <mergeCell ref="AE93:AG93"/>
    <mergeCell ref="B90:C90"/>
    <mergeCell ref="AB90:AC90"/>
    <mergeCell ref="AE90:AG90"/>
    <mergeCell ref="B91:C91"/>
    <mergeCell ref="AB91:AC91"/>
    <mergeCell ref="AE91:AG91"/>
    <mergeCell ref="B88:C88"/>
    <mergeCell ref="AB88:AC88"/>
    <mergeCell ref="AE88:AG88"/>
    <mergeCell ref="B89:C89"/>
    <mergeCell ref="AB89:AC89"/>
    <mergeCell ref="AE89:AG89"/>
    <mergeCell ref="B86:C86"/>
    <mergeCell ref="AB86:AC86"/>
    <mergeCell ref="AE86:AG86"/>
    <mergeCell ref="B87:C87"/>
    <mergeCell ref="AB87:AC87"/>
    <mergeCell ref="AE87:AG87"/>
    <mergeCell ref="AB83:AC83"/>
    <mergeCell ref="AE83:AG83"/>
    <mergeCell ref="B84:C84"/>
    <mergeCell ref="AB84:AC84"/>
    <mergeCell ref="AE84:AG84"/>
    <mergeCell ref="B85:C85"/>
    <mergeCell ref="AB85:AC85"/>
    <mergeCell ref="AE85:AG85"/>
    <mergeCell ref="A81:H81"/>
    <mergeCell ref="I81:R81"/>
    <mergeCell ref="S81:AC81"/>
    <mergeCell ref="AE81:AG81"/>
    <mergeCell ref="AB82:AC82"/>
    <mergeCell ref="AE82:AG82"/>
    <mergeCell ref="B79:C79"/>
    <mergeCell ref="AB79:AC79"/>
    <mergeCell ref="AE79:AG79"/>
    <mergeCell ref="B80:C80"/>
    <mergeCell ref="AB80:AC80"/>
    <mergeCell ref="AE80:AG80"/>
    <mergeCell ref="B75:C75"/>
    <mergeCell ref="AB75:AC75"/>
    <mergeCell ref="AE75:AG75"/>
    <mergeCell ref="B76:C76"/>
    <mergeCell ref="B78:C78"/>
    <mergeCell ref="AB78:AC78"/>
    <mergeCell ref="AE78:AG78"/>
    <mergeCell ref="B73:C73"/>
    <mergeCell ref="S73:AC73"/>
    <mergeCell ref="AD73:AD74"/>
    <mergeCell ref="AE73:AG73"/>
    <mergeCell ref="A74:H74"/>
    <mergeCell ref="I74:R74"/>
    <mergeCell ref="S74:AC74"/>
    <mergeCell ref="AE74:AG74"/>
    <mergeCell ref="AE41:AH41"/>
    <mergeCell ref="AE68:AG68"/>
    <mergeCell ref="B69:C69"/>
    <mergeCell ref="B71:C71"/>
    <mergeCell ref="B72:C72"/>
    <mergeCell ref="AB72:AC72"/>
    <mergeCell ref="AE72:AG72"/>
    <mergeCell ref="Z10:Z11"/>
    <mergeCell ref="AA10:AA11"/>
    <mergeCell ref="AB10:AC11"/>
    <mergeCell ref="AJ10:AJ11"/>
    <mergeCell ref="AB12:AC12"/>
    <mergeCell ref="AE21:AG21"/>
    <mergeCell ref="N10:N11"/>
    <mergeCell ref="O10:O11"/>
    <mergeCell ref="P10:P11"/>
    <mergeCell ref="Q10:U10"/>
    <mergeCell ref="V10:W10"/>
    <mergeCell ref="X10:Y10"/>
    <mergeCell ref="H10:H11"/>
    <mergeCell ref="I10:I11"/>
    <mergeCell ref="J10:J11"/>
    <mergeCell ref="K10:K11"/>
    <mergeCell ref="L10:L11"/>
    <mergeCell ref="M10:M11"/>
    <mergeCell ref="A10:A11"/>
    <mergeCell ref="B10:C11"/>
    <mergeCell ref="D10:D11"/>
    <mergeCell ref="E10:E11"/>
    <mergeCell ref="F10:F11"/>
    <mergeCell ref="G10:G11"/>
    <mergeCell ref="AH3:AI3"/>
    <mergeCell ref="A4:AC4"/>
    <mergeCell ref="A5:AC5"/>
    <mergeCell ref="D6:H6"/>
    <mergeCell ref="D7:H7"/>
    <mergeCell ref="D8:H8"/>
    <mergeCell ref="A1:H1"/>
    <mergeCell ref="A2:H2"/>
    <mergeCell ref="C3:D3"/>
    <mergeCell ref="Q3:AA3"/>
    <mergeCell ref="AB3:AC3"/>
    <mergeCell ref="AF3:AG3"/>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82"/>
  <sheetViews>
    <sheetView topLeftCell="A43" zoomScaleNormal="100" workbookViewId="0">
      <selection activeCell="A50" sqref="A50:XFD50"/>
    </sheetView>
  </sheetViews>
  <sheetFormatPr defaultRowHeight="15"/>
  <cols>
    <col min="1" max="1" width="3.375" style="16" customWidth="1"/>
    <col min="2" max="2" width="16.25" style="590" customWidth="1"/>
    <col min="3" max="3" width="11.25" style="165" customWidth="1"/>
    <col min="4" max="4" width="13" style="165" hidden="1" customWidth="1"/>
    <col min="5" max="5" width="17.125" style="205" hidden="1" customWidth="1"/>
    <col min="6" max="6" width="14" style="205" hidden="1" customWidth="1"/>
    <col min="7" max="7" width="7.25" style="590" customWidth="1"/>
    <col min="8" max="8" width="6.625" style="590" customWidth="1"/>
    <col min="9" max="9" width="11.75" style="590" customWidth="1"/>
    <col min="10" max="10" width="5.875" style="562" bestFit="1" customWidth="1"/>
    <col min="11" max="11" width="10.375" style="590" customWidth="1"/>
    <col min="12" max="12" width="11.75" style="590" customWidth="1"/>
    <col min="13" max="13" width="2.875" style="590" hidden="1" customWidth="1"/>
    <col min="14" max="14" width="10.75" style="590" customWidth="1"/>
    <col min="15" max="15" width="6.5" style="590" customWidth="1"/>
    <col min="16" max="16" width="11.375" style="590" customWidth="1"/>
    <col min="17" max="17" width="10.75" style="590" customWidth="1"/>
    <col min="18" max="18" width="10" style="590" customWidth="1"/>
    <col min="19" max="19" width="10.5" style="590" customWidth="1"/>
    <col min="20" max="20" width="5.875" style="590" customWidth="1"/>
    <col min="21" max="21" width="11.125" style="590" customWidth="1"/>
    <col min="22" max="22" width="4.75" style="590" customWidth="1"/>
    <col min="23" max="23" width="5.125" style="590" customWidth="1"/>
    <col min="24" max="24" width="4.375" style="590" customWidth="1"/>
    <col min="25" max="25" width="5.25" style="590" customWidth="1"/>
    <col min="26" max="26" width="7.75" style="357" bestFit="1" customWidth="1"/>
    <col min="27" max="27" width="12.5" style="590" customWidth="1"/>
    <col min="28" max="28" width="2.5" style="590" customWidth="1"/>
    <col min="29" max="29" width="12.25" style="592" customWidth="1"/>
    <col min="30" max="30" width="20.25" style="592" customWidth="1"/>
    <col min="31" max="33" width="9" style="42"/>
    <col min="34" max="34" width="18.75" style="42" customWidth="1"/>
    <col min="35" max="36" width="9" style="42"/>
    <col min="37" max="37" width="9" style="58"/>
    <col min="38" max="39" width="9" style="42"/>
    <col min="40" max="16384" width="9" style="16"/>
  </cols>
  <sheetData>
    <row r="1" spans="1:39" ht="16.5">
      <c r="A1" s="793" t="s">
        <v>78</v>
      </c>
      <c r="B1" s="793"/>
      <c r="C1" s="793"/>
      <c r="D1" s="793"/>
      <c r="E1" s="793"/>
      <c r="F1" s="793"/>
      <c r="G1" s="793"/>
      <c r="H1" s="793"/>
      <c r="I1" s="17"/>
      <c r="J1" s="564"/>
      <c r="K1" s="17"/>
      <c r="L1" s="17"/>
      <c r="M1" s="17"/>
      <c r="N1" s="17"/>
      <c r="O1" s="17"/>
      <c r="P1" s="17"/>
      <c r="Q1" s="17"/>
      <c r="R1" s="17"/>
      <c r="S1" s="17"/>
      <c r="T1" s="17"/>
      <c r="U1" s="17"/>
      <c r="V1" s="17"/>
      <c r="W1" s="17"/>
      <c r="X1" s="17"/>
      <c r="Y1" s="17"/>
      <c r="Z1" s="351"/>
      <c r="AA1" s="17"/>
      <c r="AB1" s="17"/>
      <c r="AC1" s="17"/>
      <c r="AD1" s="564"/>
      <c r="AE1" s="423"/>
      <c r="AF1" s="423"/>
      <c r="AG1" s="423"/>
      <c r="AH1" s="423"/>
      <c r="AI1" s="581"/>
    </row>
    <row r="2" spans="1:39" ht="16.5">
      <c r="A2" s="751" t="s">
        <v>185</v>
      </c>
      <c r="B2" s="751"/>
      <c r="C2" s="751"/>
      <c r="D2" s="751"/>
      <c r="E2" s="751"/>
      <c r="F2" s="751"/>
      <c r="G2" s="751"/>
      <c r="H2" s="751"/>
      <c r="I2" s="18"/>
      <c r="J2" s="591"/>
      <c r="K2" s="18"/>
      <c r="L2" s="18"/>
      <c r="M2" s="18"/>
      <c r="N2" s="18"/>
      <c r="O2" s="18"/>
      <c r="P2" s="18"/>
      <c r="Q2" s="18"/>
      <c r="R2" s="18"/>
      <c r="S2" s="18"/>
      <c r="T2" s="18"/>
      <c r="U2" s="18"/>
      <c r="V2" s="18"/>
      <c r="W2" s="18"/>
      <c r="X2" s="18"/>
      <c r="Y2" s="18"/>
      <c r="Z2" s="352"/>
      <c r="AA2" s="18"/>
      <c r="AB2" s="18"/>
      <c r="AC2" s="18"/>
      <c r="AD2" s="591"/>
      <c r="AE2" s="424"/>
      <c r="AF2" s="424"/>
      <c r="AG2" s="424"/>
      <c r="AH2" s="424"/>
      <c r="AI2" s="581"/>
    </row>
    <row r="3" spans="1:39" ht="3.75" customHeight="1">
      <c r="A3" s="563"/>
      <c r="B3" s="562"/>
      <c r="C3" s="563"/>
      <c r="D3" s="563"/>
      <c r="E3" s="37"/>
      <c r="F3" s="37"/>
      <c r="G3" s="563"/>
      <c r="H3" s="562"/>
      <c r="I3" s="562"/>
      <c r="K3" s="562"/>
      <c r="L3" s="562"/>
      <c r="M3" s="562"/>
      <c r="N3" s="562"/>
      <c r="O3" s="562"/>
      <c r="P3" s="562"/>
      <c r="Q3" s="748"/>
      <c r="R3" s="748"/>
      <c r="S3" s="748"/>
      <c r="T3" s="748"/>
      <c r="U3" s="748"/>
      <c r="V3" s="748"/>
      <c r="W3" s="748"/>
      <c r="X3" s="748"/>
      <c r="Y3" s="748"/>
      <c r="Z3" s="748"/>
      <c r="AA3" s="748"/>
      <c r="AB3" s="748"/>
      <c r="AC3" s="748"/>
      <c r="AD3" s="562"/>
      <c r="AE3" s="582"/>
      <c r="AF3" s="813"/>
      <c r="AG3" s="813"/>
      <c r="AH3" s="812"/>
      <c r="AI3" s="812"/>
    </row>
    <row r="4" spans="1:39" ht="22.5" customHeight="1">
      <c r="A4" s="795" t="s">
        <v>190</v>
      </c>
      <c r="B4" s="795"/>
      <c r="C4" s="795"/>
      <c r="D4" s="795"/>
      <c r="E4" s="795"/>
      <c r="F4" s="795"/>
      <c r="G4" s="795"/>
      <c r="H4" s="795"/>
      <c r="I4" s="795"/>
      <c r="J4" s="795"/>
      <c r="K4" s="795"/>
      <c r="L4" s="795"/>
      <c r="M4" s="795"/>
      <c r="N4" s="795"/>
      <c r="O4" s="795"/>
      <c r="P4" s="795"/>
      <c r="Q4" s="795"/>
      <c r="R4" s="795"/>
      <c r="S4" s="795"/>
      <c r="T4" s="795"/>
      <c r="U4" s="795"/>
      <c r="V4" s="795"/>
      <c r="W4" s="795"/>
      <c r="X4" s="795"/>
      <c r="Y4" s="795"/>
      <c r="Z4" s="795"/>
      <c r="AA4" s="795"/>
      <c r="AB4" s="795"/>
      <c r="AC4" s="795"/>
      <c r="AD4" s="580"/>
      <c r="AE4" s="423"/>
      <c r="AF4" s="423"/>
      <c r="AG4" s="423">
        <f>2.67*1150000*0.65</f>
        <v>1995825</v>
      </c>
      <c r="AH4" s="423"/>
      <c r="AI4" s="581"/>
    </row>
    <row r="5" spans="1:39" ht="22.5" customHeight="1">
      <c r="A5" s="795" t="s">
        <v>426</v>
      </c>
      <c r="B5" s="795"/>
      <c r="C5" s="795"/>
      <c r="D5" s="795"/>
      <c r="E5" s="795"/>
      <c r="F5" s="795"/>
      <c r="G5" s="795"/>
      <c r="H5" s="795"/>
      <c r="I5" s="795"/>
      <c r="J5" s="795"/>
      <c r="K5" s="795"/>
      <c r="L5" s="795"/>
      <c r="M5" s="795"/>
      <c r="N5" s="795"/>
      <c r="O5" s="795"/>
      <c r="P5" s="795"/>
      <c r="Q5" s="795"/>
      <c r="R5" s="795"/>
      <c r="S5" s="795"/>
      <c r="T5" s="795"/>
      <c r="U5" s="795"/>
      <c r="V5" s="795"/>
      <c r="W5" s="795"/>
      <c r="X5" s="795"/>
      <c r="Y5" s="795"/>
      <c r="Z5" s="795"/>
      <c r="AA5" s="795"/>
      <c r="AB5" s="795"/>
      <c r="AC5" s="795"/>
      <c r="AD5" s="580"/>
      <c r="AE5" s="423"/>
      <c r="AF5" s="423"/>
      <c r="AG5" s="423"/>
      <c r="AH5" s="423"/>
      <c r="AI5" s="581"/>
    </row>
    <row r="6" spans="1:39" ht="18" customHeight="1">
      <c r="A6" s="564"/>
      <c r="B6" s="571"/>
      <c r="C6" s="761"/>
      <c r="D6" s="761"/>
      <c r="E6" s="761"/>
      <c r="F6" s="761"/>
      <c r="G6" s="761"/>
      <c r="H6" s="761"/>
      <c r="Q6" s="48" t="s">
        <v>228</v>
      </c>
      <c r="R6" s="48"/>
      <c r="S6" s="48"/>
      <c r="T6" s="48"/>
      <c r="U6" s="48"/>
      <c r="V6" s="48"/>
      <c r="W6" s="48"/>
      <c r="X6" s="48"/>
      <c r="Y6" s="48"/>
      <c r="Z6" s="353"/>
      <c r="AA6" s="48"/>
      <c r="AB6" s="48"/>
      <c r="AC6" s="67"/>
      <c r="AD6" s="67"/>
      <c r="AE6" s="423" t="s">
        <v>17</v>
      </c>
      <c r="AF6" s="423"/>
      <c r="AG6" s="423">
        <f>3*1150000</f>
        <v>3450000</v>
      </c>
      <c r="AH6" s="423">
        <f>2.67*1150000</f>
        <v>3070500</v>
      </c>
      <c r="AI6" s="423"/>
    </row>
    <row r="7" spans="1:39">
      <c r="A7" s="564"/>
      <c r="B7" s="146">
        <v>1490000</v>
      </c>
      <c r="C7" s="761"/>
      <c r="D7" s="761"/>
      <c r="E7" s="761"/>
      <c r="F7" s="761"/>
      <c r="G7" s="761"/>
      <c r="H7" s="761"/>
      <c r="I7" s="48"/>
      <c r="J7" s="571"/>
      <c r="K7" s="48"/>
      <c r="L7" s="48"/>
      <c r="M7" s="48"/>
      <c r="N7" s="48"/>
      <c r="O7" s="48"/>
      <c r="P7" s="48"/>
      <c r="Q7" s="48" t="s">
        <v>16</v>
      </c>
      <c r="R7" s="48"/>
      <c r="S7" s="48"/>
      <c r="T7" s="48"/>
      <c r="U7" s="48"/>
      <c r="V7" s="48"/>
      <c r="W7" s="48"/>
      <c r="X7" s="48"/>
      <c r="Y7" s="48"/>
      <c r="Z7" s="353"/>
      <c r="AA7" s="48"/>
      <c r="AB7" s="48"/>
      <c r="AE7" s="423"/>
      <c r="AF7" s="423"/>
      <c r="AG7" s="423">
        <f>AG6*10.5%</f>
        <v>362250</v>
      </c>
      <c r="AH7" s="423">
        <f>AH6*10.5%</f>
        <v>322402.5</v>
      </c>
      <c r="AI7" s="423"/>
    </row>
    <row r="8" spans="1:39">
      <c r="A8" s="564"/>
      <c r="B8" s="571"/>
      <c r="C8" s="788"/>
      <c r="D8" s="788"/>
      <c r="E8" s="788"/>
      <c r="F8" s="788"/>
      <c r="G8" s="788"/>
      <c r="H8" s="788"/>
      <c r="I8" s="52"/>
      <c r="J8" s="575"/>
      <c r="K8" s="52"/>
      <c r="L8" s="52"/>
      <c r="M8" s="52"/>
      <c r="N8" s="52"/>
      <c r="O8" s="52"/>
      <c r="P8" s="52"/>
      <c r="Q8" s="52" t="s">
        <v>1</v>
      </c>
      <c r="R8" s="52"/>
      <c r="S8" s="52"/>
      <c r="T8" s="52"/>
      <c r="U8" s="52"/>
      <c r="V8" s="52"/>
      <c r="W8" s="52"/>
      <c r="X8" s="52"/>
      <c r="Y8" s="52"/>
      <c r="Z8" s="354"/>
      <c r="AA8" s="52"/>
      <c r="AB8" s="52"/>
      <c r="AC8" s="66"/>
      <c r="AD8" s="66"/>
      <c r="AE8" s="423"/>
      <c r="AF8" s="423"/>
      <c r="AG8" s="42">
        <f>AG6-AG7</f>
        <v>3087750</v>
      </c>
      <c r="AH8" s="42">
        <f>AH6-AH7</f>
        <v>2748097.5</v>
      </c>
      <c r="AK8" s="425"/>
    </row>
    <row r="9" spans="1:39" ht="4.5" customHeight="1">
      <c r="A9" s="564"/>
      <c r="B9" s="571"/>
      <c r="C9" s="160"/>
      <c r="D9" s="160"/>
      <c r="E9" s="203"/>
      <c r="F9" s="203"/>
      <c r="G9" s="575"/>
      <c r="H9" s="575"/>
      <c r="I9" s="52"/>
      <c r="J9" s="575"/>
      <c r="K9" s="52"/>
      <c r="L9" s="52"/>
      <c r="M9" s="52"/>
      <c r="N9" s="52"/>
      <c r="O9" s="52"/>
      <c r="P9" s="52"/>
      <c r="Q9" s="48"/>
      <c r="R9" s="48"/>
      <c r="S9" s="48"/>
      <c r="T9" s="48"/>
      <c r="U9" s="48"/>
      <c r="V9" s="48"/>
      <c r="W9" s="48"/>
      <c r="X9" s="48"/>
      <c r="Y9" s="48"/>
      <c r="Z9" s="353"/>
      <c r="AA9" s="48"/>
      <c r="AB9" s="53"/>
      <c r="AE9" s="423"/>
      <c r="AF9" s="423"/>
      <c r="AG9" s="42">
        <f>AG6*0.65</f>
        <v>2242500</v>
      </c>
      <c r="AH9" s="42">
        <f>AH6*0.65</f>
        <v>1995825</v>
      </c>
      <c r="AK9" s="425"/>
    </row>
    <row r="10" spans="1:39" s="43" customFormat="1" ht="27.75" customHeight="1">
      <c r="A10" s="789" t="s">
        <v>2</v>
      </c>
      <c r="B10" s="789" t="s">
        <v>3</v>
      </c>
      <c r="C10" s="790" t="s">
        <v>51</v>
      </c>
      <c r="D10" s="786" t="s">
        <v>235</v>
      </c>
      <c r="E10" s="791" t="s">
        <v>434</v>
      </c>
      <c r="F10" s="791" t="s">
        <v>435</v>
      </c>
      <c r="G10" s="773" t="s">
        <v>129</v>
      </c>
      <c r="H10" s="786" t="s">
        <v>270</v>
      </c>
      <c r="I10" s="782" t="s">
        <v>179</v>
      </c>
      <c r="J10" s="782" t="s">
        <v>266</v>
      </c>
      <c r="K10" s="782" t="s">
        <v>267</v>
      </c>
      <c r="L10" s="782" t="s">
        <v>169</v>
      </c>
      <c r="M10" s="784"/>
      <c r="N10" s="786" t="s">
        <v>147</v>
      </c>
      <c r="O10" s="786" t="s">
        <v>148</v>
      </c>
      <c r="P10" s="773" t="s">
        <v>149</v>
      </c>
      <c r="Q10" s="766" t="s">
        <v>67</v>
      </c>
      <c r="R10" s="767"/>
      <c r="S10" s="767"/>
      <c r="T10" s="767"/>
      <c r="U10" s="768"/>
      <c r="V10" s="769" t="s">
        <v>167</v>
      </c>
      <c r="W10" s="770"/>
      <c r="X10" s="769" t="s">
        <v>168</v>
      </c>
      <c r="Y10" s="770"/>
      <c r="Z10" s="771" t="s">
        <v>272</v>
      </c>
      <c r="AA10" s="773" t="s">
        <v>153</v>
      </c>
      <c r="AB10" s="775" t="s">
        <v>5</v>
      </c>
      <c r="AC10" s="776"/>
      <c r="AD10" s="84"/>
      <c r="AE10" s="85"/>
      <c r="AF10" s="86"/>
      <c r="AG10" s="86">
        <f>AG9+AG8</f>
        <v>5330250</v>
      </c>
      <c r="AH10" s="86">
        <f>AH9+AH8</f>
        <v>4743922.5</v>
      </c>
      <c r="AI10" s="86"/>
      <c r="AJ10" s="779"/>
      <c r="AK10" s="87"/>
      <c r="AL10" s="79"/>
      <c r="AM10" s="79"/>
    </row>
    <row r="11" spans="1:39" s="43" customFormat="1" ht="41.25" customHeight="1">
      <c r="A11" s="789"/>
      <c r="B11" s="789"/>
      <c r="C11" s="790"/>
      <c r="D11" s="787"/>
      <c r="E11" s="792"/>
      <c r="F11" s="792"/>
      <c r="G11" s="774"/>
      <c r="H11" s="787"/>
      <c r="I11" s="783"/>
      <c r="J11" s="783"/>
      <c r="K11" s="783"/>
      <c r="L11" s="783"/>
      <c r="M11" s="785"/>
      <c r="N11" s="787"/>
      <c r="O11" s="787"/>
      <c r="P11" s="774"/>
      <c r="Q11" s="574" t="s">
        <v>113</v>
      </c>
      <c r="R11" s="574" t="s">
        <v>68</v>
      </c>
      <c r="S11" s="574" t="s">
        <v>60</v>
      </c>
      <c r="T11" s="138" t="s">
        <v>150</v>
      </c>
      <c r="U11" s="138" t="s">
        <v>151</v>
      </c>
      <c r="V11" s="138" t="s">
        <v>84</v>
      </c>
      <c r="W11" s="572" t="s">
        <v>169</v>
      </c>
      <c r="X11" s="138" t="s">
        <v>84</v>
      </c>
      <c r="Y11" s="572" t="s">
        <v>169</v>
      </c>
      <c r="Z11" s="772"/>
      <c r="AA11" s="774"/>
      <c r="AB11" s="777"/>
      <c r="AC11" s="778"/>
      <c r="AD11" s="84"/>
      <c r="AE11" s="85"/>
      <c r="AF11" s="86"/>
      <c r="AG11" s="86">
        <f>AG10+750000</f>
        <v>6080250</v>
      </c>
      <c r="AH11" s="86">
        <f>AH10+750000</f>
        <v>5493922.5</v>
      </c>
      <c r="AI11" s="86"/>
      <c r="AJ11" s="779"/>
      <c r="AK11" s="87"/>
      <c r="AL11" s="79"/>
      <c r="AM11" s="79"/>
    </row>
    <row r="12" spans="1:39" s="43" customFormat="1" ht="27.75" customHeight="1">
      <c r="A12" s="576" t="s">
        <v>154</v>
      </c>
      <c r="B12" s="252" t="s">
        <v>155</v>
      </c>
      <c r="C12" s="577" t="s">
        <v>156</v>
      </c>
      <c r="D12" s="577"/>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2" t="s">
        <v>360</v>
      </c>
      <c r="AA12" s="254" t="s">
        <v>361</v>
      </c>
      <c r="AB12" s="780" t="s">
        <v>171</v>
      </c>
      <c r="AC12" s="781"/>
      <c r="AD12" s="84"/>
      <c r="AE12" s="147"/>
      <c r="AF12" s="86"/>
      <c r="AG12" s="86"/>
      <c r="AH12" s="86"/>
      <c r="AI12" s="86"/>
      <c r="AJ12" s="573"/>
      <c r="AK12" s="87"/>
      <c r="AL12" s="79"/>
      <c r="AM12" s="79"/>
    </row>
    <row r="13" spans="1:39" s="43" customFormat="1" ht="27.75" customHeight="1">
      <c r="A13" s="627" t="s">
        <v>436</v>
      </c>
      <c r="B13" s="808" t="s">
        <v>437</v>
      </c>
      <c r="C13" s="809"/>
      <c r="D13" s="809"/>
      <c r="E13" s="809"/>
      <c r="F13" s="809"/>
      <c r="G13" s="809"/>
      <c r="H13" s="809"/>
      <c r="I13" s="810"/>
      <c r="J13" s="629"/>
      <c r="K13" s="629"/>
      <c r="L13" s="629"/>
      <c r="M13" s="628"/>
      <c r="N13" s="628"/>
      <c r="O13" s="628"/>
      <c r="P13" s="629"/>
      <c r="Q13" s="628"/>
      <c r="R13" s="630"/>
      <c r="S13" s="628"/>
      <c r="T13" s="630"/>
      <c r="U13" s="631"/>
      <c r="V13" s="630"/>
      <c r="W13" s="630"/>
      <c r="X13" s="630"/>
      <c r="Y13" s="630"/>
      <c r="Z13" s="632"/>
      <c r="AA13" s="631"/>
      <c r="AB13" s="630"/>
      <c r="AC13" s="633"/>
      <c r="AD13" s="84"/>
      <c r="AE13" s="147"/>
      <c r="AF13" s="86"/>
      <c r="AG13" s="86"/>
      <c r="AH13" s="86"/>
      <c r="AI13" s="86"/>
      <c r="AJ13" s="573"/>
      <c r="AK13" s="87"/>
      <c r="AL13" s="79"/>
      <c r="AM13" s="79"/>
    </row>
    <row r="14" spans="1:39" s="104" customFormat="1" ht="35.450000000000003" customHeight="1">
      <c r="A14" s="202">
        <f ca="1">_xlfn.AGGREGATE(4,7,A$12:A29)+1</f>
        <v>2</v>
      </c>
      <c r="B14" s="464" t="s">
        <v>344</v>
      </c>
      <c r="C14" s="112" t="s">
        <v>345</v>
      </c>
      <c r="D14" s="228"/>
      <c r="E14" s="209"/>
      <c r="F14" s="223" t="str">
        <f>INDEX([3]SACOM!$C$7:$C$335,MATCH(B14,[3]SACOM!$B$7:$B$335,0))</f>
        <v>060310666028</v>
      </c>
      <c r="G14" s="447" t="s">
        <v>242</v>
      </c>
      <c r="H14" s="448">
        <v>6</v>
      </c>
      <c r="I14" s="449">
        <v>7515057</v>
      </c>
      <c r="J14" s="450"/>
      <c r="K14" s="449"/>
      <c r="L14" s="449">
        <f t="shared" ref="L14:L49" si="0">ROUND(I14+K14,0)</f>
        <v>7515057</v>
      </c>
      <c r="M14" s="449"/>
      <c r="N14" s="449">
        <f t="shared" ref="N14:N49" si="1">L14/26*M14</f>
        <v>0</v>
      </c>
      <c r="O14" s="449"/>
      <c r="P14" s="449">
        <f t="shared" ref="P14:P49" si="2">L14-N14+O14</f>
        <v>7515057</v>
      </c>
      <c r="Q14" s="449">
        <f t="shared" ref="Q14:Q48" si="3">L14*8%</f>
        <v>601204.56000000006</v>
      </c>
      <c r="R14" s="451">
        <f t="shared" ref="R14:R48" si="4">L14*1.5%</f>
        <v>112725.855</v>
      </c>
      <c r="S14" s="449">
        <f t="shared" ref="S14:S48" si="5">L14*1%</f>
        <v>75150.570000000007</v>
      </c>
      <c r="T14" s="451"/>
      <c r="U14" s="451">
        <f t="shared" ref="U14:U49" si="6">SUM(Q14:T14)</f>
        <v>789080.9850000001</v>
      </c>
      <c r="V14" s="451"/>
      <c r="W14" s="451"/>
      <c r="X14" s="452"/>
      <c r="Y14" s="451"/>
      <c r="Z14" s="451"/>
      <c r="AA14" s="457">
        <f t="shared" ref="AA14:AA43" si="7">P14-U14+W14+Y14+Z14</f>
        <v>6725976.0149999997</v>
      </c>
      <c r="AB14" s="101">
        <f t="shared" ref="AB14:AB36" ca="1" si="8">A14</f>
        <v>2</v>
      </c>
      <c r="AC14" s="102"/>
      <c r="AD14" s="102"/>
      <c r="AE14" s="120"/>
      <c r="AF14" s="116"/>
      <c r="AG14" s="566"/>
      <c r="AK14" s="105"/>
    </row>
    <row r="15" spans="1:39" s="104" customFormat="1" ht="28.5" customHeight="1">
      <c r="A15" s="202">
        <f ca="1">_xlfn.AGGREGATE(4,7,A$12:A14)+1</f>
        <v>3</v>
      </c>
      <c r="B15" s="464" t="s">
        <v>135</v>
      </c>
      <c r="C15" s="112" t="s">
        <v>120</v>
      </c>
      <c r="D15" s="227" t="s">
        <v>236</v>
      </c>
      <c r="E15" s="209" t="s">
        <v>208</v>
      </c>
      <c r="F15" s="223" t="str">
        <f>INDEX([3]SACOM!$C$7:$C$335,MATCH(B15,[3]SACOM!$B$7:$B$335,0))</f>
        <v>060310750304</v>
      </c>
      <c r="G15" s="454" t="s">
        <v>242</v>
      </c>
      <c r="H15" s="448">
        <v>5</v>
      </c>
      <c r="I15" s="449">
        <v>7023418</v>
      </c>
      <c r="J15" s="450"/>
      <c r="K15" s="449"/>
      <c r="L15" s="449">
        <f t="shared" si="0"/>
        <v>7023418</v>
      </c>
      <c r="M15" s="449"/>
      <c r="N15" s="449">
        <f t="shared" si="1"/>
        <v>0</v>
      </c>
      <c r="O15" s="449"/>
      <c r="P15" s="449">
        <f t="shared" si="2"/>
        <v>7023418</v>
      </c>
      <c r="Q15" s="449">
        <f t="shared" si="3"/>
        <v>561873.44000000006</v>
      </c>
      <c r="R15" s="451">
        <f t="shared" si="4"/>
        <v>105351.26999999999</v>
      </c>
      <c r="S15" s="449">
        <f t="shared" si="5"/>
        <v>70234.180000000008</v>
      </c>
      <c r="T15" s="451"/>
      <c r="U15" s="451">
        <f t="shared" si="6"/>
        <v>737458.89000000013</v>
      </c>
      <c r="V15" s="451"/>
      <c r="W15" s="451"/>
      <c r="X15" s="451"/>
      <c r="Y15" s="451"/>
      <c r="Z15" s="451"/>
      <c r="AA15" s="457">
        <f t="shared" si="7"/>
        <v>6285959.1099999994</v>
      </c>
      <c r="AB15" s="101">
        <f t="shared" ca="1" si="8"/>
        <v>3</v>
      </c>
      <c r="AC15" s="102"/>
      <c r="AD15" s="102" t="s">
        <v>110</v>
      </c>
      <c r="AE15" s="102" t="s">
        <v>112</v>
      </c>
      <c r="AF15" s="110" t="e">
        <f>#REF!*2</f>
        <v>#REF!</v>
      </c>
      <c r="AG15" s="110"/>
      <c r="AH15" s="110"/>
      <c r="AK15" s="111"/>
    </row>
    <row r="16" spans="1:39" s="566" customFormat="1" ht="29.45" customHeight="1">
      <c r="A16" s="202">
        <f ca="1">_xlfn.AGGREGATE(4,7,A$12:A15)+1</f>
        <v>4</v>
      </c>
      <c r="B16" s="464" t="s">
        <v>139</v>
      </c>
      <c r="C16" s="112" t="s">
        <v>69</v>
      </c>
      <c r="D16" s="228" t="str">
        <f>VLOOKUP(B16,[2]T3!$B$2:$D$328,3,FALSE)</f>
        <v>026050143</v>
      </c>
      <c r="E16" s="223" t="s">
        <v>217</v>
      </c>
      <c r="F16" s="223" t="str">
        <f>INDEX([3]SACOM!$C$7:$C$335,MATCH(B16,[3]SACOM!$B$7:$B$335,0))</f>
        <v>060311482761</v>
      </c>
      <c r="G16" s="454" t="s">
        <v>242</v>
      </c>
      <c r="H16" s="448">
        <v>7</v>
      </c>
      <c r="I16" s="449">
        <v>8041111</v>
      </c>
      <c r="J16" s="450"/>
      <c r="K16" s="449"/>
      <c r="L16" s="449">
        <f t="shared" si="0"/>
        <v>8041111</v>
      </c>
      <c r="M16" s="449"/>
      <c r="N16" s="449">
        <f t="shared" si="1"/>
        <v>0</v>
      </c>
      <c r="O16" s="449"/>
      <c r="P16" s="449">
        <f t="shared" si="2"/>
        <v>8041111</v>
      </c>
      <c r="Q16" s="449">
        <f t="shared" si="3"/>
        <v>643288.88</v>
      </c>
      <c r="R16" s="451">
        <f t="shared" si="4"/>
        <v>120616.66499999999</v>
      </c>
      <c r="S16" s="449">
        <f t="shared" si="5"/>
        <v>80411.11</v>
      </c>
      <c r="T16" s="451"/>
      <c r="U16" s="451">
        <f t="shared" si="6"/>
        <v>844316.65500000003</v>
      </c>
      <c r="V16" s="451"/>
      <c r="W16" s="451"/>
      <c r="X16" s="451"/>
      <c r="Y16" s="451"/>
      <c r="Z16" s="451"/>
      <c r="AA16" s="457">
        <f t="shared" si="7"/>
        <v>7196794.3449999997</v>
      </c>
      <c r="AB16" s="101">
        <f t="shared" ca="1" si="8"/>
        <v>4</v>
      </c>
      <c r="AC16" s="102"/>
      <c r="AD16" s="134" t="s">
        <v>108</v>
      </c>
      <c r="AE16" s="117" t="e">
        <f>#REF!/24</f>
        <v>#REF!</v>
      </c>
      <c r="AK16" s="565"/>
    </row>
    <row r="17" spans="1:39" s="566" customFormat="1" ht="30" customHeight="1">
      <c r="A17" s="202">
        <f ca="1">_xlfn.AGGREGATE(4,7,A$12:A16)+1</f>
        <v>5</v>
      </c>
      <c r="B17" s="465" t="s">
        <v>127</v>
      </c>
      <c r="C17" s="112" t="s">
        <v>120</v>
      </c>
      <c r="D17" s="228" t="str">
        <f>VLOOKUP(B17,[2]T3!$B$2:$D$328,3,FALSE)</f>
        <v>025444854</v>
      </c>
      <c r="E17" s="223" t="s">
        <v>209</v>
      </c>
      <c r="F17" s="223" t="str">
        <f>INDEX([3]SACOM!$C$7:$C$335,MATCH(B17,[3]SACOM!$B$7:$B$335,0))</f>
        <v>061828031994</v>
      </c>
      <c r="G17" s="454" t="s">
        <v>245</v>
      </c>
      <c r="H17" s="448">
        <v>3</v>
      </c>
      <c r="I17" s="449">
        <v>5520879</v>
      </c>
      <c r="J17" s="450"/>
      <c r="K17" s="449"/>
      <c r="L17" s="449">
        <f t="shared" si="0"/>
        <v>5520879</v>
      </c>
      <c r="M17" s="449"/>
      <c r="N17" s="449">
        <f t="shared" si="1"/>
        <v>0</v>
      </c>
      <c r="O17" s="449"/>
      <c r="P17" s="449">
        <f t="shared" si="2"/>
        <v>5520879</v>
      </c>
      <c r="Q17" s="449">
        <f t="shared" si="3"/>
        <v>441670.32</v>
      </c>
      <c r="R17" s="451">
        <f t="shared" si="4"/>
        <v>82813.184999999998</v>
      </c>
      <c r="S17" s="449">
        <f t="shared" si="5"/>
        <v>55208.79</v>
      </c>
      <c r="T17" s="451"/>
      <c r="U17" s="451">
        <f t="shared" si="6"/>
        <v>579692.29500000004</v>
      </c>
      <c r="V17" s="451"/>
      <c r="W17" s="451"/>
      <c r="X17" s="451"/>
      <c r="Y17" s="451"/>
      <c r="Z17" s="451"/>
      <c r="AA17" s="457">
        <f t="shared" si="7"/>
        <v>4941186.7050000001</v>
      </c>
      <c r="AB17" s="101">
        <f t="shared" ca="1" si="8"/>
        <v>5</v>
      </c>
      <c r="AC17" s="102"/>
      <c r="AD17" s="102" t="s">
        <v>125</v>
      </c>
      <c r="AE17" s="144"/>
      <c r="AF17" s="110"/>
      <c r="AG17" s="110"/>
      <c r="AH17" s="110"/>
      <c r="AK17" s="111"/>
    </row>
    <row r="18" spans="1:39" s="104" customFormat="1" ht="39" customHeight="1">
      <c r="A18" s="202">
        <f ca="1">_xlfn.AGGREGATE(4,7,A$12:A17)+1</f>
        <v>6</v>
      </c>
      <c r="B18" s="464" t="s">
        <v>140</v>
      </c>
      <c r="C18" s="112" t="s">
        <v>274</v>
      </c>
      <c r="D18" s="228" t="str">
        <f>VLOOKUP(B18,[2]T3!$B$2:$D$328,3,FALSE)</f>
        <v>025177943</v>
      </c>
      <c r="E18" s="209" t="s">
        <v>215</v>
      </c>
      <c r="F18" s="223" t="str">
        <f>INDEX([3]SACOM!$C$7:$C$335,MATCH(B18,[3]SACOM!$B$7:$B$335,0))</f>
        <v>060310749055</v>
      </c>
      <c r="G18" s="454" t="s">
        <v>245</v>
      </c>
      <c r="H18" s="455">
        <v>5</v>
      </c>
      <c r="I18" s="449">
        <v>6086769</v>
      </c>
      <c r="J18" s="450"/>
      <c r="K18" s="449"/>
      <c r="L18" s="449">
        <f t="shared" si="0"/>
        <v>6086769</v>
      </c>
      <c r="M18" s="449"/>
      <c r="N18" s="449">
        <f t="shared" si="1"/>
        <v>0</v>
      </c>
      <c r="O18" s="449"/>
      <c r="P18" s="449">
        <f t="shared" si="2"/>
        <v>6086769</v>
      </c>
      <c r="Q18" s="449">
        <f t="shared" si="3"/>
        <v>486941.52</v>
      </c>
      <c r="R18" s="451">
        <f t="shared" si="4"/>
        <v>91301.535000000003</v>
      </c>
      <c r="S18" s="449">
        <f t="shared" si="5"/>
        <v>60867.69</v>
      </c>
      <c r="T18" s="451"/>
      <c r="U18" s="451">
        <f t="shared" si="6"/>
        <v>639110.74500000011</v>
      </c>
      <c r="V18" s="451"/>
      <c r="W18" s="451"/>
      <c r="X18" s="451"/>
      <c r="Y18" s="451"/>
      <c r="Z18" s="451"/>
      <c r="AA18" s="457">
        <f t="shared" si="7"/>
        <v>5447658.2549999999</v>
      </c>
      <c r="AB18" s="101">
        <f t="shared" ca="1" si="8"/>
        <v>6</v>
      </c>
      <c r="AC18" s="102"/>
      <c r="AD18" s="135">
        <f>2.67-2.41</f>
        <v>0.25999999999999979</v>
      </c>
      <c r="AE18" s="106" t="s">
        <v>59</v>
      </c>
      <c r="AF18" s="136"/>
      <c r="AG18" s="137"/>
      <c r="AK18" s="111"/>
    </row>
    <row r="19" spans="1:39" s="104" customFormat="1" ht="39" customHeight="1">
      <c r="A19" s="202">
        <f ca="1">_xlfn.AGGREGATE(4,7,A$12:A18)+1</f>
        <v>7</v>
      </c>
      <c r="B19" s="464" t="s">
        <v>144</v>
      </c>
      <c r="C19" s="112" t="s">
        <v>274</v>
      </c>
      <c r="D19" s="228" t="str">
        <f>VLOOKUP(B19,[2]T3!$B$2:$D$328,3,FALSE)</f>
        <v>025632449</v>
      </c>
      <c r="E19" s="209" t="s">
        <v>220</v>
      </c>
      <c r="F19" s="223" t="str">
        <f>INDEX([3]SACOM!$C$7:$C$335,MATCH(B19,[3]SACOM!$B$7:$B$335,0))</f>
        <v>060310751688</v>
      </c>
      <c r="G19" s="454" t="s">
        <v>245</v>
      </c>
      <c r="H19" s="448">
        <v>3</v>
      </c>
      <c r="I19" s="449">
        <v>5520879</v>
      </c>
      <c r="J19" s="450"/>
      <c r="K19" s="449"/>
      <c r="L19" s="449">
        <f t="shared" si="0"/>
        <v>5520879</v>
      </c>
      <c r="M19" s="449"/>
      <c r="N19" s="449">
        <f t="shared" si="1"/>
        <v>0</v>
      </c>
      <c r="O19" s="449"/>
      <c r="P19" s="449">
        <f t="shared" si="2"/>
        <v>5520879</v>
      </c>
      <c r="Q19" s="449">
        <f t="shared" si="3"/>
        <v>441670.32</v>
      </c>
      <c r="R19" s="451">
        <f t="shared" si="4"/>
        <v>82813.184999999998</v>
      </c>
      <c r="S19" s="449">
        <f t="shared" si="5"/>
        <v>55208.79</v>
      </c>
      <c r="T19" s="451"/>
      <c r="U19" s="451">
        <f t="shared" si="6"/>
        <v>579692.29500000004</v>
      </c>
      <c r="V19" s="451"/>
      <c r="W19" s="451"/>
      <c r="X19" s="451"/>
      <c r="Y19" s="451"/>
      <c r="Z19" s="451"/>
      <c r="AA19" s="457">
        <f t="shared" si="7"/>
        <v>4941186.7050000001</v>
      </c>
      <c r="AB19" s="101">
        <f t="shared" ca="1" si="8"/>
        <v>7</v>
      </c>
      <c r="AC19" s="102"/>
      <c r="AD19" s="120" t="s">
        <v>85</v>
      </c>
      <c r="AE19" s="109"/>
      <c r="AF19" s="120" t="s">
        <v>111</v>
      </c>
      <c r="AG19" s="110"/>
      <c r="AH19" s="110"/>
      <c r="AK19" s="111"/>
    </row>
    <row r="20" spans="1:39" s="520" customFormat="1" ht="36.75" customHeight="1">
      <c r="A20" s="202">
        <f ca="1">_xlfn.AGGREGATE(4,7,A$12:A19)+1</f>
        <v>8</v>
      </c>
      <c r="B20" s="530" t="s">
        <v>229</v>
      </c>
      <c r="C20" s="112" t="s">
        <v>277</v>
      </c>
      <c r="D20" s="531" t="str">
        <f>VLOOKUP(B20,[2]T3!$B$2:$D$328,3,FALSE)</f>
        <v>024326689</v>
      </c>
      <c r="E20" s="209"/>
      <c r="F20" s="223" t="str">
        <f>INDEX([3]SACOM!$C$7:$C$335,MATCH(B20,[3]SACOM!$B$7:$B$335,0))</f>
        <v>060281693924</v>
      </c>
      <c r="G20" s="447" t="s">
        <v>246</v>
      </c>
      <c r="H20" s="532">
        <v>1</v>
      </c>
      <c r="I20" s="533">
        <v>5007600</v>
      </c>
      <c r="J20" s="534"/>
      <c r="K20" s="533"/>
      <c r="L20" s="533">
        <f t="shared" si="0"/>
        <v>5007600</v>
      </c>
      <c r="M20" s="533"/>
      <c r="N20" s="449">
        <f t="shared" si="1"/>
        <v>0</v>
      </c>
      <c r="O20" s="533"/>
      <c r="P20" s="533">
        <f t="shared" si="2"/>
        <v>5007600</v>
      </c>
      <c r="Q20" s="533">
        <f t="shared" si="3"/>
        <v>400608</v>
      </c>
      <c r="R20" s="535">
        <f t="shared" si="4"/>
        <v>75114</v>
      </c>
      <c r="S20" s="533">
        <f t="shared" si="5"/>
        <v>50076</v>
      </c>
      <c r="T20" s="535"/>
      <c r="U20" s="535">
        <f t="shared" si="6"/>
        <v>525798</v>
      </c>
      <c r="V20" s="535"/>
      <c r="W20" s="535"/>
      <c r="X20" s="536"/>
      <c r="Y20" s="535"/>
      <c r="Z20" s="535"/>
      <c r="AA20" s="457">
        <f t="shared" si="7"/>
        <v>4481802</v>
      </c>
      <c r="AB20" s="537">
        <f t="shared" ca="1" si="8"/>
        <v>8</v>
      </c>
      <c r="AC20" s="519"/>
      <c r="AD20" s="519" t="s">
        <v>230</v>
      </c>
    </row>
    <row r="21" spans="1:39" s="566" customFormat="1" ht="35.25" customHeight="1">
      <c r="A21" s="202">
        <f ca="1">_xlfn.AGGREGATE(4,7,A$12:A20)+1</f>
        <v>9</v>
      </c>
      <c r="B21" s="464" t="s">
        <v>133</v>
      </c>
      <c r="C21" s="112" t="s">
        <v>73</v>
      </c>
      <c r="D21" s="228" t="str">
        <f>VLOOKUP(B21,[2]T3!$B$2:$D$328,3,FALSE)</f>
        <v>230718298</v>
      </c>
      <c r="E21" s="209" t="s">
        <v>206</v>
      </c>
      <c r="F21" s="223" t="str">
        <f>INDEX([3]SACOM!$C$7:$C$335,MATCH(B21,[3]SACOM!$B$7:$B$335,0))</f>
        <v>0977414676</v>
      </c>
      <c r="G21" s="454" t="s">
        <v>242</v>
      </c>
      <c r="H21" s="448">
        <v>6</v>
      </c>
      <c r="I21" s="449">
        <v>7515057</v>
      </c>
      <c r="J21" s="450"/>
      <c r="K21" s="449"/>
      <c r="L21" s="449">
        <f t="shared" si="0"/>
        <v>7515057</v>
      </c>
      <c r="M21" s="449">
        <v>0</v>
      </c>
      <c r="N21" s="449">
        <f t="shared" si="1"/>
        <v>0</v>
      </c>
      <c r="O21" s="449"/>
      <c r="P21" s="449">
        <f t="shared" si="2"/>
        <v>7515057</v>
      </c>
      <c r="Q21" s="449">
        <f t="shared" si="3"/>
        <v>601204.56000000006</v>
      </c>
      <c r="R21" s="451">
        <f t="shared" si="4"/>
        <v>112725.855</v>
      </c>
      <c r="S21" s="449">
        <f t="shared" si="5"/>
        <v>75150.570000000007</v>
      </c>
      <c r="T21" s="451"/>
      <c r="U21" s="451">
        <f t="shared" si="6"/>
        <v>789080.9850000001</v>
      </c>
      <c r="V21" s="451"/>
      <c r="W21" s="453"/>
      <c r="X21" s="453"/>
      <c r="Y21" s="453"/>
      <c r="Z21" s="453"/>
      <c r="AA21" s="457">
        <f t="shared" si="7"/>
        <v>6725976.0149999997</v>
      </c>
      <c r="AB21" s="101">
        <f t="shared" ca="1" si="8"/>
        <v>9</v>
      </c>
      <c r="AC21" s="102"/>
      <c r="AD21" s="102" t="s">
        <v>105</v>
      </c>
      <c r="AE21" s="108"/>
      <c r="AH21" s="116"/>
      <c r="AK21" s="565"/>
    </row>
    <row r="22" spans="1:39" s="104" customFormat="1" ht="36.6" customHeight="1">
      <c r="A22" s="202">
        <f ca="1">_xlfn.AGGREGATE(4,7,A$12:A21)+1</f>
        <v>10</v>
      </c>
      <c r="B22" s="464" t="s">
        <v>290</v>
      </c>
      <c r="C22" s="112" t="s">
        <v>291</v>
      </c>
      <c r="D22" s="228"/>
      <c r="E22" s="223"/>
      <c r="F22" s="223" t="str">
        <f>INDEX([3]SACOM!$C$7:$C$335,MATCH(B22,[3]SACOM!$B$7:$B$335,0))</f>
        <v>0902915225</v>
      </c>
      <c r="G22" s="447" t="s">
        <v>242</v>
      </c>
      <c r="H22" s="448">
        <v>2</v>
      </c>
      <c r="I22" s="449">
        <v>5733201</v>
      </c>
      <c r="J22" s="450"/>
      <c r="K22" s="449"/>
      <c r="L22" s="449">
        <f t="shared" si="0"/>
        <v>5733201</v>
      </c>
      <c r="M22" s="449"/>
      <c r="N22" s="449">
        <f t="shared" si="1"/>
        <v>0</v>
      </c>
      <c r="O22" s="449"/>
      <c r="P22" s="449">
        <f t="shared" si="2"/>
        <v>5733201</v>
      </c>
      <c r="Q22" s="449">
        <f t="shared" si="3"/>
        <v>458656.08</v>
      </c>
      <c r="R22" s="451">
        <f t="shared" si="4"/>
        <v>85998.014999999999</v>
      </c>
      <c r="S22" s="449">
        <f t="shared" si="5"/>
        <v>57332.01</v>
      </c>
      <c r="T22" s="451"/>
      <c r="U22" s="451">
        <f t="shared" si="6"/>
        <v>601986.10499999998</v>
      </c>
      <c r="V22" s="451"/>
      <c r="W22" s="453"/>
      <c r="X22" s="453"/>
      <c r="Y22" s="453"/>
      <c r="Z22" s="453"/>
      <c r="AA22" s="457">
        <f t="shared" si="7"/>
        <v>5131214.8949999996</v>
      </c>
      <c r="AB22" s="101">
        <f t="shared" ca="1" si="8"/>
        <v>10</v>
      </c>
      <c r="AC22" s="255"/>
      <c r="AD22" s="255" t="s">
        <v>300</v>
      </c>
      <c r="AE22" s="117"/>
      <c r="AF22" s="144"/>
      <c r="AG22" s="566"/>
      <c r="AK22" s="105"/>
    </row>
    <row r="23" spans="1:39" s="104" customFormat="1" ht="37.5" customHeight="1">
      <c r="A23" s="202">
        <f ca="1">_xlfn.AGGREGATE(4,7,A$12:A22)+1</f>
        <v>11</v>
      </c>
      <c r="B23" s="464" t="s">
        <v>327</v>
      </c>
      <c r="C23" s="112" t="s">
        <v>326</v>
      </c>
      <c r="D23" s="228"/>
      <c r="E23" s="336" t="s">
        <v>337</v>
      </c>
      <c r="F23" s="223" t="str">
        <f>INDEX([3]SACOM!$C$7:$C$335,MATCH(B23,[3]SACOM!$B$7:$B$335,0))</f>
        <v>060311042826</v>
      </c>
      <c r="G23" s="447" t="s">
        <v>242</v>
      </c>
      <c r="H23" s="448">
        <v>1</v>
      </c>
      <c r="I23" s="449">
        <v>5358132</v>
      </c>
      <c r="J23" s="450"/>
      <c r="K23" s="449"/>
      <c r="L23" s="449">
        <f t="shared" si="0"/>
        <v>5358132</v>
      </c>
      <c r="M23" s="449"/>
      <c r="N23" s="449">
        <f t="shared" si="1"/>
        <v>0</v>
      </c>
      <c r="O23" s="449"/>
      <c r="P23" s="449">
        <f t="shared" si="2"/>
        <v>5358132</v>
      </c>
      <c r="Q23" s="449">
        <f t="shared" si="3"/>
        <v>428650.56</v>
      </c>
      <c r="R23" s="451">
        <f t="shared" si="4"/>
        <v>80371.98</v>
      </c>
      <c r="S23" s="449">
        <f t="shared" si="5"/>
        <v>53581.32</v>
      </c>
      <c r="T23" s="451"/>
      <c r="U23" s="451">
        <f t="shared" si="6"/>
        <v>562603.86</v>
      </c>
      <c r="V23" s="451"/>
      <c r="W23" s="453"/>
      <c r="X23" s="453"/>
      <c r="Y23" s="453"/>
      <c r="Z23" s="453"/>
      <c r="AA23" s="457">
        <f t="shared" si="7"/>
        <v>4795528.1399999997</v>
      </c>
      <c r="AB23" s="101">
        <f t="shared" ca="1" si="8"/>
        <v>11</v>
      </c>
      <c r="AC23" s="255"/>
      <c r="AD23" s="335" t="s">
        <v>328</v>
      </c>
      <c r="AE23" s="431"/>
      <c r="AF23" s="432"/>
      <c r="AG23" s="583"/>
      <c r="AH23" s="42"/>
      <c r="AI23" s="42"/>
      <c r="AJ23" s="42"/>
      <c r="AK23" s="58"/>
      <c r="AL23" s="42"/>
      <c r="AM23" s="42"/>
    </row>
    <row r="24" spans="1:39" s="104" customFormat="1" ht="38.450000000000003" customHeight="1">
      <c r="A24" s="202">
        <f ca="1">_xlfn.AGGREGATE(4,7,A$12:A23)+1</f>
        <v>12</v>
      </c>
      <c r="B24" s="464" t="s">
        <v>397</v>
      </c>
      <c r="C24" s="112" t="s">
        <v>326</v>
      </c>
      <c r="D24" s="228"/>
      <c r="E24" s="336"/>
      <c r="F24" s="223" t="str">
        <f>INDEX([3]SACOM!$C$7:$C$335,MATCH(B24,[3]SACOM!$B$7:$B$335,0))</f>
        <v>060310886001</v>
      </c>
      <c r="G24" s="447" t="s">
        <v>242</v>
      </c>
      <c r="H24" s="448">
        <v>1</v>
      </c>
      <c r="I24" s="449">
        <v>5358132</v>
      </c>
      <c r="J24" s="450"/>
      <c r="K24" s="449"/>
      <c r="L24" s="449">
        <f t="shared" si="0"/>
        <v>5358132</v>
      </c>
      <c r="M24" s="449"/>
      <c r="N24" s="449">
        <f t="shared" si="1"/>
        <v>0</v>
      </c>
      <c r="O24" s="449"/>
      <c r="P24" s="449">
        <f t="shared" si="2"/>
        <v>5358132</v>
      </c>
      <c r="Q24" s="449">
        <f t="shared" si="3"/>
        <v>428650.56</v>
      </c>
      <c r="R24" s="451">
        <f t="shared" si="4"/>
        <v>80371.98</v>
      </c>
      <c r="S24" s="449">
        <f t="shared" si="5"/>
        <v>53581.32</v>
      </c>
      <c r="T24" s="451"/>
      <c r="U24" s="451">
        <f t="shared" si="6"/>
        <v>562603.86</v>
      </c>
      <c r="V24" s="451"/>
      <c r="W24" s="453"/>
      <c r="X24" s="453"/>
      <c r="Y24" s="453"/>
      <c r="Z24" s="453"/>
      <c r="AA24" s="457">
        <f t="shared" si="7"/>
        <v>4795528.1399999997</v>
      </c>
      <c r="AB24" s="101">
        <f t="shared" ca="1" si="8"/>
        <v>12</v>
      </c>
      <c r="AC24" s="255"/>
      <c r="AD24" s="255" t="s">
        <v>402</v>
      </c>
      <c r="AE24" s="431"/>
      <c r="AF24" s="432"/>
      <c r="AG24" s="583"/>
      <c r="AH24" s="42"/>
      <c r="AI24" s="42"/>
      <c r="AJ24" s="42"/>
      <c r="AK24" s="58"/>
      <c r="AL24" s="42"/>
      <c r="AM24" s="42"/>
    </row>
    <row r="25" spans="1:39" s="104" customFormat="1" ht="36.75" customHeight="1">
      <c r="A25" s="202">
        <f ca="1">_xlfn.AGGREGATE(4,7,A$12:A24)+1</f>
        <v>13</v>
      </c>
      <c r="B25" s="464" t="s">
        <v>138</v>
      </c>
      <c r="C25" s="112" t="s">
        <v>172</v>
      </c>
      <c r="D25" s="227" t="s">
        <v>237</v>
      </c>
      <c r="E25" s="209" t="s">
        <v>214</v>
      </c>
      <c r="F25" s="223" t="str">
        <f>INDEX([3]SACOM!$C$7:$C$335,MATCH(B25,[3]SACOM!$B$7:$B$335,0))</f>
        <v>060310828079</v>
      </c>
      <c r="G25" s="454" t="s">
        <v>242</v>
      </c>
      <c r="H25" s="502">
        <v>7</v>
      </c>
      <c r="I25" s="449">
        <v>8041111</v>
      </c>
      <c r="J25" s="450"/>
      <c r="K25" s="449"/>
      <c r="L25" s="449">
        <f t="shared" si="0"/>
        <v>8041111</v>
      </c>
      <c r="M25" s="449"/>
      <c r="N25" s="449">
        <f t="shared" si="1"/>
        <v>0</v>
      </c>
      <c r="O25" s="449"/>
      <c r="P25" s="449">
        <f t="shared" si="2"/>
        <v>8041111</v>
      </c>
      <c r="Q25" s="449">
        <f t="shared" si="3"/>
        <v>643288.88</v>
      </c>
      <c r="R25" s="451">
        <f t="shared" si="4"/>
        <v>120616.66499999999</v>
      </c>
      <c r="S25" s="449">
        <f t="shared" si="5"/>
        <v>80411.11</v>
      </c>
      <c r="T25" s="451"/>
      <c r="U25" s="451">
        <f t="shared" si="6"/>
        <v>844316.65500000003</v>
      </c>
      <c r="V25" s="451"/>
      <c r="W25" s="451"/>
      <c r="X25" s="451"/>
      <c r="Y25" s="451"/>
      <c r="Z25" s="451"/>
      <c r="AA25" s="457">
        <f t="shared" si="7"/>
        <v>7196794.3449999997</v>
      </c>
      <c r="AB25" s="101">
        <f t="shared" ca="1" si="8"/>
        <v>13</v>
      </c>
      <c r="AC25" s="102"/>
      <c r="AD25" s="103" t="s">
        <v>72</v>
      </c>
      <c r="AE25" s="152"/>
      <c r="AG25" s="566"/>
      <c r="AK25" s="105"/>
    </row>
    <row r="26" spans="1:39" s="104" customFormat="1" ht="42.75" customHeight="1">
      <c r="A26" s="202">
        <f ca="1">_xlfn.AGGREGATE(4,7,A$12:A25)+1</f>
        <v>14</v>
      </c>
      <c r="B26" s="464" t="s">
        <v>283</v>
      </c>
      <c r="C26" s="112" t="s">
        <v>287</v>
      </c>
      <c r="D26" s="228"/>
      <c r="E26" s="223" t="s">
        <v>324</v>
      </c>
      <c r="F26" s="223" t="str">
        <f>INDEX([3]SACOM!$C$7:$C$335,MATCH(B26,[3]SACOM!$B$7:$B$335,0))</f>
        <v>060310836772</v>
      </c>
      <c r="G26" s="447" t="s">
        <v>242</v>
      </c>
      <c r="H26" s="448">
        <v>2</v>
      </c>
      <c r="I26" s="449">
        <v>5733201</v>
      </c>
      <c r="J26" s="450"/>
      <c r="K26" s="449"/>
      <c r="L26" s="449">
        <f t="shared" si="0"/>
        <v>5733201</v>
      </c>
      <c r="M26" s="449"/>
      <c r="N26" s="449">
        <f t="shared" si="1"/>
        <v>0</v>
      </c>
      <c r="O26" s="449"/>
      <c r="P26" s="449">
        <f t="shared" si="2"/>
        <v>5733201</v>
      </c>
      <c r="Q26" s="449">
        <f t="shared" si="3"/>
        <v>458656.08</v>
      </c>
      <c r="R26" s="451">
        <f t="shared" si="4"/>
        <v>85998.014999999999</v>
      </c>
      <c r="S26" s="449">
        <f t="shared" si="5"/>
        <v>57332.01</v>
      </c>
      <c r="T26" s="451"/>
      <c r="U26" s="451">
        <f t="shared" si="6"/>
        <v>601986.10499999998</v>
      </c>
      <c r="V26" s="451"/>
      <c r="W26" s="453"/>
      <c r="X26" s="453"/>
      <c r="Y26" s="453"/>
      <c r="Z26" s="453"/>
      <c r="AA26" s="457">
        <f t="shared" si="7"/>
        <v>5131214.8949999996</v>
      </c>
      <c r="AB26" s="101">
        <f t="shared" ca="1" si="8"/>
        <v>14</v>
      </c>
      <c r="AC26" s="255"/>
      <c r="AD26" s="255" t="s">
        <v>284</v>
      </c>
      <c r="AE26" s="117"/>
      <c r="AF26" s="144"/>
      <c r="AG26" s="566"/>
      <c r="AK26" s="105"/>
    </row>
    <row r="27" spans="1:39" s="566" customFormat="1" ht="36" customHeight="1">
      <c r="A27" s="202">
        <f ca="1">_xlfn.AGGREGATE(4,7,A$12:A26)+1</f>
        <v>15</v>
      </c>
      <c r="B27" s="593" t="s">
        <v>433</v>
      </c>
      <c r="C27" s="112" t="s">
        <v>239</v>
      </c>
      <c r="D27" s="226" t="s">
        <v>233</v>
      </c>
      <c r="E27" s="223" t="s">
        <v>203</v>
      </c>
      <c r="F27" s="223" t="str">
        <f>INDEX([3]SACOM!$C$7:$C$335,MATCH(B27,[3]SACOM!$B$7:$B$335,0))</f>
        <v>0358800688</v>
      </c>
      <c r="G27" s="454" t="s">
        <v>245</v>
      </c>
      <c r="H27" s="448">
        <v>5</v>
      </c>
      <c r="I27" s="449">
        <v>6086769</v>
      </c>
      <c r="J27" s="450"/>
      <c r="K27" s="449"/>
      <c r="L27" s="449">
        <f t="shared" si="0"/>
        <v>6086769</v>
      </c>
      <c r="M27" s="449"/>
      <c r="N27" s="449">
        <f t="shared" si="1"/>
        <v>0</v>
      </c>
      <c r="O27" s="449"/>
      <c r="P27" s="449">
        <f t="shared" si="2"/>
        <v>6086769</v>
      </c>
      <c r="Q27" s="449">
        <f t="shared" si="3"/>
        <v>486941.52</v>
      </c>
      <c r="R27" s="451">
        <f t="shared" si="4"/>
        <v>91301.535000000003</v>
      </c>
      <c r="S27" s="449">
        <f t="shared" si="5"/>
        <v>60867.69</v>
      </c>
      <c r="T27" s="451"/>
      <c r="U27" s="451">
        <f t="shared" si="6"/>
        <v>639110.74500000011</v>
      </c>
      <c r="V27" s="452"/>
      <c r="W27" s="451"/>
      <c r="X27" s="452"/>
      <c r="Y27" s="451"/>
      <c r="Z27" s="451"/>
      <c r="AA27" s="457">
        <f t="shared" si="7"/>
        <v>5447658.2549999999</v>
      </c>
      <c r="AB27" s="101">
        <f t="shared" ca="1" si="8"/>
        <v>15</v>
      </c>
      <c r="AC27" s="102"/>
      <c r="AD27" s="117">
        <f>'ND 111'!AD27*10.5%</f>
        <v>486013.5</v>
      </c>
      <c r="AE27" s="754"/>
      <c r="AF27" s="755"/>
      <c r="AG27" s="755"/>
      <c r="AH27" s="755"/>
      <c r="AK27" s="119"/>
    </row>
    <row r="28" spans="1:39" s="104" customFormat="1" ht="37.5" customHeight="1">
      <c r="A28" s="202">
        <f ca="1">_xlfn.AGGREGATE(4,7,A$12:A27)+1</f>
        <v>16</v>
      </c>
      <c r="B28" s="501" t="s">
        <v>432</v>
      </c>
      <c r="C28" s="112" t="s">
        <v>287</v>
      </c>
      <c r="D28" s="226" t="s">
        <v>232</v>
      </c>
      <c r="E28" s="209" t="s">
        <v>210</v>
      </c>
      <c r="F28" s="223" t="str">
        <f>INDEX([3]SACOM!$C$7:$C$335,MATCH(B28,[3]SACOM!$B$7:$B$335,0))</f>
        <v>060278335766</v>
      </c>
      <c r="G28" s="454" t="s">
        <v>242</v>
      </c>
      <c r="H28" s="448">
        <v>2</v>
      </c>
      <c r="I28" s="449">
        <v>5733201</v>
      </c>
      <c r="J28" s="450"/>
      <c r="K28" s="449"/>
      <c r="L28" s="449">
        <f t="shared" si="0"/>
        <v>5733201</v>
      </c>
      <c r="M28" s="449"/>
      <c r="N28" s="449">
        <f t="shared" si="1"/>
        <v>0</v>
      </c>
      <c r="O28" s="449"/>
      <c r="P28" s="449">
        <f t="shared" si="2"/>
        <v>5733201</v>
      </c>
      <c r="Q28" s="449">
        <f t="shared" si="3"/>
        <v>458656.08</v>
      </c>
      <c r="R28" s="451">
        <f t="shared" si="4"/>
        <v>85998.014999999999</v>
      </c>
      <c r="S28" s="449">
        <f t="shared" si="5"/>
        <v>57332.01</v>
      </c>
      <c r="T28" s="451"/>
      <c r="U28" s="451">
        <f t="shared" si="6"/>
        <v>601986.10499999998</v>
      </c>
      <c r="V28" s="451"/>
      <c r="W28" s="451"/>
      <c r="X28" s="451"/>
      <c r="Y28" s="451"/>
      <c r="Z28" s="451"/>
      <c r="AA28" s="457">
        <f t="shared" si="7"/>
        <v>5131214.8949999996</v>
      </c>
      <c r="AB28" s="101">
        <f t="shared" ca="1" si="8"/>
        <v>16</v>
      </c>
      <c r="AC28" s="118"/>
      <c r="AD28" s="139" t="s">
        <v>118</v>
      </c>
      <c r="AE28" s="155"/>
      <c r="AF28" s="128"/>
      <c r="AG28" s="110"/>
      <c r="AH28" s="110"/>
      <c r="AK28" s="111"/>
    </row>
    <row r="29" spans="1:39" s="566" customFormat="1" ht="42.75" customHeight="1">
      <c r="A29" s="202">
        <f>_xlfn.AGGREGATE(4,7,A$12:A12)+1</f>
        <v>1</v>
      </c>
      <c r="B29" s="464" t="s">
        <v>318</v>
      </c>
      <c r="C29" s="112" t="s">
        <v>409</v>
      </c>
      <c r="D29" s="227" t="s">
        <v>335</v>
      </c>
      <c r="E29" s="336" t="s">
        <v>336</v>
      </c>
      <c r="F29" s="223" t="str">
        <f>INDEX([3]SACOM!$C$7:$C$335,MATCH(B29,[3]SACOM!$B$7:$B$335,0))</f>
        <v>060310951679</v>
      </c>
      <c r="G29" s="447" t="s">
        <v>242</v>
      </c>
      <c r="H29" s="448">
        <v>1</v>
      </c>
      <c r="I29" s="449">
        <v>5358132</v>
      </c>
      <c r="J29" s="450"/>
      <c r="K29" s="449"/>
      <c r="L29" s="449">
        <f t="shared" si="0"/>
        <v>5358132</v>
      </c>
      <c r="M29" s="449"/>
      <c r="N29" s="449">
        <f t="shared" si="1"/>
        <v>0</v>
      </c>
      <c r="O29" s="449"/>
      <c r="P29" s="449">
        <f t="shared" si="2"/>
        <v>5358132</v>
      </c>
      <c r="Q29" s="449">
        <f t="shared" si="3"/>
        <v>428650.56</v>
      </c>
      <c r="R29" s="451">
        <f t="shared" si="4"/>
        <v>80371.98</v>
      </c>
      <c r="S29" s="449">
        <f t="shared" si="5"/>
        <v>53581.32</v>
      </c>
      <c r="T29" s="451"/>
      <c r="U29" s="451">
        <f t="shared" si="6"/>
        <v>562603.86</v>
      </c>
      <c r="V29" s="451"/>
      <c r="W29" s="453"/>
      <c r="X29" s="453"/>
      <c r="Y29" s="453"/>
      <c r="Z29" s="453"/>
      <c r="AA29" s="457">
        <f t="shared" si="7"/>
        <v>4795528.1399999997</v>
      </c>
      <c r="AB29" s="101">
        <f t="shared" si="8"/>
        <v>1</v>
      </c>
      <c r="AC29" s="255"/>
      <c r="AD29" s="255" t="s">
        <v>320</v>
      </c>
      <c r="AE29" s="117"/>
      <c r="AF29" s="144"/>
      <c r="AK29" s="565"/>
    </row>
    <row r="30" spans="1:39" s="104" customFormat="1" ht="42.75" customHeight="1">
      <c r="A30" s="202">
        <f ca="1">_xlfn.AGGREGATE(4,7,A$12:A28)+1</f>
        <v>17</v>
      </c>
      <c r="B30" s="464" t="s">
        <v>311</v>
      </c>
      <c r="C30" s="112" t="s">
        <v>287</v>
      </c>
      <c r="D30" s="228"/>
      <c r="E30" s="223"/>
      <c r="F30" s="223" t="str">
        <f>INDEX([3]SACOM!$C$7:$C$335,MATCH(B30,[3]SACOM!$B$7:$B$335,0))</f>
        <v>060278713264</v>
      </c>
      <c r="G30" s="447" t="s">
        <v>242</v>
      </c>
      <c r="H30" s="448">
        <v>2</v>
      </c>
      <c r="I30" s="449">
        <v>5733201</v>
      </c>
      <c r="J30" s="450"/>
      <c r="K30" s="449"/>
      <c r="L30" s="449">
        <f t="shared" si="0"/>
        <v>5733201</v>
      </c>
      <c r="M30" s="449"/>
      <c r="N30" s="449">
        <f t="shared" si="1"/>
        <v>0</v>
      </c>
      <c r="O30" s="449"/>
      <c r="P30" s="449">
        <f t="shared" si="2"/>
        <v>5733201</v>
      </c>
      <c r="Q30" s="449">
        <f t="shared" si="3"/>
        <v>458656.08</v>
      </c>
      <c r="R30" s="451">
        <f t="shared" si="4"/>
        <v>85998.014999999999</v>
      </c>
      <c r="S30" s="449">
        <f t="shared" si="5"/>
        <v>57332.01</v>
      </c>
      <c r="T30" s="451"/>
      <c r="U30" s="451">
        <f t="shared" si="6"/>
        <v>601986.10499999998</v>
      </c>
      <c r="V30" s="451"/>
      <c r="W30" s="453"/>
      <c r="X30" s="453"/>
      <c r="Y30" s="453"/>
      <c r="Z30" s="453"/>
      <c r="AA30" s="457">
        <f t="shared" si="7"/>
        <v>5131214.8949999996</v>
      </c>
      <c r="AB30" s="101">
        <f t="shared" ca="1" si="8"/>
        <v>17</v>
      </c>
      <c r="AC30" s="255"/>
      <c r="AD30" s="255" t="s">
        <v>312</v>
      </c>
      <c r="AE30" s="117"/>
      <c r="AF30" s="144"/>
      <c r="AG30" s="566"/>
      <c r="AK30" s="105"/>
    </row>
    <row r="31" spans="1:39" s="566" customFormat="1" ht="41.25" customHeight="1">
      <c r="A31" s="202">
        <f ca="1">_xlfn.AGGREGATE(4,7,A$12:A30)+1</f>
        <v>18</v>
      </c>
      <c r="B31" s="464" t="s">
        <v>134</v>
      </c>
      <c r="C31" s="112" t="s">
        <v>347</v>
      </c>
      <c r="D31" s="228" t="str">
        <f>VLOOKUP(B31,[2]T3!$B$2:$D$328,3,FALSE)</f>
        <v>025804258</v>
      </c>
      <c r="E31" s="223" t="s">
        <v>207</v>
      </c>
      <c r="F31" s="223" t="str">
        <f>INDEX([3]SACOM!$C$7:$C$335,MATCH(B31,[3]SACOM!$B$7:$B$335,0))</f>
        <v>060310837000</v>
      </c>
      <c r="G31" s="454" t="s">
        <v>245</v>
      </c>
      <c r="H31" s="455">
        <v>5</v>
      </c>
      <c r="I31" s="449">
        <v>6086769</v>
      </c>
      <c r="J31" s="450"/>
      <c r="K31" s="449"/>
      <c r="L31" s="449">
        <f t="shared" si="0"/>
        <v>6086769</v>
      </c>
      <c r="M31" s="449"/>
      <c r="N31" s="449">
        <f t="shared" si="1"/>
        <v>0</v>
      </c>
      <c r="O31" s="449"/>
      <c r="P31" s="449">
        <f t="shared" si="2"/>
        <v>6086769</v>
      </c>
      <c r="Q31" s="449">
        <f t="shared" si="3"/>
        <v>486941.52</v>
      </c>
      <c r="R31" s="451">
        <f t="shared" si="4"/>
        <v>91301.535000000003</v>
      </c>
      <c r="S31" s="449">
        <f t="shared" si="5"/>
        <v>60867.69</v>
      </c>
      <c r="T31" s="451"/>
      <c r="U31" s="451">
        <f t="shared" si="6"/>
        <v>639110.74500000011</v>
      </c>
      <c r="V31" s="451"/>
      <c r="W31" s="453"/>
      <c r="X31" s="453"/>
      <c r="Y31" s="453"/>
      <c r="Z31" s="453"/>
      <c r="AA31" s="457">
        <f t="shared" si="7"/>
        <v>5447658.2549999999</v>
      </c>
      <c r="AB31" s="101">
        <f t="shared" ca="1" si="8"/>
        <v>18</v>
      </c>
      <c r="AC31" s="102"/>
      <c r="AD31" s="102" t="s">
        <v>106</v>
      </c>
      <c r="AE31" s="109"/>
      <c r="AF31" s="110"/>
      <c r="AG31" s="110"/>
      <c r="AH31" s="110"/>
      <c r="AI31" s="110"/>
      <c r="AJ31" s="109"/>
      <c r="AK31" s="111"/>
    </row>
    <row r="32" spans="1:39" s="566" customFormat="1" ht="41.25" customHeight="1">
      <c r="A32" s="202">
        <f ca="1">_xlfn.AGGREGATE(4,7,A$12:A31)+1</f>
        <v>19</v>
      </c>
      <c r="B32" s="464" t="s">
        <v>399</v>
      </c>
      <c r="C32" s="112" t="s">
        <v>347</v>
      </c>
      <c r="D32" s="228"/>
      <c r="E32" s="223"/>
      <c r="F32" s="223" t="str">
        <f>INDEX([3]SACOM!$C$7:$C$335,MATCH(B32,[3]SACOM!$B$7:$B$335,0))</f>
        <v>060310936742</v>
      </c>
      <c r="G32" s="454" t="s">
        <v>245</v>
      </c>
      <c r="H32" s="455">
        <v>1</v>
      </c>
      <c r="I32" s="449">
        <v>5007600</v>
      </c>
      <c r="J32" s="450"/>
      <c r="K32" s="449"/>
      <c r="L32" s="449">
        <f t="shared" si="0"/>
        <v>5007600</v>
      </c>
      <c r="M32" s="449"/>
      <c r="N32" s="449">
        <f t="shared" si="1"/>
        <v>0</v>
      </c>
      <c r="O32" s="449"/>
      <c r="P32" s="449">
        <f t="shared" si="2"/>
        <v>5007600</v>
      </c>
      <c r="Q32" s="449">
        <f t="shared" si="3"/>
        <v>400608</v>
      </c>
      <c r="R32" s="451">
        <f t="shared" si="4"/>
        <v>75114</v>
      </c>
      <c r="S32" s="449">
        <f t="shared" si="5"/>
        <v>50076</v>
      </c>
      <c r="T32" s="451"/>
      <c r="U32" s="451">
        <f t="shared" si="6"/>
        <v>525798</v>
      </c>
      <c r="V32" s="451"/>
      <c r="W32" s="453"/>
      <c r="X32" s="453"/>
      <c r="Y32" s="453"/>
      <c r="Z32" s="453"/>
      <c r="AA32" s="457">
        <f t="shared" si="7"/>
        <v>4481802</v>
      </c>
      <c r="AB32" s="101">
        <f t="shared" ca="1" si="8"/>
        <v>19</v>
      </c>
      <c r="AC32" s="102"/>
      <c r="AD32" s="145" t="s">
        <v>400</v>
      </c>
      <c r="AE32" s="109"/>
      <c r="AF32" s="110"/>
      <c r="AG32" s="110"/>
      <c r="AH32" s="110"/>
      <c r="AI32" s="110"/>
      <c r="AJ32" s="109"/>
      <c r="AK32" s="111"/>
    </row>
    <row r="33" spans="1:39" s="104" customFormat="1" ht="33" customHeight="1">
      <c r="A33" s="202">
        <f ca="1">_xlfn.AGGREGATE(4,7,A$12:A32)+1</f>
        <v>20</v>
      </c>
      <c r="B33" s="464" t="s">
        <v>128</v>
      </c>
      <c r="C33" s="112" t="s">
        <v>187</v>
      </c>
      <c r="D33" s="228" t="str">
        <f>VLOOKUP(B33,[2]T3!$B$2:$D$328,3,FALSE)</f>
        <v>024759058</v>
      </c>
      <c r="E33" s="209" t="s">
        <v>224</v>
      </c>
      <c r="F33" s="223" t="str">
        <f>INDEX([3]SACOM!$C$7:$C$335,MATCH(B33,[3]SACOM!$B$7:$B$335,0))</f>
        <v>060311001951</v>
      </c>
      <c r="G33" s="454" t="s">
        <v>242</v>
      </c>
      <c r="H33" s="502">
        <v>2</v>
      </c>
      <c r="I33" s="449">
        <v>5733201</v>
      </c>
      <c r="J33" s="450"/>
      <c r="K33" s="449"/>
      <c r="L33" s="449">
        <f t="shared" si="0"/>
        <v>5733201</v>
      </c>
      <c r="M33" s="449"/>
      <c r="N33" s="449">
        <f t="shared" si="1"/>
        <v>0</v>
      </c>
      <c r="O33" s="449"/>
      <c r="P33" s="449">
        <f t="shared" si="2"/>
        <v>5733201</v>
      </c>
      <c r="Q33" s="449">
        <f t="shared" si="3"/>
        <v>458656.08</v>
      </c>
      <c r="R33" s="451">
        <f t="shared" si="4"/>
        <v>85998.014999999999</v>
      </c>
      <c r="S33" s="449">
        <f t="shared" si="5"/>
        <v>57332.01</v>
      </c>
      <c r="T33" s="451"/>
      <c r="U33" s="451">
        <f t="shared" si="6"/>
        <v>601986.10499999998</v>
      </c>
      <c r="V33" s="451"/>
      <c r="W33" s="457"/>
      <c r="X33" s="457"/>
      <c r="Y33" s="457"/>
      <c r="Z33" s="457"/>
      <c r="AA33" s="457">
        <f t="shared" si="7"/>
        <v>5131214.8949999996</v>
      </c>
      <c r="AB33" s="101">
        <f t="shared" ca="1" si="8"/>
        <v>20</v>
      </c>
      <c r="AC33" s="102"/>
      <c r="AD33" s="145" t="s">
        <v>126</v>
      </c>
      <c r="AE33" s="566"/>
      <c r="AF33" s="566"/>
      <c r="AJ33" s="105"/>
    </row>
    <row r="34" spans="1:39" s="104" customFormat="1" ht="31.15" customHeight="1">
      <c r="A34" s="202">
        <f ca="1">_xlfn.AGGREGATE(4,7,A$12:A33)+1</f>
        <v>21</v>
      </c>
      <c r="B34" s="464" t="s">
        <v>141</v>
      </c>
      <c r="C34" s="112" t="s">
        <v>187</v>
      </c>
      <c r="D34" s="228" t="str">
        <f>VLOOKUP(B34,[2]T3!$B$2:$D$328,3,FALSE)</f>
        <v>025128010</v>
      </c>
      <c r="E34" s="209" t="s">
        <v>216</v>
      </c>
      <c r="F34" s="223" t="str">
        <f>INDEX([3]SACOM!$C$7:$C$335,MATCH(B34,[3]SACOM!$B$7:$B$335,0))</f>
        <v>060311390204</v>
      </c>
      <c r="G34" s="454" t="s">
        <v>242</v>
      </c>
      <c r="H34" s="455">
        <v>4</v>
      </c>
      <c r="I34" s="449">
        <v>6563942</v>
      </c>
      <c r="J34" s="450"/>
      <c r="K34" s="449"/>
      <c r="L34" s="449">
        <f t="shared" si="0"/>
        <v>6563942</v>
      </c>
      <c r="M34" s="449"/>
      <c r="N34" s="449">
        <f t="shared" si="1"/>
        <v>0</v>
      </c>
      <c r="O34" s="449"/>
      <c r="P34" s="449">
        <f t="shared" si="2"/>
        <v>6563942</v>
      </c>
      <c r="Q34" s="449">
        <f t="shared" si="3"/>
        <v>525115.36</v>
      </c>
      <c r="R34" s="451">
        <f t="shared" si="4"/>
        <v>98459.12999999999</v>
      </c>
      <c r="S34" s="449">
        <f t="shared" si="5"/>
        <v>65639.42</v>
      </c>
      <c r="T34" s="451"/>
      <c r="U34" s="451">
        <f t="shared" si="6"/>
        <v>689213.91</v>
      </c>
      <c r="V34" s="451"/>
      <c r="W34" s="451"/>
      <c r="X34" s="451"/>
      <c r="Y34" s="451"/>
      <c r="Z34" s="451"/>
      <c r="AA34" s="457">
        <f t="shared" si="7"/>
        <v>5874728.0899999999</v>
      </c>
      <c r="AB34" s="101">
        <f t="shared" ca="1" si="8"/>
        <v>21</v>
      </c>
      <c r="AC34" s="102"/>
      <c r="AD34" s="127" t="s">
        <v>115</v>
      </c>
      <c r="AE34" s="109"/>
      <c r="AF34" s="120"/>
      <c r="AG34" s="110"/>
      <c r="AH34" s="110"/>
      <c r="AK34" s="111"/>
    </row>
    <row r="35" spans="1:39" s="104" customFormat="1" ht="31.9" customHeight="1">
      <c r="A35" s="202">
        <f ca="1">_xlfn.AGGREGATE(4,7,A$12:A34)+1</f>
        <v>22</v>
      </c>
      <c r="B35" s="464" t="s">
        <v>163</v>
      </c>
      <c r="C35" s="112" t="s">
        <v>187</v>
      </c>
      <c r="D35" s="228" t="str">
        <f>VLOOKUP(B35,[2]T3!$B$2:$D$328,3,FALSE)</f>
        <v>290936998</v>
      </c>
      <c r="E35" s="209" t="s">
        <v>221</v>
      </c>
      <c r="F35" s="223" t="str">
        <f>INDEX([3]SACOM!$C$7:$C$335,MATCH(B35,[3]SACOM!$B$7:$B$335,0))</f>
        <v>060310828656</v>
      </c>
      <c r="G35" s="447" t="s">
        <v>242</v>
      </c>
      <c r="H35" s="448">
        <v>6</v>
      </c>
      <c r="I35" s="449">
        <v>7515057</v>
      </c>
      <c r="J35" s="450"/>
      <c r="K35" s="449"/>
      <c r="L35" s="449">
        <f t="shared" si="0"/>
        <v>7515057</v>
      </c>
      <c r="M35" s="449"/>
      <c r="N35" s="449">
        <f t="shared" si="1"/>
        <v>0</v>
      </c>
      <c r="O35" s="449"/>
      <c r="P35" s="449">
        <f t="shared" si="2"/>
        <v>7515057</v>
      </c>
      <c r="Q35" s="449">
        <f t="shared" si="3"/>
        <v>601204.56000000006</v>
      </c>
      <c r="R35" s="451">
        <f t="shared" si="4"/>
        <v>112725.855</v>
      </c>
      <c r="S35" s="449">
        <f t="shared" si="5"/>
        <v>75150.570000000007</v>
      </c>
      <c r="T35" s="451"/>
      <c r="U35" s="451">
        <f t="shared" si="6"/>
        <v>789080.9850000001</v>
      </c>
      <c r="V35" s="451"/>
      <c r="W35" s="451"/>
      <c r="X35" s="451"/>
      <c r="Y35" s="451"/>
      <c r="Z35" s="451"/>
      <c r="AA35" s="457">
        <f t="shared" si="7"/>
        <v>6725976.0149999997</v>
      </c>
      <c r="AB35" s="101">
        <f t="shared" ca="1" si="8"/>
        <v>22</v>
      </c>
      <c r="AC35" s="118"/>
      <c r="AD35" s="155"/>
      <c r="AE35" s="155"/>
      <c r="AF35" s="128"/>
      <c r="AG35" s="110"/>
      <c r="AH35" s="110"/>
      <c r="AK35" s="111"/>
    </row>
    <row r="36" spans="1:39" s="104" customFormat="1" ht="33" customHeight="1">
      <c r="A36" s="202">
        <f ca="1">_xlfn.AGGREGATE(4,7,A$12:A35)+1</f>
        <v>23</v>
      </c>
      <c r="B36" s="464" t="s">
        <v>146</v>
      </c>
      <c r="C36" s="112" t="s">
        <v>187</v>
      </c>
      <c r="D36" s="228" t="str">
        <f>VLOOKUP(B36,[2]T3!$B$2:$D$328,3,FALSE)</f>
        <v>001186011890</v>
      </c>
      <c r="E36" s="209" t="s">
        <v>222</v>
      </c>
      <c r="F36" s="223" t="str">
        <f>INDEX([3]SACOM!$C$7:$C$335,MATCH(B36,[3]SACOM!$B$7:$B$335,0))</f>
        <v>060310826122</v>
      </c>
      <c r="G36" s="447" t="s">
        <v>242</v>
      </c>
      <c r="H36" s="448">
        <v>7</v>
      </c>
      <c r="I36" s="449">
        <v>8041111</v>
      </c>
      <c r="J36" s="450"/>
      <c r="K36" s="449"/>
      <c r="L36" s="449">
        <f t="shared" si="0"/>
        <v>8041111</v>
      </c>
      <c r="M36" s="449"/>
      <c r="N36" s="449">
        <f t="shared" si="1"/>
        <v>0</v>
      </c>
      <c r="O36" s="449"/>
      <c r="P36" s="449">
        <f t="shared" si="2"/>
        <v>8041111</v>
      </c>
      <c r="Q36" s="449">
        <f t="shared" si="3"/>
        <v>643288.88</v>
      </c>
      <c r="R36" s="451">
        <f t="shared" si="4"/>
        <v>120616.66499999999</v>
      </c>
      <c r="S36" s="449">
        <f t="shared" si="5"/>
        <v>80411.11</v>
      </c>
      <c r="T36" s="451"/>
      <c r="U36" s="451">
        <f t="shared" si="6"/>
        <v>844316.65500000003</v>
      </c>
      <c r="V36" s="451"/>
      <c r="W36" s="453"/>
      <c r="X36" s="453"/>
      <c r="Y36" s="453"/>
      <c r="Z36" s="453"/>
      <c r="AA36" s="457">
        <f t="shared" si="7"/>
        <v>7196794.3449999997</v>
      </c>
      <c r="AB36" s="101">
        <f t="shared" ca="1" si="8"/>
        <v>23</v>
      </c>
      <c r="AC36" s="255"/>
      <c r="AD36" s="103"/>
      <c r="AE36" s="103" t="s">
        <v>64</v>
      </c>
      <c r="AF36" s="102"/>
      <c r="AG36" s="566"/>
      <c r="AK36" s="105"/>
    </row>
    <row r="37" spans="1:39" s="104" customFormat="1" ht="33" customHeight="1">
      <c r="A37" s="202">
        <f ca="1">_xlfn.AGGREGATE(4,7,A$12:A36)+1</f>
        <v>24</v>
      </c>
      <c r="B37" s="501" t="s">
        <v>424</v>
      </c>
      <c r="C37" s="112" t="s">
        <v>187</v>
      </c>
      <c r="D37" s="228"/>
      <c r="E37" s="209"/>
      <c r="F37" s="223" t="str">
        <f>INDEX([3]SACOM!$C$7:$C$335,MATCH(B37,[3]SACOM!$B$7:$B$335,0))</f>
        <v>060311004101</v>
      </c>
      <c r="G37" s="447" t="s">
        <v>242</v>
      </c>
      <c r="H37" s="448">
        <v>1</v>
      </c>
      <c r="I37" s="449">
        <v>5358132</v>
      </c>
      <c r="J37" s="450"/>
      <c r="K37" s="449"/>
      <c r="L37" s="449">
        <f t="shared" si="0"/>
        <v>5358132</v>
      </c>
      <c r="M37" s="449"/>
      <c r="N37" s="449">
        <f t="shared" si="1"/>
        <v>0</v>
      </c>
      <c r="O37" s="449"/>
      <c r="P37" s="449">
        <f t="shared" si="2"/>
        <v>5358132</v>
      </c>
      <c r="Q37" s="449">
        <f t="shared" si="3"/>
        <v>428650.56</v>
      </c>
      <c r="R37" s="451">
        <f t="shared" si="4"/>
        <v>80371.98</v>
      </c>
      <c r="S37" s="449">
        <f t="shared" si="5"/>
        <v>53581.32</v>
      </c>
      <c r="T37" s="451"/>
      <c r="U37" s="451">
        <f t="shared" si="6"/>
        <v>562603.86</v>
      </c>
      <c r="V37" s="451"/>
      <c r="W37" s="453"/>
      <c r="X37" s="453"/>
      <c r="Y37" s="453"/>
      <c r="Z37" s="453"/>
      <c r="AA37" s="457">
        <f t="shared" si="7"/>
        <v>4795528.1399999997</v>
      </c>
      <c r="AB37" s="101"/>
      <c r="AC37" s="255"/>
      <c r="AD37" s="255" t="s">
        <v>425</v>
      </c>
      <c r="AE37" s="103"/>
      <c r="AF37" s="144"/>
      <c r="AG37" s="566"/>
      <c r="AK37" s="105"/>
    </row>
    <row r="38" spans="1:39" s="104" customFormat="1" ht="36.75" customHeight="1">
      <c r="A38" s="202">
        <f ca="1">_xlfn.AGGREGATE(4,7,A$12:A37)+1</f>
        <v>25</v>
      </c>
      <c r="B38" s="465" t="s">
        <v>137</v>
      </c>
      <c r="C38" s="112" t="s">
        <v>188</v>
      </c>
      <c r="D38" s="228" t="str">
        <f>VLOOKUP(B38,[2]T3!$B$2:$D$328,3,FALSE)</f>
        <v>095189000070</v>
      </c>
      <c r="E38" s="209" t="s">
        <v>213</v>
      </c>
      <c r="F38" s="223" t="str">
        <f>INDEX([3]SACOM!$C$7:$C$335,MATCH(B38,[3]SACOM!$B$7:$B$335,0))</f>
        <v>060282013358</v>
      </c>
      <c r="G38" s="447" t="s">
        <v>242</v>
      </c>
      <c r="H38" s="502">
        <v>6</v>
      </c>
      <c r="I38" s="449">
        <v>7515057</v>
      </c>
      <c r="J38" s="450"/>
      <c r="K38" s="449"/>
      <c r="L38" s="449">
        <f t="shared" si="0"/>
        <v>7515057</v>
      </c>
      <c r="M38" s="449"/>
      <c r="N38" s="449">
        <f t="shared" si="1"/>
        <v>0</v>
      </c>
      <c r="O38" s="449"/>
      <c r="P38" s="449">
        <f t="shared" si="2"/>
        <v>7515057</v>
      </c>
      <c r="Q38" s="449">
        <f t="shared" si="3"/>
        <v>601204.56000000006</v>
      </c>
      <c r="R38" s="451">
        <f t="shared" si="4"/>
        <v>112725.855</v>
      </c>
      <c r="S38" s="449">
        <f t="shared" si="5"/>
        <v>75150.570000000007</v>
      </c>
      <c r="T38" s="451"/>
      <c r="U38" s="451">
        <f t="shared" si="6"/>
        <v>789080.9850000001</v>
      </c>
      <c r="V38" s="451"/>
      <c r="W38" s="451"/>
      <c r="X38" s="451"/>
      <c r="Y38" s="451"/>
      <c r="Z38" s="451"/>
      <c r="AA38" s="457">
        <f t="shared" si="7"/>
        <v>6725976.0149999997</v>
      </c>
      <c r="AB38" s="101">
        <f t="shared" ref="AB38:AB46" ca="1" si="9">A38</f>
        <v>25</v>
      </c>
      <c r="AC38" s="134"/>
      <c r="AD38" s="102" t="s">
        <v>83</v>
      </c>
      <c r="AE38" s="102" t="s">
        <v>112</v>
      </c>
      <c r="AG38" s="566"/>
      <c r="AK38" s="105"/>
    </row>
    <row r="39" spans="1:39" s="104" customFormat="1" ht="31.5" customHeight="1">
      <c r="A39" s="202">
        <f ca="1">_xlfn.AGGREGATE(4,7,A$12:A38)+1</f>
        <v>26</v>
      </c>
      <c r="B39" s="464" t="s">
        <v>136</v>
      </c>
      <c r="C39" s="112" t="s">
        <v>189</v>
      </c>
      <c r="D39" s="228" t="str">
        <f>VLOOKUP(B39,[2]T3!$B$2:$D$328,3,FALSE)</f>
        <v>023680986</v>
      </c>
      <c r="E39" s="209" t="s">
        <v>212</v>
      </c>
      <c r="F39" s="223" t="str">
        <f>INDEX([3]SACOM!$C$7:$C$335,MATCH(B39,[3]SACOM!$B$7:$B$335,0))</f>
        <v xml:space="preserve">060310667458 </v>
      </c>
      <c r="G39" s="447" t="s">
        <v>242</v>
      </c>
      <c r="H39" s="448">
        <v>6</v>
      </c>
      <c r="I39" s="449">
        <v>7515057</v>
      </c>
      <c r="J39" s="450"/>
      <c r="K39" s="449"/>
      <c r="L39" s="449">
        <f t="shared" si="0"/>
        <v>7515057</v>
      </c>
      <c r="M39" s="449"/>
      <c r="N39" s="449">
        <f t="shared" si="1"/>
        <v>0</v>
      </c>
      <c r="O39" s="449"/>
      <c r="P39" s="449">
        <f t="shared" si="2"/>
        <v>7515057</v>
      </c>
      <c r="Q39" s="449">
        <f t="shared" si="3"/>
        <v>601204.56000000006</v>
      </c>
      <c r="R39" s="451">
        <f t="shared" si="4"/>
        <v>112725.855</v>
      </c>
      <c r="S39" s="449">
        <f t="shared" si="5"/>
        <v>75150.570000000007</v>
      </c>
      <c r="T39" s="451"/>
      <c r="U39" s="451">
        <f t="shared" si="6"/>
        <v>789080.9850000001</v>
      </c>
      <c r="V39" s="451"/>
      <c r="W39" s="503"/>
      <c r="X39" s="503"/>
      <c r="Y39" s="503"/>
      <c r="Z39" s="503"/>
      <c r="AA39" s="457">
        <f t="shared" si="7"/>
        <v>6725976.0149999997</v>
      </c>
      <c r="AB39" s="101">
        <f t="shared" ca="1" si="9"/>
        <v>26</v>
      </c>
      <c r="AC39" s="118"/>
      <c r="AD39" s="114" t="s">
        <v>107</v>
      </c>
      <c r="AE39" s="115"/>
      <c r="AF39" s="115"/>
      <c r="AG39" s="115"/>
      <c r="AH39" s="115"/>
      <c r="AK39" s="105"/>
    </row>
    <row r="40" spans="1:39" s="104" customFormat="1" ht="33" customHeight="1">
      <c r="A40" s="202">
        <f ca="1">_xlfn.AGGREGATE(4,7,A$12:A39)+1</f>
        <v>27</v>
      </c>
      <c r="B40" s="464" t="s">
        <v>301</v>
      </c>
      <c r="C40" s="112" t="s">
        <v>189</v>
      </c>
      <c r="D40" s="228"/>
      <c r="E40" s="223" t="s">
        <v>325</v>
      </c>
      <c r="F40" s="223" t="str">
        <f>INDEX([3]SACOM!$C$7:$C$335,MATCH(B40,[3]SACOM!$B$7:$B$335,0))</f>
        <v>060310701389</v>
      </c>
      <c r="G40" s="447" t="s">
        <v>242</v>
      </c>
      <c r="H40" s="448">
        <v>2</v>
      </c>
      <c r="I40" s="449">
        <v>5733201</v>
      </c>
      <c r="J40" s="450"/>
      <c r="K40" s="449"/>
      <c r="L40" s="449">
        <f t="shared" si="0"/>
        <v>5733201</v>
      </c>
      <c r="M40" s="449"/>
      <c r="N40" s="449">
        <f t="shared" si="1"/>
        <v>0</v>
      </c>
      <c r="O40" s="449"/>
      <c r="P40" s="449">
        <f t="shared" si="2"/>
        <v>5733201</v>
      </c>
      <c r="Q40" s="449">
        <f t="shared" si="3"/>
        <v>458656.08</v>
      </c>
      <c r="R40" s="451">
        <f t="shared" si="4"/>
        <v>85998.014999999999</v>
      </c>
      <c r="S40" s="449">
        <f t="shared" si="5"/>
        <v>57332.01</v>
      </c>
      <c r="T40" s="451"/>
      <c r="U40" s="451">
        <f t="shared" si="6"/>
        <v>601986.10499999998</v>
      </c>
      <c r="V40" s="451"/>
      <c r="W40" s="453"/>
      <c r="X40" s="453"/>
      <c r="Y40" s="453"/>
      <c r="Z40" s="453"/>
      <c r="AA40" s="457">
        <f t="shared" si="7"/>
        <v>5131214.8949999996</v>
      </c>
      <c r="AB40" s="101">
        <f t="shared" ca="1" si="9"/>
        <v>27</v>
      </c>
      <c r="AC40" s="255"/>
      <c r="AD40" s="255" t="s">
        <v>302</v>
      </c>
      <c r="AE40" s="117"/>
      <c r="AF40" s="144"/>
      <c r="AG40" s="566"/>
      <c r="AK40" s="105"/>
    </row>
    <row r="41" spans="1:39" s="104" customFormat="1" ht="55.5" customHeight="1">
      <c r="A41" s="202">
        <f ca="1">_xlfn.AGGREGATE(4,7,A$12:A40)+1</f>
        <v>28</v>
      </c>
      <c r="B41" s="541" t="s">
        <v>181</v>
      </c>
      <c r="C41" s="398" t="s">
        <v>364</v>
      </c>
      <c r="D41" s="399" t="str">
        <f>VLOOKUP(B41,[2]T3!$B$2:$D$328,3,FALSE)</f>
        <v>025273555</v>
      </c>
      <c r="E41" s="400" t="s">
        <v>223</v>
      </c>
      <c r="F41" s="223" t="str">
        <f>INDEX([3]SACOM!$C$7:$C$335,MATCH(B41,[3]SACOM!$B$7:$B$335,0))</f>
        <v>060310668179</v>
      </c>
      <c r="G41" s="542" t="s">
        <v>246</v>
      </c>
      <c r="H41" s="543">
        <v>4</v>
      </c>
      <c r="I41" s="544">
        <v>5417685</v>
      </c>
      <c r="J41" s="545"/>
      <c r="K41" s="544"/>
      <c r="L41" s="544">
        <f t="shared" si="0"/>
        <v>5417685</v>
      </c>
      <c r="M41" s="544">
        <v>12</v>
      </c>
      <c r="N41" s="544">
        <f t="shared" si="1"/>
        <v>2500470</v>
      </c>
      <c r="O41" s="544"/>
      <c r="P41" s="544">
        <f t="shared" si="2"/>
        <v>2917215</v>
      </c>
      <c r="Q41" s="544">
        <f t="shared" si="3"/>
        <v>433414.8</v>
      </c>
      <c r="R41" s="546">
        <f t="shared" si="4"/>
        <v>81265.274999999994</v>
      </c>
      <c r="S41" s="544">
        <f t="shared" si="5"/>
        <v>54176.85</v>
      </c>
      <c r="T41" s="546"/>
      <c r="U41" s="546">
        <f t="shared" si="6"/>
        <v>568856.92499999993</v>
      </c>
      <c r="V41" s="546"/>
      <c r="W41" s="547"/>
      <c r="X41" s="547"/>
      <c r="Y41" s="547"/>
      <c r="Z41" s="547"/>
      <c r="AA41" s="548">
        <f t="shared" si="7"/>
        <v>2348358.0750000002</v>
      </c>
      <c r="AB41" s="406">
        <f t="shared" ca="1" si="9"/>
        <v>28</v>
      </c>
      <c r="AC41" s="410" t="s">
        <v>429</v>
      </c>
      <c r="AD41" s="145" t="s">
        <v>183</v>
      </c>
      <c r="AE41" s="117"/>
      <c r="AF41" s="144"/>
      <c r="AG41" s="566"/>
      <c r="AK41" s="105"/>
    </row>
    <row r="42" spans="1:39" s="104" customFormat="1" ht="37.9" customHeight="1">
      <c r="A42" s="202">
        <f ca="1">_xlfn.AGGREGATE(4,7,A$12:A41)+1</f>
        <v>29</v>
      </c>
      <c r="B42" s="464" t="s">
        <v>398</v>
      </c>
      <c r="C42" s="112" t="s">
        <v>395</v>
      </c>
      <c r="D42" s="228"/>
      <c r="E42" s="209"/>
      <c r="F42" s="223" t="str">
        <f>INDEX([3]SACOM!$C$7:$C$335,MATCH(B42,[3]SACOM!$B$7:$B$335,0))</f>
        <v>060310987118</v>
      </c>
      <c r="G42" s="447" t="s">
        <v>245</v>
      </c>
      <c r="H42" s="448">
        <v>1</v>
      </c>
      <c r="I42" s="449">
        <v>5007600</v>
      </c>
      <c r="J42" s="450"/>
      <c r="K42" s="449"/>
      <c r="L42" s="449">
        <f t="shared" si="0"/>
        <v>5007600</v>
      </c>
      <c r="M42" s="449"/>
      <c r="N42" s="449">
        <f t="shared" si="1"/>
        <v>0</v>
      </c>
      <c r="O42" s="449"/>
      <c r="P42" s="449">
        <f t="shared" si="2"/>
        <v>5007600</v>
      </c>
      <c r="Q42" s="449">
        <f t="shared" si="3"/>
        <v>400608</v>
      </c>
      <c r="R42" s="451">
        <f t="shared" si="4"/>
        <v>75114</v>
      </c>
      <c r="S42" s="449">
        <f t="shared" si="5"/>
        <v>50076</v>
      </c>
      <c r="T42" s="451"/>
      <c r="U42" s="451">
        <f t="shared" si="6"/>
        <v>525798</v>
      </c>
      <c r="V42" s="451"/>
      <c r="W42" s="451"/>
      <c r="X42" s="451"/>
      <c r="Y42" s="451"/>
      <c r="Z42" s="451"/>
      <c r="AA42" s="457">
        <f t="shared" si="7"/>
        <v>4481802</v>
      </c>
      <c r="AB42" s="101">
        <f t="shared" ca="1" si="9"/>
        <v>29</v>
      </c>
      <c r="AC42" s="118"/>
      <c r="AD42" s="421" t="s">
        <v>396</v>
      </c>
      <c r="AE42" s="434"/>
      <c r="AF42" s="435"/>
      <c r="AG42" s="60"/>
      <c r="AH42" s="60"/>
      <c r="AI42" s="42"/>
      <c r="AJ42" s="42"/>
      <c r="AK42" s="430"/>
      <c r="AL42" s="42"/>
      <c r="AM42" s="42"/>
    </row>
    <row r="43" spans="1:39" s="566" customFormat="1" ht="31.9" customHeight="1">
      <c r="A43" s="202">
        <f ca="1">_xlfn.AGGREGATE(4,7,A$12:A42)+1</f>
        <v>30</v>
      </c>
      <c r="B43" s="464" t="s">
        <v>143</v>
      </c>
      <c r="C43" s="112" t="s">
        <v>10</v>
      </c>
      <c r="D43" s="228" t="str">
        <f>VLOOKUP(B43,[2]T3!$B$2:$D$328,3,FALSE)</f>
        <v>273417648</v>
      </c>
      <c r="E43" s="223" t="s">
        <v>219</v>
      </c>
      <c r="F43" s="223" t="str">
        <f>INDEX([3]SACOM!$C$7:$C$335,MATCH(B43,[3]SACOM!$B$7:$B$335,0))</f>
        <v>060310837061</v>
      </c>
      <c r="G43" s="454" t="s">
        <v>242</v>
      </c>
      <c r="H43" s="455">
        <v>4</v>
      </c>
      <c r="I43" s="449">
        <v>6563942</v>
      </c>
      <c r="J43" s="450"/>
      <c r="K43" s="449"/>
      <c r="L43" s="449">
        <f t="shared" si="0"/>
        <v>6563942</v>
      </c>
      <c r="M43" s="449"/>
      <c r="N43" s="449">
        <f t="shared" si="1"/>
        <v>0</v>
      </c>
      <c r="O43" s="449"/>
      <c r="P43" s="449">
        <f t="shared" si="2"/>
        <v>6563942</v>
      </c>
      <c r="Q43" s="449">
        <f t="shared" si="3"/>
        <v>525115.36</v>
      </c>
      <c r="R43" s="451">
        <f t="shared" si="4"/>
        <v>98459.12999999999</v>
      </c>
      <c r="S43" s="449">
        <f t="shared" si="5"/>
        <v>65639.42</v>
      </c>
      <c r="T43" s="451"/>
      <c r="U43" s="451">
        <f t="shared" si="6"/>
        <v>689213.91</v>
      </c>
      <c r="V43" s="451"/>
      <c r="W43" s="451"/>
      <c r="X43" s="449"/>
      <c r="Y43" s="449"/>
      <c r="Z43" s="451"/>
      <c r="AA43" s="457">
        <f t="shared" si="7"/>
        <v>5874728.0899999999</v>
      </c>
      <c r="AB43" s="101">
        <f t="shared" ca="1" si="9"/>
        <v>30</v>
      </c>
      <c r="AC43" s="102"/>
      <c r="AD43" s="117" t="s">
        <v>116</v>
      </c>
      <c r="AE43" s="109"/>
      <c r="AF43" s="120"/>
      <c r="AG43" s="110"/>
      <c r="AH43" s="110"/>
      <c r="AK43" s="111"/>
    </row>
    <row r="44" spans="1:39" s="104" customFormat="1" ht="31.5" customHeight="1">
      <c r="A44" s="202">
        <f ca="1">_xlfn.AGGREGATE(4,7,A$12:A43)+1</f>
        <v>31</v>
      </c>
      <c r="B44" s="464" t="s">
        <v>309</v>
      </c>
      <c r="C44" s="112" t="s">
        <v>310</v>
      </c>
      <c r="D44" s="228"/>
      <c r="E44" s="223"/>
      <c r="F44" s="223" t="str">
        <f>INDEX([3]SACOM!$C$7:$C$335,MATCH(B44,[3]SACOM!$B$7:$B$335,0))</f>
        <v>060311028599</v>
      </c>
      <c r="G44" s="447" t="s">
        <v>245</v>
      </c>
      <c r="H44" s="448">
        <v>2</v>
      </c>
      <c r="I44" s="449">
        <v>5257980</v>
      </c>
      <c r="J44" s="450"/>
      <c r="K44" s="449"/>
      <c r="L44" s="449">
        <f t="shared" si="0"/>
        <v>5257980</v>
      </c>
      <c r="M44" s="449"/>
      <c r="N44" s="449">
        <f t="shared" si="1"/>
        <v>0</v>
      </c>
      <c r="O44" s="449"/>
      <c r="P44" s="449">
        <f t="shared" si="2"/>
        <v>5257980</v>
      </c>
      <c r="Q44" s="449">
        <f t="shared" si="3"/>
        <v>420638.4</v>
      </c>
      <c r="R44" s="451">
        <f t="shared" si="4"/>
        <v>78869.7</v>
      </c>
      <c r="S44" s="449">
        <f t="shared" si="5"/>
        <v>52579.8</v>
      </c>
      <c r="T44" s="451"/>
      <c r="U44" s="451">
        <f t="shared" si="6"/>
        <v>552087.9</v>
      </c>
      <c r="V44" s="451"/>
      <c r="W44" s="453"/>
      <c r="X44" s="539"/>
      <c r="Y44" s="540"/>
      <c r="Z44" s="453"/>
      <c r="AA44" s="457">
        <f>P44-U44+W44+X45+Z44</f>
        <v>4705892.0999999996</v>
      </c>
      <c r="AB44" s="101">
        <f t="shared" ca="1" si="9"/>
        <v>31</v>
      </c>
      <c r="AC44" s="255"/>
      <c r="AD44" s="255" t="s">
        <v>308</v>
      </c>
      <c r="AE44" s="117"/>
      <c r="AF44" s="144"/>
      <c r="AG44" s="566"/>
      <c r="AK44" s="105"/>
    </row>
    <row r="45" spans="1:39" s="104" customFormat="1" ht="30" customHeight="1">
      <c r="A45" s="202">
        <f ca="1">_xlfn.AGGREGATE(4,7,A$12:A44)+1</f>
        <v>32</v>
      </c>
      <c r="B45" s="464" t="s">
        <v>142</v>
      </c>
      <c r="C45" s="112" t="s">
        <v>10</v>
      </c>
      <c r="D45" s="228" t="str">
        <f>VLOOKUP(B45,[2]T3!$B$2:$D$328,3,FALSE)</f>
        <v>250835904</v>
      </c>
      <c r="E45" s="223" t="s">
        <v>218</v>
      </c>
      <c r="F45" s="223" t="str">
        <f>INDEX([3]SACOM!$C$7:$C$335,MATCH(B45,[3]SACOM!$B$7:$B$335,0))</f>
        <v>060310750118</v>
      </c>
      <c r="G45" s="454" t="s">
        <v>242</v>
      </c>
      <c r="H45" s="455">
        <v>4</v>
      </c>
      <c r="I45" s="449">
        <v>6563942</v>
      </c>
      <c r="J45" s="450"/>
      <c r="K45" s="449"/>
      <c r="L45" s="449">
        <f t="shared" si="0"/>
        <v>6563942</v>
      </c>
      <c r="M45" s="449"/>
      <c r="N45" s="449">
        <f t="shared" si="1"/>
        <v>0</v>
      </c>
      <c r="O45" s="449"/>
      <c r="P45" s="449">
        <f t="shared" si="2"/>
        <v>6563942</v>
      </c>
      <c r="Q45" s="449">
        <f t="shared" si="3"/>
        <v>525115.36</v>
      </c>
      <c r="R45" s="451">
        <f t="shared" si="4"/>
        <v>98459.12999999999</v>
      </c>
      <c r="S45" s="449">
        <f t="shared" si="5"/>
        <v>65639.42</v>
      </c>
      <c r="T45" s="451"/>
      <c r="U45" s="451">
        <f t="shared" si="6"/>
        <v>689213.91</v>
      </c>
      <c r="V45" s="451"/>
      <c r="W45" s="451"/>
      <c r="X45" s="453"/>
      <c r="Y45" s="451"/>
      <c r="Z45" s="451"/>
      <c r="AA45" s="457">
        <f>P45-U45+W45+Y45+Z45</f>
        <v>5874728.0899999999</v>
      </c>
      <c r="AB45" s="101">
        <f t="shared" ca="1" si="9"/>
        <v>32</v>
      </c>
      <c r="AC45" s="102"/>
      <c r="AD45" s="127" t="s">
        <v>115</v>
      </c>
      <c r="AE45" s="109"/>
      <c r="AF45" s="120"/>
      <c r="AG45" s="110"/>
      <c r="AH45" s="110"/>
      <c r="AK45" s="111"/>
    </row>
    <row r="46" spans="1:39" s="104" customFormat="1" ht="42.75" customHeight="1">
      <c r="A46" s="202">
        <f ca="1">_xlfn.AGGREGATE(4,7,A$12:A45)+1</f>
        <v>33</v>
      </c>
      <c r="B46" s="464" t="s">
        <v>165</v>
      </c>
      <c r="C46" s="112" t="s">
        <v>423</v>
      </c>
      <c r="D46" s="226"/>
      <c r="E46" s="209"/>
      <c r="F46" s="223" t="str">
        <f>INDEX([3]SACOM!$C$7:$C$335,MATCH(B46,[3]SACOM!$B$7:$B$335,0))</f>
        <v>060987245810</v>
      </c>
      <c r="G46" s="454" t="s">
        <v>242</v>
      </c>
      <c r="H46" s="448">
        <v>12</v>
      </c>
      <c r="I46" s="449">
        <v>11278075</v>
      </c>
      <c r="J46" s="456">
        <v>0.11</v>
      </c>
      <c r="K46" s="450">
        <f>I46*J46</f>
        <v>1240588.25</v>
      </c>
      <c r="L46" s="449">
        <f t="shared" si="0"/>
        <v>12518663</v>
      </c>
      <c r="M46" s="449"/>
      <c r="N46" s="449">
        <f t="shared" si="1"/>
        <v>0</v>
      </c>
      <c r="O46" s="449"/>
      <c r="P46" s="449">
        <f t="shared" si="2"/>
        <v>12518663</v>
      </c>
      <c r="Q46" s="449">
        <f t="shared" si="3"/>
        <v>1001493.04</v>
      </c>
      <c r="R46" s="451">
        <f t="shared" si="4"/>
        <v>187779.94500000001</v>
      </c>
      <c r="S46" s="449">
        <f t="shared" si="5"/>
        <v>125186.63</v>
      </c>
      <c r="T46" s="451"/>
      <c r="U46" s="451">
        <f t="shared" si="6"/>
        <v>1314459.6150000002</v>
      </c>
      <c r="V46" s="451"/>
      <c r="W46" s="451"/>
      <c r="X46" s="451"/>
      <c r="Y46" s="451"/>
      <c r="Z46" s="451"/>
      <c r="AA46" s="457">
        <f>P46-U46+W46+Y46+Z46</f>
        <v>11204203.385</v>
      </c>
      <c r="AB46" s="101">
        <f t="shared" ca="1" si="9"/>
        <v>33</v>
      </c>
      <c r="AC46" s="102"/>
      <c r="AD46" s="117"/>
      <c r="AE46" s="565"/>
      <c r="AF46" s="566"/>
      <c r="AG46" s="566"/>
      <c r="AK46" s="105"/>
    </row>
    <row r="47" spans="1:39" s="566" customFormat="1" ht="39" customHeight="1">
      <c r="A47" s="202">
        <f ca="1">_xlfn.AGGREGATE(4,7,A$12:A46)+1</f>
        <v>34</v>
      </c>
      <c r="B47" s="464" t="s">
        <v>348</v>
      </c>
      <c r="C47" s="112" t="s">
        <v>423</v>
      </c>
      <c r="D47" s="228"/>
      <c r="E47" s="209"/>
      <c r="F47" s="223" t="str">
        <f>INDEX([3]SACOM!$C$7:$C$335,MATCH(B47,[3]SACOM!$B$7:$B$335,0))</f>
        <v>060310749136</v>
      </c>
      <c r="G47" s="447" t="s">
        <v>245</v>
      </c>
      <c r="H47" s="448">
        <v>5</v>
      </c>
      <c r="I47" s="449">
        <v>6086769</v>
      </c>
      <c r="J47" s="450"/>
      <c r="K47" s="449"/>
      <c r="L47" s="449">
        <f t="shared" si="0"/>
        <v>6086769</v>
      </c>
      <c r="M47" s="449"/>
      <c r="N47" s="449">
        <f t="shared" si="1"/>
        <v>0</v>
      </c>
      <c r="O47" s="449"/>
      <c r="P47" s="449">
        <f t="shared" si="2"/>
        <v>6086769</v>
      </c>
      <c r="Q47" s="449">
        <f t="shared" si="3"/>
        <v>486941.52</v>
      </c>
      <c r="R47" s="451">
        <f t="shared" si="4"/>
        <v>91301.535000000003</v>
      </c>
      <c r="S47" s="449">
        <f t="shared" si="5"/>
        <v>60867.69</v>
      </c>
      <c r="T47" s="451"/>
      <c r="U47" s="451">
        <f t="shared" si="6"/>
        <v>639110.74500000011</v>
      </c>
      <c r="V47" s="451"/>
      <c r="W47" s="451"/>
      <c r="X47" s="452"/>
      <c r="Y47" s="451"/>
      <c r="Z47" s="451"/>
      <c r="AA47" s="457">
        <f>P47-U47+W47+Y47+Z47</f>
        <v>5447658.2549999999</v>
      </c>
      <c r="AB47" s="101">
        <f t="shared" ref="AB47:AB49" ca="1" si="10">A47</f>
        <v>34</v>
      </c>
      <c r="AC47" s="102"/>
      <c r="AD47" s="102"/>
      <c r="AE47" s="120"/>
      <c r="AF47" s="116"/>
      <c r="AK47" s="565"/>
    </row>
    <row r="48" spans="1:39" s="566" customFormat="1" ht="39" customHeight="1">
      <c r="A48" s="202">
        <f ca="1">_xlfn.AGGREGATE(4,7,A$12:A47)+1</f>
        <v>35</v>
      </c>
      <c r="B48" s="521" t="s">
        <v>420</v>
      </c>
      <c r="C48" s="549" t="s">
        <v>421</v>
      </c>
      <c r="D48" s="266"/>
      <c r="E48" s="417"/>
      <c r="F48" s="223" t="str">
        <f>INDEX([3]SACOM!$C$7:$C$335,MATCH(B48,[3]SACOM!$B$7:$B$335,0))</f>
        <v>060311078200</v>
      </c>
      <c r="G48" s="522" t="s">
        <v>245</v>
      </c>
      <c r="H48" s="523">
        <v>1</v>
      </c>
      <c r="I48" s="524">
        <v>5007600</v>
      </c>
      <c r="J48" s="525"/>
      <c r="K48" s="524"/>
      <c r="L48" s="524">
        <f t="shared" si="0"/>
        <v>5007600</v>
      </c>
      <c r="M48" s="524"/>
      <c r="N48" s="449">
        <f t="shared" si="1"/>
        <v>0</v>
      </c>
      <c r="O48" s="524"/>
      <c r="P48" s="524">
        <f t="shared" si="2"/>
        <v>5007600</v>
      </c>
      <c r="Q48" s="524">
        <f t="shared" si="3"/>
        <v>400608</v>
      </c>
      <c r="R48" s="526">
        <f t="shared" si="4"/>
        <v>75114</v>
      </c>
      <c r="S48" s="524">
        <f t="shared" si="5"/>
        <v>50076</v>
      </c>
      <c r="T48" s="526"/>
      <c r="U48" s="526">
        <f t="shared" si="6"/>
        <v>525798</v>
      </c>
      <c r="V48" s="526"/>
      <c r="W48" s="526"/>
      <c r="X48" s="527"/>
      <c r="Y48" s="526"/>
      <c r="Z48" s="526"/>
      <c r="AA48" s="528">
        <f>P48-U48+W48+Y48+Z48</f>
        <v>4481802</v>
      </c>
      <c r="AB48" s="101">
        <f t="shared" ca="1" si="10"/>
        <v>35</v>
      </c>
      <c r="AC48" s="120" t="s">
        <v>422</v>
      </c>
      <c r="AD48" s="120"/>
      <c r="AE48" s="144"/>
      <c r="AF48" s="116"/>
      <c r="AK48" s="565"/>
    </row>
    <row r="49" spans="1:39" s="104" customFormat="1" ht="34.9" customHeight="1">
      <c r="A49" s="202">
        <f ca="1">_xlfn.AGGREGATE(4,7,A$12:A48)+1</f>
        <v>36</v>
      </c>
      <c r="B49" s="504" t="s">
        <v>280</v>
      </c>
      <c r="C49" s="320" t="s">
        <v>281</v>
      </c>
      <c r="D49" s="230"/>
      <c r="E49" s="321"/>
      <c r="F49" s="321" t="str">
        <f>INDEX([3]SACOM!$C$7:$C$335,MATCH(B49,[3]SACOM!$B$7:$B$335,0))</f>
        <v>060263702789</v>
      </c>
      <c r="G49" s="505" t="s">
        <v>242</v>
      </c>
      <c r="H49" s="506">
        <v>11</v>
      </c>
      <c r="I49" s="507">
        <v>10540257</v>
      </c>
      <c r="J49" s="508"/>
      <c r="K49" s="507"/>
      <c r="L49" s="507">
        <f t="shared" si="0"/>
        <v>10540257</v>
      </c>
      <c r="M49" s="507"/>
      <c r="N49" s="449">
        <f t="shared" si="1"/>
        <v>0</v>
      </c>
      <c r="O49" s="507"/>
      <c r="P49" s="507">
        <f t="shared" si="2"/>
        <v>10540257</v>
      </c>
      <c r="Q49" s="507">
        <v>0</v>
      </c>
      <c r="R49" s="509">
        <v>0</v>
      </c>
      <c r="S49" s="507">
        <v>0</v>
      </c>
      <c r="T49" s="509"/>
      <c r="U49" s="509">
        <f t="shared" si="6"/>
        <v>0</v>
      </c>
      <c r="V49" s="509"/>
      <c r="W49" s="510"/>
      <c r="X49" s="510"/>
      <c r="Y49" s="510"/>
      <c r="Z49" s="510"/>
      <c r="AA49" s="511">
        <f>P49-U49+W49+Y49+Z49</f>
        <v>10540257</v>
      </c>
      <c r="AB49" s="101">
        <f t="shared" ca="1" si="10"/>
        <v>36</v>
      </c>
      <c r="AC49" s="328"/>
      <c r="AD49" s="255" t="s">
        <v>278</v>
      </c>
      <c r="AE49" s="756" t="s">
        <v>330</v>
      </c>
      <c r="AF49" s="757"/>
      <c r="AG49" s="757"/>
      <c r="AK49" s="105"/>
    </row>
    <row r="50" spans="1:39" s="104" customFormat="1" ht="30.75" customHeight="1">
      <c r="A50" s="202">
        <f ca="1">_xlfn.AGGREGATE(4,7,A$12:A49)+1</f>
        <v>37</v>
      </c>
      <c r="B50" s="612"/>
      <c r="C50" s="613"/>
      <c r="D50" s="614"/>
      <c r="E50" s="615"/>
      <c r="F50" s="615"/>
      <c r="G50" s="616"/>
      <c r="H50" s="617"/>
      <c r="I50" s="618"/>
      <c r="J50" s="619"/>
      <c r="K50" s="618"/>
      <c r="L50" s="618"/>
      <c r="M50" s="618"/>
      <c r="N50" s="620"/>
      <c r="O50" s="618"/>
      <c r="P50" s="618"/>
      <c r="Q50" s="618"/>
      <c r="R50" s="621"/>
      <c r="S50" s="618"/>
      <c r="T50" s="621"/>
      <c r="U50" s="621"/>
      <c r="V50" s="621"/>
      <c r="W50" s="622"/>
      <c r="X50" s="622"/>
      <c r="Y50" s="622"/>
      <c r="Z50" s="622"/>
      <c r="AA50" s="623"/>
      <c r="AB50" s="624"/>
      <c r="AC50" s="625"/>
      <c r="AD50" s="626"/>
      <c r="AE50" s="567"/>
      <c r="AF50" s="568"/>
      <c r="AG50" s="568"/>
      <c r="AK50" s="105"/>
    </row>
    <row r="51" spans="1:39" ht="33" customHeight="1">
      <c r="A51" s="88"/>
      <c r="B51" s="569" t="s">
        <v>11</v>
      </c>
      <c r="C51" s="161"/>
      <c r="D51" s="161"/>
      <c r="E51" s="576"/>
      <c r="F51" s="576"/>
      <c r="G51" s="458"/>
      <c r="H51" s="459">
        <f>SUM(H14:H49)</f>
        <v>143</v>
      </c>
      <c r="I51" s="460">
        <f>SUM(I14:I49)+1</f>
        <v>232158828</v>
      </c>
      <c r="J51" s="461">
        <f>SUM(J16:J47)</f>
        <v>0.11</v>
      </c>
      <c r="K51" s="460">
        <f>SUM(K14:K49)</f>
        <v>1240588.25</v>
      </c>
      <c r="L51" s="460">
        <f>SUM(L14:L49)+1</f>
        <v>233399416</v>
      </c>
      <c r="M51" s="460"/>
      <c r="N51" s="460">
        <f>SUM(N14:N49)</f>
        <v>2500470</v>
      </c>
      <c r="O51" s="460">
        <f>SUM(O14:O49)</f>
        <v>0</v>
      </c>
      <c r="P51" s="460">
        <f>SUM(P14:P49)+1</f>
        <v>230898946</v>
      </c>
      <c r="Q51" s="460">
        <f>SUM(Q14:Q49)</f>
        <v>17828732.640000001</v>
      </c>
      <c r="R51" s="460">
        <f>SUM(R14:R49)</f>
        <v>3342887.3699999992</v>
      </c>
      <c r="S51" s="460">
        <f>SUM(S14:S49)+1</f>
        <v>2228592.58</v>
      </c>
      <c r="T51" s="461">
        <f>SUM(T14:T49)</f>
        <v>0</v>
      </c>
      <c r="U51" s="460">
        <f>SUM(U14:U49)+1</f>
        <v>23400212.59</v>
      </c>
      <c r="V51" s="462">
        <f t="shared" ref="V51:AA51" si="11">SUM(V14:V49)</f>
        <v>0</v>
      </c>
      <c r="W51" s="460">
        <f t="shared" si="11"/>
        <v>0</v>
      </c>
      <c r="X51" s="462">
        <f t="shared" si="11"/>
        <v>0</v>
      </c>
      <c r="Y51" s="460">
        <f t="shared" si="11"/>
        <v>0</v>
      </c>
      <c r="Z51" s="463">
        <f t="shared" si="11"/>
        <v>0</v>
      </c>
      <c r="AA51" s="460">
        <f t="shared" si="11"/>
        <v>207498733.40999994</v>
      </c>
      <c r="AB51" s="90"/>
      <c r="AC51" s="91"/>
      <c r="AD51" s="92"/>
      <c r="AE51" s="71" t="s">
        <v>77</v>
      </c>
      <c r="AF51" s="60"/>
      <c r="AG51" s="60"/>
    </row>
    <row r="52" spans="1:39" ht="44.25" hidden="1" customHeight="1">
      <c r="A52" s="592"/>
      <c r="B52" s="142"/>
      <c r="C52" s="162"/>
      <c r="D52" s="162"/>
      <c r="E52" s="204"/>
      <c r="F52" s="204"/>
      <c r="G52" s="47"/>
      <c r="H52" s="575"/>
      <c r="I52" s="52"/>
      <c r="J52" s="575"/>
      <c r="K52" s="52"/>
      <c r="L52" s="52"/>
      <c r="M52" s="52"/>
      <c r="N52" s="52"/>
      <c r="O52" s="52"/>
      <c r="P52" s="52"/>
      <c r="Q52" s="345">
        <v>21574227</v>
      </c>
      <c r="R52" s="345">
        <v>4045167</v>
      </c>
      <c r="S52" s="345">
        <v>2696778</v>
      </c>
      <c r="T52" s="344"/>
      <c r="U52" s="345">
        <v>28316172</v>
      </c>
      <c r="V52" s="344"/>
      <c r="W52" s="344"/>
      <c r="X52" s="344"/>
      <c r="Y52" s="344"/>
      <c r="Z52" s="344"/>
      <c r="AA52" s="345">
        <v>255377566</v>
      </c>
      <c r="AB52" s="54"/>
      <c r="AC52" s="68"/>
      <c r="AD52" s="68"/>
      <c r="AE52" s="69"/>
      <c r="AF52" s="69"/>
      <c r="AG52" s="69"/>
    </row>
    <row r="53" spans="1:39" s="42" customFormat="1" ht="12.6" customHeight="1">
      <c r="A53" s="466"/>
      <c r="B53" s="467"/>
      <c r="C53" s="468"/>
      <c r="D53" s="468"/>
      <c r="E53" s="469"/>
      <c r="F53" s="469"/>
      <c r="G53" s="470"/>
      <c r="H53" s="471"/>
      <c r="I53" s="467"/>
      <c r="J53" s="471"/>
      <c r="K53" s="467"/>
      <c r="L53" s="467"/>
      <c r="M53" s="467"/>
      <c r="N53" s="467"/>
      <c r="O53" s="467"/>
      <c r="P53" s="467"/>
      <c r="Q53" s="472"/>
      <c r="R53" s="472"/>
      <c r="S53" s="472"/>
      <c r="T53" s="467"/>
      <c r="U53" s="472"/>
      <c r="V53" s="467"/>
      <c r="W53" s="467"/>
      <c r="X53" s="467"/>
      <c r="Y53" s="467"/>
      <c r="Z53" s="467"/>
      <c r="AA53" s="472"/>
      <c r="AB53" s="473"/>
      <c r="AC53" s="431"/>
      <c r="AD53" s="431"/>
      <c r="AE53" s="69"/>
      <c r="AF53" s="69"/>
      <c r="AG53" s="69"/>
      <c r="AK53" s="58"/>
    </row>
    <row r="54" spans="1:39" s="42" customFormat="1" ht="18.75" customHeight="1">
      <c r="A54" s="583"/>
      <c r="B54" s="560" t="s">
        <v>12</v>
      </c>
      <c r="C54" s="423" t="s">
        <v>430</v>
      </c>
      <c r="D54" s="423"/>
      <c r="E54" s="474"/>
      <c r="F54" s="474"/>
      <c r="G54" s="475"/>
      <c r="H54" s="475"/>
      <c r="I54" s="475"/>
      <c r="J54" s="588"/>
      <c r="K54" s="475"/>
      <c r="L54" s="475"/>
      <c r="M54" s="475"/>
      <c r="N54" s="475"/>
      <c r="O54" s="475"/>
      <c r="P54" s="475"/>
      <c r="Q54" s="475"/>
      <c r="R54" s="475"/>
      <c r="S54" s="424"/>
      <c r="T54" s="424"/>
      <c r="U54" s="424"/>
      <c r="V54" s="424"/>
      <c r="W54" s="424"/>
      <c r="X54" s="424"/>
      <c r="Y54" s="424"/>
      <c r="Z54" s="424"/>
      <c r="AA54" s="424"/>
      <c r="AB54" s="423"/>
      <c r="AC54" s="477"/>
      <c r="AD54" s="477"/>
      <c r="AE54" s="69"/>
      <c r="AF54" s="60"/>
      <c r="AG54" s="60"/>
      <c r="AK54" s="58"/>
    </row>
    <row r="55" spans="1:39" s="42" customFormat="1" ht="7.5" customHeight="1">
      <c r="A55" s="583"/>
      <c r="B55" s="560"/>
      <c r="C55" s="478"/>
      <c r="D55" s="478"/>
      <c r="E55" s="479"/>
      <c r="F55" s="479"/>
      <c r="G55" s="480"/>
      <c r="H55" s="480"/>
      <c r="I55" s="584"/>
      <c r="J55" s="584"/>
      <c r="K55" s="584"/>
      <c r="L55" s="584"/>
      <c r="M55" s="584"/>
      <c r="N55" s="584"/>
      <c r="O55" s="584"/>
      <c r="P55" s="584"/>
      <c r="Q55" s="584"/>
      <c r="R55" s="584"/>
      <c r="S55" s="584"/>
      <c r="T55" s="584"/>
      <c r="U55" s="584"/>
      <c r="V55" s="584"/>
      <c r="W55" s="584"/>
      <c r="X55" s="584"/>
      <c r="Y55" s="584"/>
      <c r="Z55" s="584"/>
      <c r="AA55" s="584"/>
      <c r="AB55" s="811"/>
      <c r="AC55" s="811"/>
      <c r="AD55" s="584"/>
      <c r="AE55" s="798" t="e">
        <f>1000000-#REF!</f>
        <v>#REF!</v>
      </c>
      <c r="AF55" s="796"/>
      <c r="AG55" s="796"/>
      <c r="AK55" s="58"/>
    </row>
    <row r="56" spans="1:39" s="585" customFormat="1" ht="21" customHeight="1">
      <c r="C56" s="488"/>
      <c r="D56" s="488"/>
      <c r="E56" s="489"/>
      <c r="F56" s="489"/>
      <c r="J56" s="586"/>
      <c r="S56" s="805" t="s">
        <v>427</v>
      </c>
      <c r="T56" s="805"/>
      <c r="U56" s="805"/>
      <c r="V56" s="805"/>
      <c r="W56" s="805"/>
      <c r="X56" s="805"/>
      <c r="Y56" s="805"/>
      <c r="Z56" s="805"/>
      <c r="AA56" s="805"/>
      <c r="AB56" s="805"/>
      <c r="AC56" s="805"/>
      <c r="AD56" s="806"/>
      <c r="AE56" s="802"/>
      <c r="AF56" s="802"/>
      <c r="AG56" s="802"/>
      <c r="AK56" s="491"/>
    </row>
    <row r="57" spans="1:39" s="585" customFormat="1" ht="15.75" customHeight="1">
      <c r="A57" s="803" t="s">
        <v>13</v>
      </c>
      <c r="B57" s="803"/>
      <c r="C57" s="803"/>
      <c r="D57" s="803"/>
      <c r="E57" s="803"/>
      <c r="F57" s="803"/>
      <c r="G57" s="803"/>
      <c r="H57" s="803"/>
      <c r="I57" s="803" t="s">
        <v>182</v>
      </c>
      <c r="J57" s="803"/>
      <c r="K57" s="803"/>
      <c r="L57" s="803"/>
      <c r="M57" s="803"/>
      <c r="N57" s="803"/>
      <c r="O57" s="803"/>
      <c r="P57" s="803"/>
      <c r="Q57" s="803"/>
      <c r="R57" s="803"/>
      <c r="S57" s="803" t="s">
        <v>14</v>
      </c>
      <c r="T57" s="803"/>
      <c r="U57" s="803"/>
      <c r="V57" s="803"/>
      <c r="W57" s="803"/>
      <c r="X57" s="803"/>
      <c r="Y57" s="803"/>
      <c r="Z57" s="803"/>
      <c r="AA57" s="803"/>
      <c r="AB57" s="803"/>
      <c r="AC57" s="803"/>
      <c r="AD57" s="807"/>
      <c r="AE57" s="804"/>
      <c r="AF57" s="804"/>
      <c r="AG57" s="804"/>
      <c r="AK57" s="491"/>
    </row>
    <row r="58" spans="1:39" s="585" customFormat="1" ht="15.75" customHeight="1">
      <c r="B58" s="586"/>
      <c r="C58" s="488"/>
      <c r="D58" s="488"/>
      <c r="E58" s="489"/>
      <c r="F58" s="489"/>
      <c r="I58" s="586"/>
      <c r="J58" s="586"/>
      <c r="K58" s="586"/>
      <c r="L58" s="586"/>
      <c r="M58" s="586"/>
      <c r="N58" s="586"/>
      <c r="O58" s="586"/>
      <c r="P58" s="586"/>
      <c r="Q58" s="493"/>
      <c r="R58" s="586"/>
      <c r="S58" s="586"/>
      <c r="T58" s="586"/>
      <c r="U58" s="586"/>
      <c r="V58" s="586"/>
      <c r="AB58" s="800"/>
      <c r="AC58" s="800"/>
      <c r="AD58" s="586"/>
      <c r="AE58" s="802"/>
      <c r="AF58" s="802"/>
      <c r="AG58" s="802"/>
      <c r="AK58" s="491"/>
    </row>
    <row r="59" spans="1:39" s="585" customFormat="1" ht="15.75" customHeight="1">
      <c r="C59" s="488"/>
      <c r="D59" s="488"/>
      <c r="E59" s="489"/>
      <c r="F59" s="489"/>
      <c r="I59" s="586"/>
      <c r="J59" s="586"/>
      <c r="K59" s="586"/>
      <c r="L59" s="586"/>
      <c r="M59" s="586"/>
      <c r="N59" s="586"/>
      <c r="O59" s="586"/>
      <c r="P59" s="586"/>
      <c r="Q59" s="586"/>
      <c r="S59" s="494"/>
      <c r="T59" s="494"/>
      <c r="U59" s="494"/>
      <c r="V59" s="494"/>
      <c r="W59" s="494"/>
      <c r="X59" s="494"/>
      <c r="Y59" s="494"/>
      <c r="Z59" s="494"/>
      <c r="AA59" s="494"/>
      <c r="AB59" s="494"/>
      <c r="AC59" s="494"/>
      <c r="AD59" s="494"/>
      <c r="AE59" s="494"/>
      <c r="AF59" s="495"/>
      <c r="AG59" s="495"/>
      <c r="AH59" s="495"/>
      <c r="AI59" s="495"/>
      <c r="AJ59" s="495"/>
      <c r="AK59" s="495"/>
      <c r="AL59" s="495"/>
      <c r="AM59" s="495"/>
    </row>
    <row r="60" spans="1:39" s="585" customFormat="1" ht="15.75" customHeight="1">
      <c r="C60" s="488"/>
      <c r="D60" s="488"/>
      <c r="E60" s="489"/>
      <c r="F60" s="489"/>
      <c r="I60" s="586"/>
      <c r="J60" s="586"/>
      <c r="K60" s="586"/>
      <c r="L60" s="586"/>
      <c r="M60" s="586"/>
      <c r="N60" s="586"/>
      <c r="O60" s="586"/>
      <c r="P60" s="586"/>
      <c r="Q60" s="586"/>
      <c r="R60" s="586"/>
      <c r="S60" s="586"/>
      <c r="T60" s="586"/>
      <c r="U60" s="586"/>
      <c r="V60" s="586"/>
      <c r="AC60" s="495"/>
      <c r="AD60" s="495"/>
      <c r="AE60" s="495"/>
      <c r="AF60" s="495"/>
      <c r="AG60" s="495"/>
      <c r="AH60" s="495"/>
      <c r="AI60" s="495"/>
      <c r="AJ60" s="495"/>
      <c r="AK60" s="495"/>
      <c r="AL60" s="495"/>
      <c r="AM60" s="495"/>
    </row>
    <row r="61" spans="1:39" s="585" customFormat="1" ht="9.75" customHeight="1">
      <c r="C61" s="488"/>
      <c r="D61" s="488"/>
      <c r="E61" s="489"/>
      <c r="F61" s="489"/>
      <c r="I61" s="586"/>
      <c r="J61" s="586"/>
      <c r="K61" s="586"/>
      <c r="L61" s="586"/>
      <c r="M61" s="586"/>
      <c r="N61" s="586"/>
      <c r="O61" s="586"/>
      <c r="P61" s="586"/>
      <c r="Q61" s="586"/>
      <c r="R61" s="586"/>
      <c r="S61" s="586"/>
      <c r="T61" s="586"/>
      <c r="U61" s="586"/>
      <c r="V61" s="586"/>
      <c r="AB61" s="800"/>
      <c r="AC61" s="800"/>
      <c r="AD61" s="586"/>
      <c r="AE61" s="801"/>
      <c r="AF61" s="802"/>
      <c r="AG61" s="802"/>
      <c r="AK61" s="491"/>
    </row>
    <row r="62" spans="1:39" s="585" customFormat="1" ht="15.75" customHeight="1">
      <c r="C62" s="488"/>
      <c r="D62" s="488"/>
      <c r="E62" s="489"/>
      <c r="F62" s="489"/>
      <c r="I62" s="586"/>
      <c r="J62" s="586"/>
      <c r="K62" s="586"/>
      <c r="L62" s="586"/>
      <c r="M62" s="586"/>
      <c r="N62" s="586"/>
      <c r="O62" s="586"/>
      <c r="P62" s="586"/>
      <c r="Q62" s="586"/>
      <c r="R62" s="586"/>
      <c r="S62" s="586"/>
      <c r="T62" s="586"/>
      <c r="U62" s="586"/>
      <c r="V62" s="586"/>
      <c r="AB62" s="800"/>
      <c r="AC62" s="800"/>
      <c r="AD62" s="586"/>
      <c r="AE62" s="801"/>
      <c r="AF62" s="802"/>
      <c r="AG62" s="802"/>
      <c r="AK62" s="491"/>
    </row>
    <row r="63" spans="1:39" s="585" customFormat="1" ht="15.75" customHeight="1">
      <c r="C63" s="488"/>
      <c r="D63" s="488"/>
      <c r="E63" s="489"/>
      <c r="F63" s="489"/>
      <c r="I63" s="586"/>
      <c r="J63" s="586"/>
      <c r="K63" s="586"/>
      <c r="L63" s="586"/>
      <c r="M63" s="586"/>
      <c r="N63" s="586"/>
      <c r="O63" s="586"/>
      <c r="P63" s="586"/>
      <c r="Q63" s="586"/>
      <c r="R63" s="586"/>
      <c r="S63" s="586"/>
      <c r="T63" s="586"/>
      <c r="U63" s="586"/>
      <c r="V63" s="586"/>
      <c r="AB63" s="800"/>
      <c r="AC63" s="800"/>
      <c r="AD63" s="586"/>
      <c r="AE63" s="801"/>
      <c r="AF63" s="802"/>
      <c r="AG63" s="802"/>
      <c r="AK63" s="491"/>
    </row>
    <row r="64" spans="1:39" s="585" customFormat="1" ht="15.75" customHeight="1">
      <c r="A64" s="803" t="s">
        <v>225</v>
      </c>
      <c r="B64" s="803"/>
      <c r="C64" s="803"/>
      <c r="D64" s="803"/>
      <c r="E64" s="803"/>
      <c r="F64" s="803"/>
      <c r="G64" s="803"/>
      <c r="H64" s="803"/>
      <c r="I64" s="803" t="s">
        <v>122</v>
      </c>
      <c r="J64" s="803"/>
      <c r="K64" s="803"/>
      <c r="L64" s="803"/>
      <c r="M64" s="803"/>
      <c r="N64" s="803"/>
      <c r="O64" s="803"/>
      <c r="P64" s="803"/>
      <c r="Q64" s="803"/>
      <c r="R64" s="803"/>
      <c r="S64" s="803" t="s">
        <v>119</v>
      </c>
      <c r="T64" s="803"/>
      <c r="U64" s="803"/>
      <c r="V64" s="803"/>
      <c r="W64" s="803"/>
      <c r="X64" s="803"/>
      <c r="Y64" s="803"/>
      <c r="Z64" s="803"/>
      <c r="AA64" s="803"/>
      <c r="AB64" s="803"/>
      <c r="AC64" s="803"/>
      <c r="AD64" s="587"/>
      <c r="AE64" s="804"/>
      <c r="AF64" s="804"/>
      <c r="AG64" s="804"/>
      <c r="AK64" s="491"/>
    </row>
    <row r="65" spans="1:37" s="42" customFormat="1">
      <c r="A65" s="482"/>
      <c r="B65" s="483"/>
      <c r="C65" s="484"/>
      <c r="D65" s="484"/>
      <c r="E65" s="485"/>
      <c r="F65" s="485"/>
      <c r="G65" s="483"/>
      <c r="H65" s="483"/>
      <c r="I65" s="483"/>
      <c r="J65" s="589"/>
      <c r="K65" s="483"/>
      <c r="L65" s="483"/>
      <c r="M65" s="483"/>
      <c r="N65" s="483"/>
      <c r="O65" s="483"/>
      <c r="P65" s="483"/>
      <c r="Q65" s="483"/>
      <c r="R65" s="483"/>
      <c r="S65" s="483"/>
      <c r="T65" s="483"/>
      <c r="U65" s="483"/>
      <c r="V65" s="483"/>
      <c r="W65" s="483"/>
      <c r="X65" s="483"/>
      <c r="Y65" s="483"/>
      <c r="Z65" s="483"/>
      <c r="AA65" s="483"/>
      <c r="AB65" s="797"/>
      <c r="AC65" s="797"/>
      <c r="AD65" s="589"/>
      <c r="AE65" s="798"/>
      <c r="AF65" s="796"/>
      <c r="AG65" s="796"/>
      <c r="AK65" s="58"/>
    </row>
    <row r="66" spans="1:37" s="42" customFormat="1">
      <c r="A66" s="583"/>
      <c r="B66" s="583"/>
      <c r="C66" s="487"/>
      <c r="D66" s="487"/>
      <c r="E66" s="474"/>
      <c r="F66" s="474"/>
      <c r="G66" s="475"/>
      <c r="H66" s="475"/>
      <c r="I66" s="475"/>
      <c r="J66" s="588"/>
      <c r="K66" s="475"/>
      <c r="L66" s="475"/>
      <c r="M66" s="475"/>
      <c r="N66" s="475"/>
      <c r="O66" s="475"/>
      <c r="P66" s="475"/>
      <c r="Q66" s="475"/>
      <c r="R66" s="475"/>
      <c r="S66" s="475"/>
      <c r="T66" s="475"/>
      <c r="U66" s="475"/>
      <c r="V66" s="475"/>
      <c r="W66" s="475"/>
      <c r="X66" s="475"/>
      <c r="Y66" s="475"/>
      <c r="Z66" s="475"/>
      <c r="AA66" s="475"/>
      <c r="AB66" s="799"/>
      <c r="AC66" s="799"/>
      <c r="AD66" s="588"/>
      <c r="AE66" s="796"/>
      <c r="AF66" s="796"/>
      <c r="AG66" s="796"/>
      <c r="AK66" s="58"/>
    </row>
    <row r="67" spans="1:37" s="42" customFormat="1">
      <c r="A67" s="583"/>
      <c r="B67" s="583"/>
      <c r="C67" s="487"/>
      <c r="D67" s="487"/>
      <c r="E67" s="474"/>
      <c r="F67" s="474"/>
      <c r="G67" s="475"/>
      <c r="H67" s="475"/>
      <c r="I67" s="475"/>
      <c r="J67" s="588"/>
      <c r="K67" s="475"/>
      <c r="L67" s="475"/>
      <c r="M67" s="475"/>
      <c r="N67" s="475"/>
      <c r="O67" s="475"/>
      <c r="P67" s="475"/>
      <c r="Q67" s="475"/>
      <c r="R67" s="475"/>
      <c r="S67" s="475"/>
      <c r="T67" s="475"/>
      <c r="U67" s="475"/>
      <c r="V67" s="475"/>
      <c r="W67" s="475"/>
      <c r="X67" s="475"/>
      <c r="Y67" s="475"/>
      <c r="Z67" s="475"/>
      <c r="AA67" s="475"/>
      <c r="AB67" s="799"/>
      <c r="AC67" s="799"/>
      <c r="AD67" s="588"/>
      <c r="AE67" s="796"/>
      <c r="AF67" s="796"/>
      <c r="AG67" s="796"/>
      <c r="AK67" s="58"/>
    </row>
    <row r="68" spans="1:37">
      <c r="A68" s="561"/>
      <c r="B68" s="561"/>
      <c r="AB68" s="748"/>
      <c r="AC68" s="748"/>
      <c r="AD68" s="562"/>
      <c r="AE68" s="796"/>
      <c r="AF68" s="796"/>
      <c r="AG68" s="796"/>
    </row>
    <row r="69" spans="1:37">
      <c r="A69" s="561"/>
      <c r="B69" s="561"/>
      <c r="AB69" s="748"/>
      <c r="AC69" s="748"/>
      <c r="AD69" s="562"/>
      <c r="AE69" s="796"/>
      <c r="AF69" s="796"/>
      <c r="AG69" s="796"/>
    </row>
    <row r="70" spans="1:37">
      <c r="A70" s="561"/>
      <c r="B70" s="561"/>
      <c r="AB70" s="748"/>
      <c r="AC70" s="748"/>
      <c r="AD70" s="562"/>
      <c r="AE70" s="796"/>
      <c r="AF70" s="796"/>
      <c r="AG70" s="796"/>
    </row>
    <row r="71" spans="1:37">
      <c r="A71" s="561"/>
      <c r="B71" s="561"/>
      <c r="AB71" s="748"/>
      <c r="AC71" s="748"/>
      <c r="AD71" s="562"/>
      <c r="AE71" s="796"/>
      <c r="AF71" s="796"/>
      <c r="AG71" s="796"/>
    </row>
    <row r="72" spans="1:37">
      <c r="A72" s="561"/>
      <c r="B72" s="561"/>
      <c r="AB72" s="748"/>
      <c r="AC72" s="748"/>
      <c r="AD72" s="562"/>
      <c r="AE72" s="796"/>
      <c r="AF72" s="796"/>
      <c r="AG72" s="796"/>
    </row>
    <row r="73" spans="1:37">
      <c r="A73" s="561"/>
      <c r="B73" s="561"/>
      <c r="AB73" s="748"/>
      <c r="AC73" s="748"/>
      <c r="AD73" s="562"/>
      <c r="AE73" s="796"/>
      <c r="AF73" s="796"/>
      <c r="AG73" s="796"/>
    </row>
    <row r="74" spans="1:37">
      <c r="A74" s="561"/>
      <c r="B74" s="561"/>
      <c r="AB74" s="748"/>
      <c r="AC74" s="748"/>
      <c r="AD74" s="562"/>
      <c r="AE74" s="796"/>
      <c r="AF74" s="796"/>
      <c r="AG74" s="796"/>
    </row>
    <row r="75" spans="1:37">
      <c r="A75" s="561"/>
      <c r="B75" s="561"/>
      <c r="AB75" s="748"/>
      <c r="AC75" s="748"/>
      <c r="AD75" s="562"/>
      <c r="AE75" s="796"/>
      <c r="AF75" s="796"/>
      <c r="AG75" s="796"/>
    </row>
    <row r="76" spans="1:37">
      <c r="A76" s="561"/>
      <c r="B76" s="561"/>
      <c r="AB76" s="748"/>
      <c r="AC76" s="748"/>
      <c r="AD76" s="562"/>
      <c r="AE76" s="796"/>
      <c r="AF76" s="796"/>
      <c r="AG76" s="796"/>
    </row>
    <row r="77" spans="1:37">
      <c r="A77" s="561"/>
      <c r="B77" s="561"/>
      <c r="AB77" s="748"/>
      <c r="AC77" s="748"/>
      <c r="AD77" s="562"/>
      <c r="AE77" s="796"/>
      <c r="AF77" s="796"/>
      <c r="AG77" s="796"/>
    </row>
    <row r="78" spans="1:37">
      <c r="A78" s="561"/>
      <c r="B78" s="561"/>
      <c r="AB78" s="748"/>
      <c r="AC78" s="748"/>
      <c r="AD78" s="562"/>
      <c r="AE78" s="796"/>
      <c r="AF78" s="796"/>
      <c r="AG78" s="796"/>
    </row>
    <row r="79" spans="1:37">
      <c r="A79" s="561"/>
      <c r="B79" s="561"/>
      <c r="AB79" s="748"/>
      <c r="AC79" s="748"/>
      <c r="AD79" s="562"/>
      <c r="AE79" s="796"/>
      <c r="AF79" s="796"/>
      <c r="AG79" s="796"/>
    </row>
    <row r="80" spans="1:37">
      <c r="A80" s="561"/>
      <c r="B80" s="561"/>
      <c r="AB80" s="748"/>
      <c r="AC80" s="748"/>
      <c r="AD80" s="562"/>
      <c r="AE80" s="796"/>
      <c r="AF80" s="796"/>
      <c r="AG80" s="796"/>
    </row>
    <row r="81" spans="1:33">
      <c r="A81" s="561"/>
      <c r="B81" s="561"/>
      <c r="AB81" s="748"/>
      <c r="AC81" s="748"/>
      <c r="AD81" s="562"/>
      <c r="AE81" s="796"/>
      <c r="AF81" s="796"/>
      <c r="AG81" s="796"/>
    </row>
    <row r="82" spans="1:33">
      <c r="A82" s="561"/>
      <c r="B82" s="561"/>
      <c r="AB82" s="748"/>
      <c r="AC82" s="748"/>
      <c r="AD82" s="562"/>
      <c r="AE82" s="796"/>
      <c r="AF82" s="796"/>
      <c r="AG82" s="796"/>
    </row>
  </sheetData>
  <mergeCells count="95">
    <mergeCell ref="AH3:AI3"/>
    <mergeCell ref="A1:H1"/>
    <mergeCell ref="A2:H2"/>
    <mergeCell ref="Q3:AA3"/>
    <mergeCell ref="AB3:AC3"/>
    <mergeCell ref="AF3:AG3"/>
    <mergeCell ref="K10:K11"/>
    <mergeCell ref="A4:AC4"/>
    <mergeCell ref="A5:AC5"/>
    <mergeCell ref="C6:H6"/>
    <mergeCell ref="C7:H7"/>
    <mergeCell ref="C8:H8"/>
    <mergeCell ref="A10:A11"/>
    <mergeCell ref="B10:B11"/>
    <mergeCell ref="C10:C11"/>
    <mergeCell ref="D10:D11"/>
    <mergeCell ref="E10:E11"/>
    <mergeCell ref="F10:F11"/>
    <mergeCell ref="G10:G11"/>
    <mergeCell ref="H10:H11"/>
    <mergeCell ref="I10:I11"/>
    <mergeCell ref="J10:J11"/>
    <mergeCell ref="AJ10:AJ11"/>
    <mergeCell ref="L10:L11"/>
    <mergeCell ref="M10:M11"/>
    <mergeCell ref="N10:N11"/>
    <mergeCell ref="O10:O11"/>
    <mergeCell ref="P10:P11"/>
    <mergeCell ref="Q10:U10"/>
    <mergeCell ref="V10:W10"/>
    <mergeCell ref="X10:Y10"/>
    <mergeCell ref="Z10:Z11"/>
    <mergeCell ref="AA10:AA11"/>
    <mergeCell ref="AB10:AC11"/>
    <mergeCell ref="AB12:AC12"/>
    <mergeCell ref="B13:I13"/>
    <mergeCell ref="AE27:AH27"/>
    <mergeCell ref="AE49:AG49"/>
    <mergeCell ref="AB55:AC55"/>
    <mergeCell ref="AE55:AG55"/>
    <mergeCell ref="S56:AC56"/>
    <mergeCell ref="AD56:AD57"/>
    <mergeCell ref="AE56:AG56"/>
    <mergeCell ref="A57:H57"/>
    <mergeCell ref="I57:R57"/>
    <mergeCell ref="S57:AC57"/>
    <mergeCell ref="AE57:AG57"/>
    <mergeCell ref="AB58:AC58"/>
    <mergeCell ref="AE58:AG58"/>
    <mergeCell ref="AB61:AC61"/>
    <mergeCell ref="AE61:AG61"/>
    <mergeCell ref="AB62:AC62"/>
    <mergeCell ref="AE62:AG62"/>
    <mergeCell ref="AB63:AC63"/>
    <mergeCell ref="AE63:AG63"/>
    <mergeCell ref="A64:H64"/>
    <mergeCell ref="I64:R64"/>
    <mergeCell ref="S64:AC64"/>
    <mergeCell ref="AE64:AG64"/>
    <mergeCell ref="AB65:AC65"/>
    <mergeCell ref="AE65:AG65"/>
    <mergeCell ref="AB66:AC66"/>
    <mergeCell ref="AE66:AG66"/>
    <mergeCell ref="AB67:AC67"/>
    <mergeCell ref="AE67:AG67"/>
    <mergeCell ref="AB68:AC68"/>
    <mergeCell ref="AE68:AG68"/>
    <mergeCell ref="AB69:AC69"/>
    <mergeCell ref="AE69:AG69"/>
    <mergeCell ref="AB70:AC70"/>
    <mergeCell ref="AE70:AG70"/>
    <mergeCell ref="AB71:AC71"/>
    <mergeCell ref="AE71:AG71"/>
    <mergeCell ref="AB72:AC72"/>
    <mergeCell ref="AE72:AG72"/>
    <mergeCell ref="AB73:AC73"/>
    <mergeCell ref="AE73:AG73"/>
    <mergeCell ref="AB74:AC74"/>
    <mergeCell ref="AE74:AG74"/>
    <mergeCell ref="AB75:AC75"/>
    <mergeCell ref="AE75:AG75"/>
    <mergeCell ref="AB76:AC76"/>
    <mergeCell ref="AE76:AG76"/>
    <mergeCell ref="AB77:AC77"/>
    <mergeCell ref="AE77:AG77"/>
    <mergeCell ref="AB78:AC78"/>
    <mergeCell ref="AE78:AG78"/>
    <mergeCell ref="AB79:AC79"/>
    <mergeCell ref="AE79:AG79"/>
    <mergeCell ref="AB80:AC80"/>
    <mergeCell ref="AE80:AG80"/>
    <mergeCell ref="AB81:AC81"/>
    <mergeCell ref="AE81:AG81"/>
    <mergeCell ref="AB82:AC82"/>
    <mergeCell ref="AE82:AG82"/>
  </mergeCell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71"/>
  <sheetViews>
    <sheetView topLeftCell="A34" workbookViewId="0">
      <selection activeCell="A50" sqref="A50:XFD50"/>
    </sheetView>
  </sheetViews>
  <sheetFormatPr defaultRowHeight="15"/>
  <cols>
    <col min="1" max="1" width="3.375" style="16" customWidth="1"/>
    <col min="2" max="2" width="15.375" style="44" customWidth="1"/>
    <col min="3" max="3" width="11.25" style="165" customWidth="1"/>
    <col min="4" max="4" width="13" style="165" hidden="1" customWidth="1"/>
    <col min="5" max="5" width="17.125" style="205" bestFit="1" customWidth="1"/>
    <col min="6" max="6" width="17.125" style="205" customWidth="1"/>
    <col min="7" max="7" width="7.25" style="44" customWidth="1"/>
    <col min="8" max="8" width="6.625" style="44" customWidth="1"/>
    <col min="9" max="9" width="11.25" style="44" customWidth="1"/>
    <col min="10" max="10" width="5.5" style="45" hidden="1" customWidth="1"/>
    <col min="11" max="11" width="8.375" style="44" customWidth="1"/>
    <col min="12" max="12" width="10.875" style="44" customWidth="1"/>
    <col min="13" max="13" width="2.375" style="44" hidden="1" customWidth="1"/>
    <col min="14" max="14" width="7.5" style="44" customWidth="1"/>
    <col min="15" max="15" width="6.5" style="44" customWidth="1"/>
    <col min="16" max="16" width="9.25" style="44" customWidth="1"/>
    <col min="17" max="17" width="7.625" style="44" customWidth="1"/>
    <col min="18" max="18" width="7.5" style="44" customWidth="1"/>
    <col min="19" max="19" width="7.125" style="44" customWidth="1"/>
    <col min="20" max="20" width="5.875" style="44" customWidth="1"/>
    <col min="21" max="21" width="8" style="44" customWidth="1"/>
    <col min="22" max="22" width="4.25" style="44" customWidth="1"/>
    <col min="23" max="23" width="5.125" style="44" customWidth="1"/>
    <col min="24" max="24" width="4.375" style="44" customWidth="1"/>
    <col min="25" max="25" width="5.25" style="44" customWidth="1"/>
    <col min="26" max="26" width="9" style="347" hidden="1" customWidth="1"/>
    <col min="27" max="27" width="9.75" style="44" customWidth="1"/>
    <col min="28" max="28" width="2.5" style="44" customWidth="1"/>
    <col min="29" max="29" width="13.25" style="6" customWidth="1"/>
    <col min="30" max="30" width="20.25" style="6" customWidth="1"/>
    <col min="31" max="41" width="9" style="42"/>
    <col min="42" max="16384" width="9" style="16"/>
  </cols>
  <sheetData>
    <row r="1" spans="1:41">
      <c r="A1" s="793" t="s">
        <v>78</v>
      </c>
      <c r="B1" s="793"/>
      <c r="C1" s="793"/>
      <c r="D1" s="793"/>
      <c r="E1" s="793"/>
      <c r="F1" s="793"/>
      <c r="G1" s="793"/>
      <c r="H1" s="793"/>
      <c r="I1" s="17"/>
      <c r="J1" s="8"/>
      <c r="K1" s="17"/>
      <c r="L1" s="17"/>
      <c r="M1" s="17"/>
      <c r="N1" s="17"/>
      <c r="O1" s="17"/>
      <c r="P1" s="17"/>
      <c r="Q1" s="17"/>
      <c r="R1" s="17"/>
      <c r="S1" s="17"/>
      <c r="T1" s="17"/>
      <c r="U1" s="17"/>
      <c r="V1" s="17"/>
      <c r="W1" s="17"/>
      <c r="X1" s="17"/>
      <c r="Y1" s="17"/>
      <c r="Z1" s="341"/>
      <c r="AA1" s="17"/>
      <c r="AB1" s="17"/>
      <c r="AC1" s="17"/>
      <c r="AD1" s="8"/>
    </row>
    <row r="2" spans="1:41">
      <c r="A2" s="751" t="s">
        <v>185</v>
      </c>
      <c r="B2" s="751"/>
      <c r="C2" s="751"/>
      <c r="D2" s="751"/>
      <c r="E2" s="751"/>
      <c r="F2" s="751"/>
      <c r="G2" s="751"/>
      <c r="H2" s="751"/>
      <c r="I2" s="18"/>
      <c r="J2" s="24"/>
      <c r="K2" s="18"/>
      <c r="L2" s="18"/>
      <c r="M2" s="18"/>
      <c r="N2" s="18"/>
      <c r="O2" s="18"/>
      <c r="P2" s="18"/>
      <c r="Q2" s="18"/>
      <c r="R2" s="18"/>
      <c r="S2" s="18"/>
      <c r="T2" s="18"/>
      <c r="U2" s="18"/>
      <c r="V2" s="18"/>
      <c r="W2" s="18"/>
      <c r="X2" s="18"/>
      <c r="Y2" s="18"/>
      <c r="Z2" s="342"/>
      <c r="AA2" s="18"/>
      <c r="AB2" s="18"/>
      <c r="AC2" s="18"/>
      <c r="AD2" s="24"/>
    </row>
    <row r="3" spans="1:41" ht="3.75" customHeight="1">
      <c r="A3" s="4"/>
      <c r="B3" s="45"/>
      <c r="C3" s="563"/>
      <c r="D3" s="4"/>
      <c r="E3" s="37"/>
      <c r="F3" s="37"/>
      <c r="G3" s="4"/>
      <c r="H3" s="45"/>
      <c r="I3" s="45"/>
      <c r="K3" s="45"/>
      <c r="L3" s="45"/>
      <c r="M3" s="45"/>
      <c r="N3" s="45"/>
      <c r="O3" s="45"/>
      <c r="P3" s="45"/>
      <c r="Q3" s="748"/>
      <c r="R3" s="748"/>
      <c r="S3" s="748"/>
      <c r="T3" s="748"/>
      <c r="U3" s="748"/>
      <c r="V3" s="748"/>
      <c r="W3" s="748"/>
      <c r="X3" s="748"/>
      <c r="Y3" s="748"/>
      <c r="Z3" s="748"/>
      <c r="AA3" s="748"/>
      <c r="AB3" s="748"/>
      <c r="AC3" s="748"/>
      <c r="AD3" s="45"/>
    </row>
    <row r="4" spans="1:41" ht="22.5" customHeight="1">
      <c r="A4" s="795" t="s">
        <v>408</v>
      </c>
      <c r="B4" s="795"/>
      <c r="C4" s="795"/>
      <c r="D4" s="795"/>
      <c r="E4" s="795"/>
      <c r="F4" s="795"/>
      <c r="G4" s="795"/>
      <c r="H4" s="795"/>
      <c r="I4" s="795"/>
      <c r="J4" s="795"/>
      <c r="K4" s="795"/>
      <c r="L4" s="795"/>
      <c r="M4" s="795"/>
      <c r="N4" s="795"/>
      <c r="O4" s="795"/>
      <c r="P4" s="795"/>
      <c r="Q4" s="795"/>
      <c r="R4" s="795"/>
      <c r="S4" s="795"/>
      <c r="T4" s="795"/>
      <c r="U4" s="795"/>
      <c r="V4" s="795"/>
      <c r="W4" s="795"/>
      <c r="X4" s="795"/>
      <c r="Y4" s="795"/>
      <c r="Z4" s="795"/>
      <c r="AA4" s="795"/>
      <c r="AB4" s="795"/>
      <c r="AC4" s="795"/>
      <c r="AD4" s="72"/>
    </row>
    <row r="5" spans="1:41" ht="22.5" customHeight="1">
      <c r="A5" s="795" t="s">
        <v>426</v>
      </c>
      <c r="B5" s="795"/>
      <c r="C5" s="795"/>
      <c r="D5" s="795"/>
      <c r="E5" s="795"/>
      <c r="F5" s="795"/>
      <c r="G5" s="795"/>
      <c r="H5" s="795"/>
      <c r="I5" s="795"/>
      <c r="J5" s="795"/>
      <c r="K5" s="795"/>
      <c r="L5" s="795"/>
      <c r="M5" s="795"/>
      <c r="N5" s="795"/>
      <c r="O5" s="795"/>
      <c r="P5" s="795"/>
      <c r="Q5" s="795"/>
      <c r="R5" s="795"/>
      <c r="S5" s="795"/>
      <c r="T5" s="795"/>
      <c r="U5" s="795"/>
      <c r="V5" s="795"/>
      <c r="W5" s="795"/>
      <c r="X5" s="795"/>
      <c r="Y5" s="795"/>
      <c r="Z5" s="795"/>
      <c r="AA5" s="795"/>
      <c r="AB5" s="795"/>
      <c r="AC5" s="795"/>
      <c r="AD5" s="72"/>
    </row>
    <row r="6" spans="1:41" ht="18" customHeight="1">
      <c r="A6" s="8"/>
      <c r="B6" s="50"/>
      <c r="C6" s="761"/>
      <c r="D6" s="761"/>
      <c r="E6" s="761"/>
      <c r="F6" s="761"/>
      <c r="G6" s="761"/>
      <c r="H6" s="761"/>
      <c r="Q6" s="48" t="s">
        <v>228</v>
      </c>
      <c r="R6" s="48"/>
      <c r="S6" s="48"/>
      <c r="T6" s="48"/>
      <c r="U6" s="48"/>
      <c r="V6" s="48"/>
      <c r="W6" s="48"/>
      <c r="X6" s="48"/>
      <c r="Y6" s="48"/>
      <c r="Z6" s="343"/>
      <c r="AA6" s="48"/>
      <c r="AB6" s="48"/>
      <c r="AC6" s="67"/>
      <c r="AD6" s="67"/>
    </row>
    <row r="7" spans="1:41">
      <c r="A7" s="8"/>
      <c r="B7" s="146">
        <v>1490000</v>
      </c>
      <c r="C7" s="761"/>
      <c r="D7" s="761"/>
      <c r="E7" s="761"/>
      <c r="F7" s="761"/>
      <c r="G7" s="761"/>
      <c r="H7" s="761"/>
      <c r="I7" s="48"/>
      <c r="J7" s="50"/>
      <c r="K7" s="48"/>
      <c r="L7" s="48"/>
      <c r="M7" s="48"/>
      <c r="N7" s="48"/>
      <c r="O7" s="48"/>
      <c r="P7" s="48"/>
      <c r="Q7" s="48" t="s">
        <v>16</v>
      </c>
      <c r="R7" s="48"/>
      <c r="S7" s="48"/>
      <c r="T7" s="48"/>
      <c r="U7" s="48"/>
      <c r="V7" s="48"/>
      <c r="W7" s="48"/>
      <c r="X7" s="48"/>
      <c r="Y7" s="48"/>
      <c r="Z7" s="343"/>
      <c r="AA7" s="48"/>
      <c r="AB7" s="48"/>
    </row>
    <row r="8" spans="1:41">
      <c r="A8" s="8"/>
      <c r="B8" s="50"/>
      <c r="C8" s="788"/>
      <c r="D8" s="788"/>
      <c r="E8" s="788"/>
      <c r="F8" s="788"/>
      <c r="G8" s="788"/>
      <c r="H8" s="788"/>
      <c r="I8" s="52"/>
      <c r="J8" s="46"/>
      <c r="K8" s="52"/>
      <c r="L8" s="52"/>
      <c r="M8" s="52"/>
      <c r="N8" s="52"/>
      <c r="O8" s="52"/>
      <c r="P8" s="52"/>
      <c r="Q8" s="52" t="s">
        <v>1</v>
      </c>
      <c r="R8" s="52"/>
      <c r="S8" s="52"/>
      <c r="T8" s="52"/>
      <c r="U8" s="52"/>
      <c r="V8" s="52"/>
      <c r="W8" s="52"/>
      <c r="X8" s="52"/>
      <c r="Y8" s="52"/>
      <c r="Z8" s="344"/>
      <c r="AA8" s="52"/>
      <c r="AB8" s="52"/>
      <c r="AC8" s="66"/>
      <c r="AD8" s="66"/>
    </row>
    <row r="9" spans="1:41" ht="4.5" customHeight="1">
      <c r="A9" s="8"/>
      <c r="B9" s="50"/>
      <c r="C9" s="160"/>
      <c r="D9" s="160"/>
      <c r="E9" s="203"/>
      <c r="F9" s="203"/>
      <c r="G9" s="46"/>
      <c r="H9" s="46"/>
      <c r="I9" s="52"/>
      <c r="J9" s="46"/>
      <c r="K9" s="52"/>
      <c r="L9" s="52"/>
      <c r="M9" s="52"/>
      <c r="N9" s="52"/>
      <c r="O9" s="52"/>
      <c r="P9" s="52"/>
      <c r="Q9" s="48"/>
      <c r="R9" s="48"/>
      <c r="S9" s="48"/>
      <c r="T9" s="48"/>
      <c r="U9" s="48"/>
      <c r="V9" s="48"/>
      <c r="W9" s="48"/>
      <c r="X9" s="48"/>
      <c r="Y9" s="48"/>
      <c r="Z9" s="343"/>
      <c r="AA9" s="48"/>
      <c r="AB9" s="53"/>
    </row>
    <row r="10" spans="1:41" s="43" customFormat="1" ht="27.75" customHeight="1">
      <c r="A10" s="789" t="s">
        <v>2</v>
      </c>
      <c r="B10" s="789" t="s">
        <v>3</v>
      </c>
      <c r="C10" s="790" t="s">
        <v>51</v>
      </c>
      <c r="D10" s="786" t="s">
        <v>235</v>
      </c>
      <c r="E10" s="791" t="s">
        <v>15</v>
      </c>
      <c r="F10" s="578"/>
      <c r="G10" s="773" t="s">
        <v>129</v>
      </c>
      <c r="H10" s="786" t="s">
        <v>270</v>
      </c>
      <c r="I10" s="782" t="s">
        <v>179</v>
      </c>
      <c r="J10" s="782" t="s">
        <v>266</v>
      </c>
      <c r="K10" s="782" t="s">
        <v>267</v>
      </c>
      <c r="L10" s="782" t="s">
        <v>169</v>
      </c>
      <c r="M10" s="784"/>
      <c r="N10" s="786" t="s">
        <v>147</v>
      </c>
      <c r="O10" s="786" t="s">
        <v>148</v>
      </c>
      <c r="P10" s="773" t="s">
        <v>149</v>
      </c>
      <c r="Q10" s="766" t="s">
        <v>67</v>
      </c>
      <c r="R10" s="767"/>
      <c r="S10" s="767"/>
      <c r="T10" s="767"/>
      <c r="U10" s="768"/>
      <c r="V10" s="769" t="s">
        <v>167</v>
      </c>
      <c r="W10" s="770"/>
      <c r="X10" s="769" t="s">
        <v>168</v>
      </c>
      <c r="Y10" s="770"/>
      <c r="Z10" s="775" t="s">
        <v>272</v>
      </c>
      <c r="AA10" s="773" t="s">
        <v>153</v>
      </c>
      <c r="AB10" s="775" t="s">
        <v>5</v>
      </c>
      <c r="AC10" s="776"/>
      <c r="AD10" s="84"/>
      <c r="AE10" s="79"/>
      <c r="AF10" s="79"/>
      <c r="AG10" s="79"/>
      <c r="AH10" s="79"/>
      <c r="AI10" s="79"/>
      <c r="AJ10" s="79"/>
      <c r="AK10" s="79"/>
      <c r="AL10" s="79"/>
      <c r="AM10" s="79"/>
      <c r="AN10" s="79"/>
      <c r="AO10" s="79"/>
    </row>
    <row r="11" spans="1:41" s="43" customFormat="1" ht="41.25" customHeight="1">
      <c r="A11" s="789"/>
      <c r="B11" s="789"/>
      <c r="C11" s="790"/>
      <c r="D11" s="787"/>
      <c r="E11" s="792"/>
      <c r="F11" s="579"/>
      <c r="G11" s="774"/>
      <c r="H11" s="787"/>
      <c r="I11" s="783"/>
      <c r="J11" s="783"/>
      <c r="K11" s="783"/>
      <c r="L11" s="783"/>
      <c r="M11" s="785"/>
      <c r="N11" s="787"/>
      <c r="O11" s="787"/>
      <c r="P11" s="774"/>
      <c r="Q11" s="140" t="s">
        <v>113</v>
      </c>
      <c r="R11" s="140" t="s">
        <v>68</v>
      </c>
      <c r="S11" s="140" t="s">
        <v>60</v>
      </c>
      <c r="T11" s="138" t="s">
        <v>150</v>
      </c>
      <c r="U11" s="138" t="s">
        <v>151</v>
      </c>
      <c r="V11" s="138" t="s">
        <v>84</v>
      </c>
      <c r="W11" s="340" t="s">
        <v>169</v>
      </c>
      <c r="X11" s="138" t="s">
        <v>84</v>
      </c>
      <c r="Y11" s="340" t="s">
        <v>169</v>
      </c>
      <c r="Z11" s="777"/>
      <c r="AA11" s="774"/>
      <c r="AB11" s="777"/>
      <c r="AC11" s="778"/>
      <c r="AD11" s="84"/>
      <c r="AE11" s="79"/>
      <c r="AF11" s="79"/>
      <c r="AG11" s="79"/>
      <c r="AH11" s="79"/>
      <c r="AI11" s="79"/>
      <c r="AJ11" s="79"/>
      <c r="AK11" s="79"/>
      <c r="AL11" s="79"/>
      <c r="AM11" s="79"/>
      <c r="AN11" s="79"/>
      <c r="AO11" s="79"/>
    </row>
    <row r="12" spans="1:41" s="43" customFormat="1" ht="27.75" customHeight="1">
      <c r="A12" s="82" t="s">
        <v>154</v>
      </c>
      <c r="B12" s="252" t="s">
        <v>155</v>
      </c>
      <c r="C12" s="83" t="s">
        <v>156</v>
      </c>
      <c r="D12" s="83"/>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50"/>
      <c r="AA12" s="254" t="s">
        <v>177</v>
      </c>
      <c r="AB12" s="780" t="s">
        <v>171</v>
      </c>
      <c r="AC12" s="781"/>
      <c r="AD12" s="84"/>
      <c r="AE12" s="79"/>
      <c r="AF12" s="79"/>
      <c r="AG12" s="79"/>
      <c r="AH12" s="79"/>
      <c r="AI12" s="79"/>
      <c r="AJ12" s="79"/>
      <c r="AK12" s="79"/>
      <c r="AL12" s="79"/>
      <c r="AM12" s="79"/>
      <c r="AN12" s="79"/>
      <c r="AO12" s="79"/>
    </row>
    <row r="13" spans="1:41" s="104" customFormat="1" ht="40.5" customHeight="1">
      <c r="A13" s="238">
        <f>_xlfn.AGGREGATE(4,7,A$12:A12)+1</f>
        <v>1</v>
      </c>
      <c r="B13" s="239" t="s">
        <v>131</v>
      </c>
      <c r="C13" s="241" t="s">
        <v>357</v>
      </c>
      <c r="D13" s="242" t="str">
        <f>VLOOKUP(B13,[2]T3!$B$2:$D$328,3,FALSE)</f>
        <v>079083003027</v>
      </c>
      <c r="E13" s="551" t="s">
        <v>204</v>
      </c>
      <c r="F13" s="551"/>
      <c r="G13" s="552" t="s">
        <v>246</v>
      </c>
      <c r="H13" s="553">
        <v>8</v>
      </c>
      <c r="I13" s="246">
        <v>6585230</v>
      </c>
      <c r="J13" s="247"/>
      <c r="K13" s="246"/>
      <c r="L13" s="246">
        <f t="shared" ref="L13:L24" si="0">ROUND(I13+K13,0)</f>
        <v>6585230</v>
      </c>
      <c r="M13" s="246"/>
      <c r="N13" s="246">
        <f>L13/26*M13</f>
        <v>0</v>
      </c>
      <c r="O13" s="246"/>
      <c r="P13" s="246">
        <f t="shared" ref="P13:P24" si="1">L13-N13+O13</f>
        <v>6585230</v>
      </c>
      <c r="Q13" s="98">
        <f t="shared" ref="Q13:Q17" si="2">L13*8%</f>
        <v>526818.4</v>
      </c>
      <c r="R13" s="99">
        <f t="shared" ref="R13:R17" si="3">L13*1.5%</f>
        <v>98778.45</v>
      </c>
      <c r="S13" s="246">
        <f>L13*1%</f>
        <v>65852.3</v>
      </c>
      <c r="T13" s="248"/>
      <c r="U13" s="248">
        <f t="shared" ref="U13:U24" si="4">SUM(Q13:T13)</f>
        <v>691449.15</v>
      </c>
      <c r="V13" s="248"/>
      <c r="W13" s="248"/>
      <c r="X13" s="554"/>
      <c r="Y13" s="248"/>
      <c r="Z13" s="248"/>
      <c r="AA13" s="248">
        <f t="shared" ref="AA13:AA24" si="5">P13-U13+W13+Y13+Z13</f>
        <v>5893780.8499999996</v>
      </c>
      <c r="AB13" s="250">
        <f t="shared" ref="AB13:AB22" si="6">A13</f>
        <v>1</v>
      </c>
      <c r="AC13" s="251"/>
      <c r="AD13" s="120" t="s">
        <v>85</v>
      </c>
    </row>
    <row r="14" spans="1:41" s="104" customFormat="1" ht="30" customHeight="1">
      <c r="A14" s="238">
        <f>_xlfn.AGGREGATE(4,7,A$12:A13)+1</f>
        <v>2</v>
      </c>
      <c r="B14" s="94" t="s">
        <v>251</v>
      </c>
      <c r="C14" s="112" t="s">
        <v>357</v>
      </c>
      <c r="D14" s="228"/>
      <c r="E14" s="209" t="str">
        <f>VLOOKUP(B14,[1]LuongBC_T01!$B$277:$C$292,2,FALSE)</f>
        <v>0016100006651008</v>
      </c>
      <c r="F14" s="209"/>
      <c r="G14" s="97" t="s">
        <v>246</v>
      </c>
      <c r="H14" s="233">
        <v>6</v>
      </c>
      <c r="I14" s="98">
        <v>5972998</v>
      </c>
      <c r="J14" s="113"/>
      <c r="K14" s="98"/>
      <c r="L14" s="98">
        <f t="shared" si="0"/>
        <v>5972998</v>
      </c>
      <c r="M14" s="98"/>
      <c r="N14" s="98">
        <f>L14/26*M14</f>
        <v>0</v>
      </c>
      <c r="O14" s="98"/>
      <c r="P14" s="98">
        <f t="shared" si="1"/>
        <v>5972998</v>
      </c>
      <c r="Q14" s="98">
        <f t="shared" si="2"/>
        <v>477839.84</v>
      </c>
      <c r="R14" s="99">
        <f t="shared" si="3"/>
        <v>89594.97</v>
      </c>
      <c r="S14" s="98">
        <f>L14*1%</f>
        <v>59729.98</v>
      </c>
      <c r="T14" s="99"/>
      <c r="U14" s="99">
        <f t="shared" si="4"/>
        <v>627164.79</v>
      </c>
      <c r="V14" s="99"/>
      <c r="W14" s="99"/>
      <c r="X14" s="151"/>
      <c r="Y14" s="99"/>
      <c r="Z14" s="99"/>
      <c r="AA14" s="99">
        <f t="shared" si="5"/>
        <v>5345833.21</v>
      </c>
      <c r="AB14" s="101">
        <f t="shared" si="6"/>
        <v>2</v>
      </c>
      <c r="AC14" s="102"/>
      <c r="AD14" s="120"/>
    </row>
    <row r="15" spans="1:41" s="104" customFormat="1" ht="30.75" customHeight="1">
      <c r="A15" s="238">
        <f>_xlfn.AGGREGATE(4,7,A$12:A14)+1</f>
        <v>3</v>
      </c>
      <c r="B15" s="94" t="s">
        <v>252</v>
      </c>
      <c r="C15" s="112" t="s">
        <v>357</v>
      </c>
      <c r="D15" s="228"/>
      <c r="E15" s="209" t="str">
        <f>VLOOKUP(B15,[1]LuongBC_T01!$B$277:$C$292,2,FALSE)</f>
        <v>0016100006666005</v>
      </c>
      <c r="F15" s="209"/>
      <c r="G15" s="97" t="s">
        <v>246</v>
      </c>
      <c r="H15" s="233">
        <v>6</v>
      </c>
      <c r="I15" s="98">
        <v>5972998</v>
      </c>
      <c r="J15" s="113"/>
      <c r="K15" s="98"/>
      <c r="L15" s="98">
        <f t="shared" si="0"/>
        <v>5972998</v>
      </c>
      <c r="M15" s="98"/>
      <c r="N15" s="98">
        <f t="shared" ref="N15:N17" si="7">L15/26*M15</f>
        <v>0</v>
      </c>
      <c r="O15" s="98"/>
      <c r="P15" s="98">
        <f t="shared" si="1"/>
        <v>5972998</v>
      </c>
      <c r="Q15" s="98">
        <f t="shared" si="2"/>
        <v>477839.84</v>
      </c>
      <c r="R15" s="99">
        <f t="shared" si="3"/>
        <v>89594.97</v>
      </c>
      <c r="S15" s="98">
        <f t="shared" ref="S15:S17" si="8">L15*1%</f>
        <v>59729.98</v>
      </c>
      <c r="T15" s="99"/>
      <c r="U15" s="99">
        <f t="shared" si="4"/>
        <v>627164.79</v>
      </c>
      <c r="V15" s="99"/>
      <c r="W15" s="99"/>
      <c r="X15" s="151"/>
      <c r="Y15" s="99"/>
      <c r="Z15" s="99"/>
      <c r="AA15" s="99">
        <f t="shared" si="5"/>
        <v>5345833.21</v>
      </c>
      <c r="AB15" s="101">
        <f t="shared" si="6"/>
        <v>3</v>
      </c>
      <c r="AC15" s="102"/>
      <c r="AD15" s="120"/>
    </row>
    <row r="16" spans="1:41" s="104" customFormat="1" ht="29.25" customHeight="1">
      <c r="A16" s="202">
        <f>_xlfn.AGGREGATE(4,7,A$12:A15)+1</f>
        <v>4</v>
      </c>
      <c r="B16" s="94" t="s">
        <v>226</v>
      </c>
      <c r="C16" s="112" t="s">
        <v>357</v>
      </c>
      <c r="D16" s="228" t="str">
        <f>VLOOKUP(B16,[2]T3!$B$2:$D$328,3,FALSE)</f>
        <v>024110707</v>
      </c>
      <c r="E16" s="209"/>
      <c r="F16" s="209"/>
      <c r="G16" s="97" t="s">
        <v>246</v>
      </c>
      <c r="H16" s="233">
        <v>2</v>
      </c>
      <c r="I16" s="98">
        <v>4914000</v>
      </c>
      <c r="J16" s="113"/>
      <c r="K16" s="98"/>
      <c r="L16" s="98">
        <f t="shared" si="0"/>
        <v>4914000</v>
      </c>
      <c r="M16" s="98"/>
      <c r="N16" s="98">
        <f t="shared" si="7"/>
        <v>0</v>
      </c>
      <c r="O16" s="98"/>
      <c r="P16" s="98">
        <f t="shared" si="1"/>
        <v>4914000</v>
      </c>
      <c r="Q16" s="98">
        <f t="shared" si="2"/>
        <v>393120</v>
      </c>
      <c r="R16" s="99">
        <f t="shared" si="3"/>
        <v>73710</v>
      </c>
      <c r="S16" s="98">
        <f t="shared" si="8"/>
        <v>49140</v>
      </c>
      <c r="T16" s="99"/>
      <c r="U16" s="99">
        <f t="shared" si="4"/>
        <v>515970</v>
      </c>
      <c r="V16" s="99"/>
      <c r="W16" s="99"/>
      <c r="X16" s="151"/>
      <c r="Y16" s="99"/>
      <c r="Z16" s="99"/>
      <c r="AA16" s="99">
        <f t="shared" si="5"/>
        <v>4398030</v>
      </c>
      <c r="AB16" s="101">
        <f t="shared" si="6"/>
        <v>4</v>
      </c>
      <c r="AC16" s="102"/>
      <c r="AD16" s="102" t="s">
        <v>227</v>
      </c>
    </row>
    <row r="17" spans="1:39" s="566" customFormat="1" ht="31.5" customHeight="1">
      <c r="A17" s="202">
        <f>_xlfn.AGGREGATE(4,7,A$12:A16)+1</f>
        <v>5</v>
      </c>
      <c r="B17" s="464" t="s">
        <v>343</v>
      </c>
      <c r="C17" s="112" t="s">
        <v>55</v>
      </c>
      <c r="D17" s="223"/>
      <c r="E17" s="223" t="str">
        <f>INDEX([3]SACOM!$C$7:$C$335,MATCH(B17,[3]SACOM!$B$7:$B$335,0))</f>
        <v xml:space="preserve">060310667083 </v>
      </c>
      <c r="F17" s="223"/>
      <c r="G17" s="447" t="s">
        <v>245</v>
      </c>
      <c r="H17" s="448">
        <v>12</v>
      </c>
      <c r="I17" s="449">
        <v>8564695</v>
      </c>
      <c r="J17" s="456">
        <v>0.05</v>
      </c>
      <c r="K17" s="449">
        <f>I17*J17</f>
        <v>428234.75</v>
      </c>
      <c r="L17" s="449">
        <f t="shared" si="0"/>
        <v>8992930</v>
      </c>
      <c r="M17" s="449"/>
      <c r="N17" s="449">
        <f t="shared" si="7"/>
        <v>0</v>
      </c>
      <c r="O17" s="449"/>
      <c r="P17" s="449">
        <f t="shared" si="1"/>
        <v>8992930</v>
      </c>
      <c r="Q17" s="449">
        <f t="shared" si="2"/>
        <v>719434.4</v>
      </c>
      <c r="R17" s="451">
        <f t="shared" si="3"/>
        <v>134893.94999999998</v>
      </c>
      <c r="S17" s="449">
        <f t="shared" si="8"/>
        <v>89929.3</v>
      </c>
      <c r="T17" s="451"/>
      <c r="U17" s="451">
        <f t="shared" si="4"/>
        <v>944257.65</v>
      </c>
      <c r="V17" s="451"/>
      <c r="W17" s="451"/>
      <c r="X17" s="452"/>
      <c r="Y17" s="451"/>
      <c r="Z17" s="451"/>
      <c r="AA17" s="457">
        <f t="shared" si="5"/>
        <v>8048672.3499999996</v>
      </c>
      <c r="AB17" s="101">
        <f t="shared" si="6"/>
        <v>5</v>
      </c>
      <c r="AC17" s="102"/>
      <c r="AD17" s="102"/>
      <c r="AE17" s="120"/>
      <c r="AF17" s="116"/>
      <c r="AK17" s="565"/>
    </row>
    <row r="18" spans="1:39" s="566" customFormat="1" ht="29.25" customHeight="1">
      <c r="A18" s="202">
        <f>_xlfn.AGGREGATE(4,7,A$12:A17)+1</f>
        <v>6</v>
      </c>
      <c r="B18" s="464" t="s">
        <v>191</v>
      </c>
      <c r="C18" s="112" t="s">
        <v>55</v>
      </c>
      <c r="D18" s="223" t="s">
        <v>205</v>
      </c>
      <c r="E18" s="223" t="str">
        <f>INDEX([3]SACOM!$C$7:$C$335,MATCH(B18,[3]SACOM!$B$7:$B$335,0))</f>
        <v>060311132469</v>
      </c>
      <c r="F18" s="223"/>
      <c r="G18" s="447" t="s">
        <v>246</v>
      </c>
      <c r="H18" s="448">
        <v>4</v>
      </c>
      <c r="I18" s="449">
        <v>5417685</v>
      </c>
      <c r="J18" s="450"/>
      <c r="K18" s="449"/>
      <c r="L18" s="449">
        <f t="shared" si="0"/>
        <v>5417685</v>
      </c>
      <c r="M18" s="449"/>
      <c r="N18" s="449">
        <f>L18/26*M18</f>
        <v>0</v>
      </c>
      <c r="O18" s="449"/>
      <c r="P18" s="449">
        <f t="shared" si="1"/>
        <v>5417685</v>
      </c>
      <c r="Q18" s="449">
        <f>L18*8%</f>
        <v>433414.8</v>
      </c>
      <c r="R18" s="451">
        <f>L18*1.5%</f>
        <v>81265.274999999994</v>
      </c>
      <c r="S18" s="449">
        <f>L18*1%</f>
        <v>54176.85</v>
      </c>
      <c r="T18" s="451"/>
      <c r="U18" s="451">
        <f t="shared" si="4"/>
        <v>568856.92499999993</v>
      </c>
      <c r="V18" s="451"/>
      <c r="W18" s="451"/>
      <c r="X18" s="452"/>
      <c r="Y18" s="451"/>
      <c r="Z18" s="451"/>
      <c r="AA18" s="457">
        <f t="shared" si="5"/>
        <v>4848828.0750000002</v>
      </c>
      <c r="AB18" s="101">
        <f t="shared" si="6"/>
        <v>6</v>
      </c>
      <c r="AC18" s="102"/>
      <c r="AD18" s="102" t="s">
        <v>231</v>
      </c>
      <c r="AE18" s="120"/>
      <c r="AF18" s="116"/>
      <c r="AK18" s="565"/>
    </row>
    <row r="19" spans="1:39" s="566" customFormat="1" ht="30.75" customHeight="1">
      <c r="A19" s="238">
        <f>_xlfn.AGGREGATE(4,7,A$12:A18)+1</f>
        <v>7</v>
      </c>
      <c r="B19" s="464" t="s">
        <v>250</v>
      </c>
      <c r="C19" s="112" t="s">
        <v>55</v>
      </c>
      <c r="D19" s="223" t="str">
        <f>VLOOKUP(B19,[1]LuongBC_T01!$B$277:$C$292,2,FALSE)</f>
        <v>0016100006668008</v>
      </c>
      <c r="E19" s="223" t="str">
        <f>INDEX([3]SACOM!$C$7:$C$335,MATCH(B19,[3]SACOM!$B$7:$B$335,0))</f>
        <v>060311132264</v>
      </c>
      <c r="F19" s="223"/>
      <c r="G19" s="447" t="s">
        <v>246</v>
      </c>
      <c r="H19" s="448">
        <v>9</v>
      </c>
      <c r="I19" s="449">
        <v>6914491</v>
      </c>
      <c r="J19" s="450"/>
      <c r="K19" s="449"/>
      <c r="L19" s="449">
        <f t="shared" si="0"/>
        <v>6914491</v>
      </c>
      <c r="M19" s="449"/>
      <c r="N19" s="449">
        <f>L19/26*M19</f>
        <v>0</v>
      </c>
      <c r="O19" s="449"/>
      <c r="P19" s="449">
        <f t="shared" si="1"/>
        <v>6914491</v>
      </c>
      <c r="Q19" s="449">
        <f>L19*8%</f>
        <v>553159.28</v>
      </c>
      <c r="R19" s="451">
        <f>L19*1.5%</f>
        <v>103717.36499999999</v>
      </c>
      <c r="S19" s="449">
        <f>L19*1%</f>
        <v>69144.91</v>
      </c>
      <c r="T19" s="451"/>
      <c r="U19" s="451">
        <f t="shared" si="4"/>
        <v>726021.55500000005</v>
      </c>
      <c r="V19" s="451"/>
      <c r="W19" s="451"/>
      <c r="X19" s="452"/>
      <c r="Y19" s="451"/>
      <c r="Z19" s="451"/>
      <c r="AA19" s="457">
        <f t="shared" si="5"/>
        <v>6188469.4450000003</v>
      </c>
      <c r="AB19" s="101">
        <f t="shared" si="6"/>
        <v>7</v>
      </c>
      <c r="AC19" s="102"/>
      <c r="AD19" s="565"/>
      <c r="AE19" s="429"/>
      <c r="AF19" s="583"/>
      <c r="AG19" s="583"/>
      <c r="AH19" s="583"/>
      <c r="AI19" s="583"/>
      <c r="AJ19" s="583"/>
      <c r="AK19" s="429"/>
      <c r="AL19" s="583"/>
      <c r="AM19" s="583"/>
    </row>
    <row r="20" spans="1:39" s="566" customFormat="1" ht="34.5" customHeight="1">
      <c r="A20" s="238">
        <f>_xlfn.AGGREGATE(4,7,A$12:A19)+1</f>
        <v>8</v>
      </c>
      <c r="B20" s="464" t="s">
        <v>243</v>
      </c>
      <c r="C20" s="112" t="s">
        <v>55</v>
      </c>
      <c r="D20" s="223"/>
      <c r="E20" s="223" t="str">
        <f>INDEX([3]SACOM!$C$7:$C$335,MATCH(B20,[3]SACOM!$B$7:$B$335,0))</f>
        <v>060310664343</v>
      </c>
      <c r="F20" s="223"/>
      <c r="G20" s="447" t="s">
        <v>242</v>
      </c>
      <c r="H20" s="448">
        <v>3</v>
      </c>
      <c r="I20" s="449">
        <v>6134525</v>
      </c>
      <c r="J20" s="450"/>
      <c r="K20" s="449"/>
      <c r="L20" s="449">
        <f t="shared" si="0"/>
        <v>6134525</v>
      </c>
      <c r="M20" s="449"/>
      <c r="N20" s="449">
        <f>L20/26*M20</f>
        <v>0</v>
      </c>
      <c r="O20" s="449"/>
      <c r="P20" s="449">
        <f t="shared" si="1"/>
        <v>6134525</v>
      </c>
      <c r="Q20" s="449"/>
      <c r="R20" s="451"/>
      <c r="S20" s="449"/>
      <c r="T20" s="451"/>
      <c r="U20" s="451">
        <f t="shared" si="4"/>
        <v>0</v>
      </c>
      <c r="V20" s="451"/>
      <c r="W20" s="451"/>
      <c r="X20" s="451"/>
      <c r="Y20" s="451"/>
      <c r="Z20" s="451"/>
      <c r="AA20" s="457">
        <f t="shared" si="5"/>
        <v>6134525</v>
      </c>
      <c r="AB20" s="101">
        <f t="shared" si="6"/>
        <v>8</v>
      </c>
      <c r="AC20" s="118"/>
      <c r="AD20" s="367"/>
      <c r="AE20" s="232"/>
      <c r="AF20" s="232"/>
      <c r="AG20" s="110"/>
      <c r="AH20" s="110"/>
      <c r="AK20" s="111"/>
    </row>
    <row r="21" spans="1:39" s="566" customFormat="1" ht="35.450000000000003" customHeight="1">
      <c r="A21" s="238">
        <f>_xlfn.AGGREGATE(4,7,A$12:A20)+1</f>
        <v>9</v>
      </c>
      <c r="B21" s="464" t="s">
        <v>249</v>
      </c>
      <c r="C21" s="112" t="s">
        <v>55</v>
      </c>
      <c r="D21" s="223" t="str">
        <f>VLOOKUP(B21,[1]LuongBC_T01!$B$277:$C$292,2,FALSE)</f>
        <v>0016100006650001</v>
      </c>
      <c r="E21" s="223" t="str">
        <f>INDEX([3]SACOM!$C$7:$C$335,MATCH(B21,[3]SACOM!$B$7:$B$335,0))</f>
        <v>060282740322</v>
      </c>
      <c r="F21" s="223"/>
      <c r="G21" s="447" t="s">
        <v>246</v>
      </c>
      <c r="H21" s="448">
        <v>11</v>
      </c>
      <c r="I21" s="449">
        <v>7623227</v>
      </c>
      <c r="J21" s="450"/>
      <c r="K21" s="449"/>
      <c r="L21" s="449">
        <f t="shared" si="0"/>
        <v>7623227</v>
      </c>
      <c r="M21" s="449"/>
      <c r="N21" s="449">
        <f>L21/26*M21</f>
        <v>0</v>
      </c>
      <c r="O21" s="449"/>
      <c r="P21" s="449">
        <f t="shared" si="1"/>
        <v>7623227</v>
      </c>
      <c r="Q21" s="449">
        <f t="shared" ref="Q21:Q24" si="9">L21*8%</f>
        <v>609858.16</v>
      </c>
      <c r="R21" s="451">
        <f t="shared" ref="R21:R24" si="10">L21*1.5%</f>
        <v>114348.405</v>
      </c>
      <c r="S21" s="449">
        <f t="shared" ref="S21:S24" si="11">L21*1%</f>
        <v>76232.27</v>
      </c>
      <c r="T21" s="451"/>
      <c r="U21" s="451">
        <f t="shared" si="4"/>
        <v>800438.83500000008</v>
      </c>
      <c r="V21" s="451"/>
      <c r="W21" s="451"/>
      <c r="X21" s="452"/>
      <c r="Y21" s="451"/>
      <c r="Z21" s="451"/>
      <c r="AA21" s="457">
        <f t="shared" si="5"/>
        <v>6822788.165</v>
      </c>
      <c r="AB21" s="101">
        <f t="shared" si="6"/>
        <v>9</v>
      </c>
      <c r="AC21" s="102"/>
      <c r="AD21" s="565"/>
      <c r="AE21" s="565"/>
      <c r="AK21" s="565"/>
    </row>
    <row r="22" spans="1:39" s="566" customFormat="1" ht="30" customHeight="1">
      <c r="A22" s="238">
        <f>_xlfn.AGGREGATE(4,7,A$12:A21)+1</f>
        <v>10</v>
      </c>
      <c r="B22" s="464" t="s">
        <v>306</v>
      </c>
      <c r="C22" s="112" t="s">
        <v>55</v>
      </c>
      <c r="D22" s="223"/>
      <c r="E22" s="223" t="str">
        <f>INDEX([3]SACOM!$C$7:$C$335,MATCH(B22,[3]SACOM!$B$7:$B$335,0))</f>
        <v xml:space="preserve">060310672796 </v>
      </c>
      <c r="F22" s="223"/>
      <c r="G22" s="447" t="s">
        <v>242</v>
      </c>
      <c r="H22" s="448">
        <v>2</v>
      </c>
      <c r="I22" s="449">
        <v>5733201</v>
      </c>
      <c r="J22" s="450"/>
      <c r="K22" s="449"/>
      <c r="L22" s="449">
        <f t="shared" si="0"/>
        <v>5733201</v>
      </c>
      <c r="M22" s="449"/>
      <c r="N22" s="449">
        <f t="shared" ref="N22:N24" si="12">L22/26*M22</f>
        <v>0</v>
      </c>
      <c r="O22" s="449"/>
      <c r="P22" s="449">
        <f t="shared" si="1"/>
        <v>5733201</v>
      </c>
      <c r="Q22" s="449">
        <f t="shared" si="9"/>
        <v>458656.08</v>
      </c>
      <c r="R22" s="451">
        <f t="shared" si="10"/>
        <v>85998.014999999999</v>
      </c>
      <c r="S22" s="449">
        <f t="shared" si="11"/>
        <v>57332.01</v>
      </c>
      <c r="T22" s="451"/>
      <c r="U22" s="451">
        <f t="shared" si="4"/>
        <v>601986.10499999998</v>
      </c>
      <c r="V22" s="451"/>
      <c r="W22" s="453"/>
      <c r="X22" s="453"/>
      <c r="Y22" s="453"/>
      <c r="Z22" s="453"/>
      <c r="AA22" s="457">
        <f t="shared" si="5"/>
        <v>5131214.8949999996</v>
      </c>
      <c r="AB22" s="101">
        <f t="shared" si="6"/>
        <v>10</v>
      </c>
      <c r="AC22" s="255"/>
      <c r="AD22" s="255" t="s">
        <v>308</v>
      </c>
      <c r="AE22" s="117"/>
      <c r="AF22" s="144"/>
      <c r="AK22" s="565"/>
    </row>
    <row r="23" spans="1:39" s="566" customFormat="1" ht="30" customHeight="1">
      <c r="A23" s="238">
        <f>_xlfn.AGGREGATE(4,7,A$12:A22)+1</f>
        <v>11</v>
      </c>
      <c r="B23" s="501" t="s">
        <v>410</v>
      </c>
      <c r="C23" s="112" t="s">
        <v>55</v>
      </c>
      <c r="D23" s="223"/>
      <c r="E23" s="223" t="str">
        <f>INDEX([3]SACOM!$C$7:$C$335,MATCH(B23,[3]SACOM!$B$7:$B$335,0))</f>
        <v>060901910739</v>
      </c>
      <c r="F23" s="223"/>
      <c r="G23" s="447" t="s">
        <v>246</v>
      </c>
      <c r="H23" s="448">
        <v>1</v>
      </c>
      <c r="I23" s="449">
        <v>4680000</v>
      </c>
      <c r="J23" s="450"/>
      <c r="K23" s="449"/>
      <c r="L23" s="449">
        <f t="shared" si="0"/>
        <v>4680000</v>
      </c>
      <c r="M23" s="449"/>
      <c r="N23" s="449">
        <f t="shared" si="12"/>
        <v>0</v>
      </c>
      <c r="O23" s="449"/>
      <c r="P23" s="449">
        <f t="shared" si="1"/>
        <v>4680000</v>
      </c>
      <c r="Q23" s="449">
        <f t="shared" si="9"/>
        <v>374400</v>
      </c>
      <c r="R23" s="451">
        <f t="shared" si="10"/>
        <v>70200</v>
      </c>
      <c r="S23" s="449">
        <f t="shared" si="11"/>
        <v>46800</v>
      </c>
      <c r="T23" s="451"/>
      <c r="U23" s="451">
        <f t="shared" si="4"/>
        <v>491400</v>
      </c>
      <c r="V23" s="451"/>
      <c r="W23" s="453"/>
      <c r="X23" s="453"/>
      <c r="Y23" s="453"/>
      <c r="Z23" s="453"/>
      <c r="AA23" s="457">
        <f t="shared" si="5"/>
        <v>4188600</v>
      </c>
      <c r="AB23" s="101"/>
      <c r="AC23" s="255"/>
      <c r="AD23" s="255" t="s">
        <v>415</v>
      </c>
      <c r="AE23" s="117"/>
      <c r="AF23" s="144"/>
      <c r="AK23" s="565"/>
    </row>
    <row r="24" spans="1:39" s="566" customFormat="1" ht="30" customHeight="1">
      <c r="A24" s="238">
        <f>_xlfn.AGGREGATE(4,7,A$12:A23)+1</f>
        <v>12</v>
      </c>
      <c r="B24" s="501" t="s">
        <v>419</v>
      </c>
      <c r="C24" s="112" t="s">
        <v>55</v>
      </c>
      <c r="D24" s="223"/>
      <c r="E24" s="223" t="str">
        <f>INDEX([3]SACOM!$C$7:$C$335,MATCH(B24,[3]SACOM!$B$7:$B$335,0))</f>
        <v>060311114691</v>
      </c>
      <c r="F24" s="223"/>
      <c r="G24" s="447" t="s">
        <v>246</v>
      </c>
      <c r="H24" s="448">
        <v>1</v>
      </c>
      <c r="I24" s="449">
        <v>4680000</v>
      </c>
      <c r="J24" s="450"/>
      <c r="K24" s="449"/>
      <c r="L24" s="449">
        <f t="shared" si="0"/>
        <v>4680000</v>
      </c>
      <c r="M24" s="449"/>
      <c r="N24" s="449">
        <f t="shared" si="12"/>
        <v>0</v>
      </c>
      <c r="O24" s="449"/>
      <c r="P24" s="449">
        <f t="shared" si="1"/>
        <v>4680000</v>
      </c>
      <c r="Q24" s="449">
        <f t="shared" si="9"/>
        <v>374400</v>
      </c>
      <c r="R24" s="451">
        <f t="shared" si="10"/>
        <v>70200</v>
      </c>
      <c r="S24" s="449">
        <f t="shared" si="11"/>
        <v>46800</v>
      </c>
      <c r="T24" s="451"/>
      <c r="U24" s="451">
        <f t="shared" si="4"/>
        <v>491400</v>
      </c>
      <c r="V24" s="451"/>
      <c r="W24" s="453"/>
      <c r="X24" s="453"/>
      <c r="Y24" s="453"/>
      <c r="Z24" s="453"/>
      <c r="AA24" s="457">
        <f t="shared" si="5"/>
        <v>4188600</v>
      </c>
      <c r="AB24" s="101"/>
      <c r="AC24" s="255"/>
      <c r="AD24" s="255" t="s">
        <v>418</v>
      </c>
      <c r="AE24" s="117"/>
      <c r="AF24" s="144"/>
      <c r="AK24" s="565"/>
    </row>
    <row r="25" spans="1:39" s="104" customFormat="1" ht="28.5" customHeight="1">
      <c r="A25" s="238">
        <f>_xlfn.AGGREGATE(4,7,A$12:A24)+1</f>
        <v>13</v>
      </c>
      <c r="B25" s="94" t="s">
        <v>289</v>
      </c>
      <c r="C25" s="112" t="s">
        <v>355</v>
      </c>
      <c r="D25" s="266"/>
      <c r="E25" s="223" t="s">
        <v>323</v>
      </c>
      <c r="F25" s="223"/>
      <c r="G25" s="97" t="s">
        <v>246</v>
      </c>
      <c r="H25" s="233">
        <v>3</v>
      </c>
      <c r="I25" s="98">
        <v>5159700</v>
      </c>
      <c r="J25" s="113"/>
      <c r="K25" s="98"/>
      <c r="L25" s="267">
        <f t="shared" ref="L25:L39" si="13">ROUND(I25+K25,0)</f>
        <v>5159700</v>
      </c>
      <c r="M25" s="98"/>
      <c r="N25" s="98">
        <f t="shared" ref="N25:N39" si="14">L25/26*M25</f>
        <v>0</v>
      </c>
      <c r="O25" s="98"/>
      <c r="P25" s="98">
        <f t="shared" ref="P25:P39" si="15">L25-N25+O25</f>
        <v>5159700</v>
      </c>
      <c r="Q25" s="98">
        <f t="shared" ref="Q25:Q39" si="16">L25*8%</f>
        <v>412776</v>
      </c>
      <c r="R25" s="99">
        <f t="shared" ref="R25:R39" si="17">L25*1.5%</f>
        <v>77395.5</v>
      </c>
      <c r="S25" s="98">
        <f t="shared" ref="S25:S39" si="18">L25*1%</f>
        <v>51597</v>
      </c>
      <c r="T25" s="99"/>
      <c r="U25" s="99">
        <f t="shared" ref="U25:U39" si="19">SUM(Q25:T25)</f>
        <v>541768.5</v>
      </c>
      <c r="V25" s="99"/>
      <c r="W25" s="100"/>
      <c r="X25" s="100"/>
      <c r="Y25" s="100"/>
      <c r="Z25" s="100"/>
      <c r="AA25" s="99">
        <f t="shared" ref="AA25:AA39" si="20">P25-U25+W25+Y25+Z25</f>
        <v>4617931.5</v>
      </c>
      <c r="AB25" s="101">
        <f t="shared" ref="AB25:AB38" si="21">A25</f>
        <v>13</v>
      </c>
      <c r="AC25" s="102"/>
      <c r="AD25" s="255" t="s">
        <v>284</v>
      </c>
    </row>
    <row r="26" spans="1:39" s="104" customFormat="1" ht="36.75" customHeight="1">
      <c r="A26" s="238">
        <f>_xlfn.AGGREGATE(4,7,A$12:A25)+1</f>
        <v>14</v>
      </c>
      <c r="B26" s="94" t="s">
        <v>286</v>
      </c>
      <c r="C26" s="112" t="s">
        <v>356</v>
      </c>
      <c r="D26" s="266"/>
      <c r="E26" s="223" t="s">
        <v>322</v>
      </c>
      <c r="F26" s="223"/>
      <c r="G26" s="97" t="s">
        <v>245</v>
      </c>
      <c r="H26" s="233">
        <v>2</v>
      </c>
      <c r="I26" s="98">
        <v>5257980</v>
      </c>
      <c r="J26" s="113"/>
      <c r="K26" s="98"/>
      <c r="L26" s="267">
        <f t="shared" si="13"/>
        <v>5257980</v>
      </c>
      <c r="M26" s="98"/>
      <c r="N26" s="98">
        <f t="shared" si="14"/>
        <v>0</v>
      </c>
      <c r="O26" s="98"/>
      <c r="P26" s="98">
        <f t="shared" si="15"/>
        <v>5257980</v>
      </c>
      <c r="Q26" s="98">
        <f t="shared" si="16"/>
        <v>420638.4</v>
      </c>
      <c r="R26" s="99">
        <f t="shared" si="17"/>
        <v>78869.7</v>
      </c>
      <c r="S26" s="98">
        <f t="shared" si="18"/>
        <v>52579.8</v>
      </c>
      <c r="T26" s="99"/>
      <c r="U26" s="99">
        <f t="shared" si="19"/>
        <v>552087.9</v>
      </c>
      <c r="V26" s="99"/>
      <c r="W26" s="100"/>
      <c r="X26" s="100"/>
      <c r="Y26" s="100"/>
      <c r="Z26" s="100"/>
      <c r="AA26" s="99">
        <f t="shared" si="20"/>
        <v>4705892.0999999996</v>
      </c>
      <c r="AB26" s="101">
        <f t="shared" si="21"/>
        <v>14</v>
      </c>
      <c r="AC26" s="102"/>
      <c r="AD26" s="255" t="s">
        <v>284</v>
      </c>
    </row>
    <row r="27" spans="1:39" s="500" customFormat="1" ht="29.45" customHeight="1">
      <c r="A27" s="238">
        <f>_xlfn.AGGREGATE(4,7,A$12:A26)+1</f>
        <v>15</v>
      </c>
      <c r="B27" s="593" t="s">
        <v>431</v>
      </c>
      <c r="C27" s="112" t="s">
        <v>166</v>
      </c>
      <c r="D27" s="223" t="s">
        <v>202</v>
      </c>
      <c r="E27" s="223" t="str">
        <f>INDEX([3]SACOM!$C$7:$C$335,MATCH(B27,[3]SACOM!$B$7:$B$335,0))</f>
        <v>060310750274</v>
      </c>
      <c r="F27" s="223"/>
      <c r="G27" s="454" t="s">
        <v>245</v>
      </c>
      <c r="H27" s="455">
        <v>6</v>
      </c>
      <c r="I27" s="449">
        <v>6391108</v>
      </c>
      <c r="J27" s="450"/>
      <c r="K27" s="449"/>
      <c r="L27" s="449">
        <f t="shared" si="13"/>
        <v>6391108</v>
      </c>
      <c r="M27" s="449"/>
      <c r="N27" s="449">
        <f t="shared" si="14"/>
        <v>0</v>
      </c>
      <c r="O27" s="449"/>
      <c r="P27" s="449">
        <f t="shared" si="15"/>
        <v>6391108</v>
      </c>
      <c r="Q27" s="449">
        <f t="shared" si="16"/>
        <v>511288.64</v>
      </c>
      <c r="R27" s="451">
        <f t="shared" si="17"/>
        <v>95866.62</v>
      </c>
      <c r="S27" s="449">
        <f t="shared" si="18"/>
        <v>63911.08</v>
      </c>
      <c r="T27" s="451"/>
      <c r="U27" s="451">
        <f t="shared" si="19"/>
        <v>671066.34</v>
      </c>
      <c r="V27" s="451"/>
      <c r="W27" s="451"/>
      <c r="X27" s="451"/>
      <c r="Y27" s="451"/>
      <c r="Z27" s="451"/>
      <c r="AA27" s="457">
        <f t="shared" si="20"/>
        <v>5720041.6600000001</v>
      </c>
      <c r="AB27" s="101">
        <f t="shared" si="21"/>
        <v>15</v>
      </c>
      <c r="AC27" s="102"/>
      <c r="AD27" s="117">
        <f>3.33*1390000</f>
        <v>4628700</v>
      </c>
      <c r="AE27" s="754"/>
      <c r="AF27" s="755"/>
      <c r="AG27" s="755"/>
      <c r="AK27" s="119"/>
    </row>
    <row r="28" spans="1:39" s="500" customFormat="1" ht="37.5" customHeight="1">
      <c r="A28" s="238">
        <f>_xlfn.AGGREGATE(4,7,A$12:A27)+1</f>
        <v>16</v>
      </c>
      <c r="B28" s="464" t="s">
        <v>256</v>
      </c>
      <c r="C28" s="112" t="s">
        <v>257</v>
      </c>
      <c r="D28" s="223" t="str">
        <f>VLOOKUP(B28,[1]LuongBC_T01!$B$277:$C$292,2,FALSE)</f>
        <v>0016100006675004</v>
      </c>
      <c r="E28" s="223" t="str">
        <f>INDEX([3]SACOM!$C$7:$C$335,MATCH(B28,[3]SACOM!$B$7:$B$335,0))</f>
        <v>060310749314</v>
      </c>
      <c r="F28" s="223"/>
      <c r="G28" s="454" t="s">
        <v>245</v>
      </c>
      <c r="H28" s="455">
        <v>5</v>
      </c>
      <c r="I28" s="449">
        <v>6086769</v>
      </c>
      <c r="J28" s="450"/>
      <c r="K28" s="449"/>
      <c r="L28" s="449">
        <f t="shared" si="13"/>
        <v>6086769</v>
      </c>
      <c r="M28" s="449"/>
      <c r="N28" s="449">
        <f t="shared" si="14"/>
        <v>0</v>
      </c>
      <c r="O28" s="449"/>
      <c r="P28" s="449">
        <f t="shared" si="15"/>
        <v>6086769</v>
      </c>
      <c r="Q28" s="449">
        <f t="shared" si="16"/>
        <v>486941.52</v>
      </c>
      <c r="R28" s="451">
        <f t="shared" si="17"/>
        <v>91301.535000000003</v>
      </c>
      <c r="S28" s="449">
        <f t="shared" si="18"/>
        <v>60867.69</v>
      </c>
      <c r="T28" s="451"/>
      <c r="U28" s="451">
        <f t="shared" si="19"/>
        <v>639110.74500000011</v>
      </c>
      <c r="V28" s="451"/>
      <c r="W28" s="453"/>
      <c r="X28" s="453"/>
      <c r="Y28" s="453"/>
      <c r="Z28" s="453"/>
      <c r="AA28" s="457">
        <f t="shared" si="20"/>
        <v>5447658.2549999999</v>
      </c>
      <c r="AB28" s="101">
        <f t="shared" si="21"/>
        <v>16</v>
      </c>
      <c r="AC28" s="102"/>
      <c r="AD28" s="102"/>
      <c r="AE28" s="109"/>
      <c r="AF28" s="110"/>
      <c r="AG28" s="110"/>
      <c r="AH28" s="110"/>
      <c r="AI28" s="110"/>
      <c r="AJ28" s="109"/>
      <c r="AK28" s="111"/>
    </row>
    <row r="29" spans="1:39" s="516" customFormat="1" ht="32.450000000000003" customHeight="1">
      <c r="A29" s="238">
        <f>_xlfn.AGGREGATE(4,7,A$12:A28)+1</f>
        <v>17</v>
      </c>
      <c r="B29" s="464" t="s">
        <v>248</v>
      </c>
      <c r="C29" s="112" t="s">
        <v>8</v>
      </c>
      <c r="D29" s="223" t="str">
        <f>VLOOKUP(B29,[1]LuongBC_T01!$B$277:$C$292,2,FALSE)</f>
        <v>0016100006677007</v>
      </c>
      <c r="E29" s="223" t="str">
        <f>INDEX([3]SACOM!$C$7:$C$335,MATCH(B29,[3]SACOM!$B$7:$B$335,0))</f>
        <v>060310750797</v>
      </c>
      <c r="F29" s="223"/>
      <c r="G29" s="454" t="s">
        <v>246</v>
      </c>
      <c r="H29" s="448">
        <v>12</v>
      </c>
      <c r="I29" s="449">
        <v>8004388</v>
      </c>
      <c r="J29" s="450"/>
      <c r="K29" s="449"/>
      <c r="L29" s="449">
        <f t="shared" si="13"/>
        <v>8004388</v>
      </c>
      <c r="M29" s="449"/>
      <c r="N29" s="449">
        <f t="shared" si="14"/>
        <v>0</v>
      </c>
      <c r="O29" s="449"/>
      <c r="P29" s="449">
        <f t="shared" si="15"/>
        <v>8004388</v>
      </c>
      <c r="Q29" s="449">
        <f t="shared" si="16"/>
        <v>640351.04</v>
      </c>
      <c r="R29" s="451">
        <f t="shared" si="17"/>
        <v>120065.81999999999</v>
      </c>
      <c r="S29" s="449">
        <f t="shared" si="18"/>
        <v>80043.88</v>
      </c>
      <c r="T29" s="451"/>
      <c r="U29" s="451">
        <f t="shared" si="19"/>
        <v>840460.74</v>
      </c>
      <c r="V29" s="452"/>
      <c r="W29" s="451"/>
      <c r="X29" s="451"/>
      <c r="Y29" s="451"/>
      <c r="Z29" s="451"/>
      <c r="AA29" s="457">
        <f t="shared" si="20"/>
        <v>7163927.2599999998</v>
      </c>
      <c r="AB29" s="101">
        <f t="shared" si="21"/>
        <v>17</v>
      </c>
      <c r="AC29" s="102"/>
      <c r="AD29" s="117"/>
      <c r="AE29" s="234"/>
      <c r="AF29" s="110"/>
      <c r="AG29" s="110"/>
      <c r="AI29" s="144"/>
      <c r="AK29" s="111"/>
    </row>
    <row r="30" spans="1:39" s="361" customFormat="1" ht="29.25" customHeight="1">
      <c r="A30" s="238">
        <f>_xlfn.AGGREGATE(4,7,A$12:A29)+1</f>
        <v>18</v>
      </c>
      <c r="B30" s="464" t="s">
        <v>253</v>
      </c>
      <c r="C30" s="112" t="s">
        <v>8</v>
      </c>
      <c r="D30" s="223"/>
      <c r="E30" s="223" t="str">
        <f>INDEX([3]SACOM!$C$7:$C$335,MATCH(B30,[3]SACOM!$B$7:$B$335,0))</f>
        <v>060310748369</v>
      </c>
      <c r="F30" s="223"/>
      <c r="G30" s="447" t="s">
        <v>246</v>
      </c>
      <c r="H30" s="448">
        <v>2</v>
      </c>
      <c r="I30" s="449">
        <v>4914000</v>
      </c>
      <c r="J30" s="450"/>
      <c r="K30" s="449"/>
      <c r="L30" s="449">
        <f t="shared" si="13"/>
        <v>4914000</v>
      </c>
      <c r="M30" s="449"/>
      <c r="N30" s="449">
        <f t="shared" si="14"/>
        <v>0</v>
      </c>
      <c r="O30" s="449"/>
      <c r="P30" s="449">
        <f t="shared" si="15"/>
        <v>4914000</v>
      </c>
      <c r="Q30" s="449">
        <f t="shared" si="16"/>
        <v>393120</v>
      </c>
      <c r="R30" s="451">
        <f t="shared" si="17"/>
        <v>73710</v>
      </c>
      <c r="S30" s="449">
        <f t="shared" si="18"/>
        <v>49140</v>
      </c>
      <c r="T30" s="451"/>
      <c r="U30" s="451">
        <f t="shared" si="19"/>
        <v>515970</v>
      </c>
      <c r="V30" s="451"/>
      <c r="W30" s="451"/>
      <c r="X30" s="452"/>
      <c r="Y30" s="451"/>
      <c r="Z30" s="451"/>
      <c r="AA30" s="457">
        <f t="shared" si="20"/>
        <v>4398030</v>
      </c>
      <c r="AB30" s="101">
        <f t="shared" si="21"/>
        <v>18</v>
      </c>
      <c r="AC30" s="102"/>
      <c r="AD30" s="102"/>
      <c r="AE30" s="426"/>
      <c r="AF30" s="427"/>
      <c r="AG30" s="428"/>
      <c r="AH30" s="515"/>
      <c r="AI30" s="428"/>
      <c r="AJ30" s="428"/>
      <c r="AK30" s="429"/>
      <c r="AL30" s="428"/>
      <c r="AM30" s="428"/>
    </row>
    <row r="31" spans="1:39" s="104" customFormat="1" ht="39" customHeight="1">
      <c r="A31" s="238">
        <f>_xlfn.AGGREGATE(4,7,A$12:A30)+1</f>
        <v>19</v>
      </c>
      <c r="B31" s="464" t="s">
        <v>276</v>
      </c>
      <c r="C31" s="112" t="s">
        <v>277</v>
      </c>
      <c r="D31" s="223"/>
      <c r="E31" s="223" t="str">
        <f>INDEX([3]SACOM!$C$7:$C$335,MATCH(B31,[3]SACOM!$B$7:$B$335,0))</f>
        <v>060310750339</v>
      </c>
      <c r="F31" s="223"/>
      <c r="G31" s="447" t="s">
        <v>246</v>
      </c>
      <c r="H31" s="448">
        <v>2</v>
      </c>
      <c r="I31" s="449">
        <v>4914000</v>
      </c>
      <c r="J31" s="450"/>
      <c r="K31" s="449"/>
      <c r="L31" s="449">
        <f t="shared" si="13"/>
        <v>4914000</v>
      </c>
      <c r="M31" s="449"/>
      <c r="N31" s="449">
        <f t="shared" si="14"/>
        <v>0</v>
      </c>
      <c r="O31" s="449"/>
      <c r="P31" s="449">
        <f t="shared" si="15"/>
        <v>4914000</v>
      </c>
      <c r="Q31" s="449">
        <f t="shared" si="16"/>
        <v>393120</v>
      </c>
      <c r="R31" s="451">
        <f t="shared" si="17"/>
        <v>73710</v>
      </c>
      <c r="S31" s="449">
        <f t="shared" si="18"/>
        <v>49140</v>
      </c>
      <c r="T31" s="451"/>
      <c r="U31" s="451">
        <f t="shared" si="19"/>
        <v>515970</v>
      </c>
      <c r="V31" s="451"/>
      <c r="W31" s="453"/>
      <c r="X31" s="453"/>
      <c r="Y31" s="453"/>
      <c r="Z31" s="453"/>
      <c r="AA31" s="457">
        <f t="shared" si="20"/>
        <v>4398030</v>
      </c>
      <c r="AB31" s="101">
        <f t="shared" si="21"/>
        <v>19</v>
      </c>
      <c r="AC31" s="255"/>
      <c r="AD31" s="255" t="s">
        <v>278</v>
      </c>
      <c r="AE31" s="431"/>
      <c r="AF31" s="432"/>
      <c r="AG31" s="428"/>
      <c r="AH31" s="42"/>
      <c r="AI31" s="42"/>
      <c r="AJ31" s="42"/>
      <c r="AK31" s="58"/>
      <c r="AL31" s="42"/>
      <c r="AM31" s="42"/>
    </row>
    <row r="32" spans="1:39" s="104" customFormat="1" ht="38.25" customHeight="1">
      <c r="A32" s="238">
        <f>_xlfn.AGGREGATE(4,7,A$12:A31)+1</f>
        <v>20</v>
      </c>
      <c r="B32" s="464" t="s">
        <v>303</v>
      </c>
      <c r="C32" s="112" t="s">
        <v>304</v>
      </c>
      <c r="D32" s="223"/>
      <c r="E32" s="223" t="str">
        <f>INDEX([3]SACOM!$C$7:$C$335,MATCH(B32,[3]SACOM!$B$7:$B$335,0))</f>
        <v>060311534699</v>
      </c>
      <c r="F32" s="223"/>
      <c r="G32" s="447" t="s">
        <v>246</v>
      </c>
      <c r="H32" s="448">
        <v>2</v>
      </c>
      <c r="I32" s="449">
        <v>4914000</v>
      </c>
      <c r="J32" s="450"/>
      <c r="K32" s="449"/>
      <c r="L32" s="449">
        <f t="shared" si="13"/>
        <v>4914000</v>
      </c>
      <c r="M32" s="449"/>
      <c r="N32" s="449">
        <f t="shared" si="14"/>
        <v>0</v>
      </c>
      <c r="O32" s="449"/>
      <c r="P32" s="449">
        <f t="shared" si="15"/>
        <v>4914000</v>
      </c>
      <c r="Q32" s="449">
        <f t="shared" si="16"/>
        <v>393120</v>
      </c>
      <c r="R32" s="451">
        <f t="shared" si="17"/>
        <v>73710</v>
      </c>
      <c r="S32" s="449">
        <f t="shared" si="18"/>
        <v>49140</v>
      </c>
      <c r="T32" s="451"/>
      <c r="U32" s="451">
        <f t="shared" si="19"/>
        <v>515970</v>
      </c>
      <c r="V32" s="451"/>
      <c r="W32" s="453"/>
      <c r="X32" s="453"/>
      <c r="Y32" s="453"/>
      <c r="Z32" s="453"/>
      <c r="AA32" s="457">
        <f t="shared" si="20"/>
        <v>4398030</v>
      </c>
      <c r="AB32" s="101">
        <f t="shared" si="21"/>
        <v>20</v>
      </c>
      <c r="AC32" s="102"/>
      <c r="AD32" s="255" t="s">
        <v>314</v>
      </c>
      <c r="AE32" s="117"/>
      <c r="AF32" s="144"/>
      <c r="AG32" s="496"/>
      <c r="AK32" s="105"/>
    </row>
    <row r="33" spans="1:39" s="104" customFormat="1" ht="39.75" customHeight="1">
      <c r="A33" s="238">
        <f>_xlfn.AGGREGATE(4,7,A$12:A32)+1</f>
        <v>21</v>
      </c>
      <c r="B33" s="464" t="s">
        <v>305</v>
      </c>
      <c r="C33" s="112" t="s">
        <v>304</v>
      </c>
      <c r="D33" s="223"/>
      <c r="E33" s="223" t="str">
        <f>INDEX([3]SACOM!$C$7:$C$335,MATCH(B33,[3]SACOM!$B$7:$B$335,0))</f>
        <v>060310749349</v>
      </c>
      <c r="F33" s="223"/>
      <c r="G33" s="447" t="s">
        <v>246</v>
      </c>
      <c r="H33" s="448">
        <v>2</v>
      </c>
      <c r="I33" s="449">
        <v>4914000</v>
      </c>
      <c r="J33" s="450"/>
      <c r="K33" s="449"/>
      <c r="L33" s="449">
        <f t="shared" si="13"/>
        <v>4914000</v>
      </c>
      <c r="M33" s="449"/>
      <c r="N33" s="449">
        <f t="shared" si="14"/>
        <v>0</v>
      </c>
      <c r="O33" s="449"/>
      <c r="P33" s="449">
        <f t="shared" si="15"/>
        <v>4914000</v>
      </c>
      <c r="Q33" s="449">
        <f t="shared" si="16"/>
        <v>393120</v>
      </c>
      <c r="R33" s="451">
        <f t="shared" si="17"/>
        <v>73710</v>
      </c>
      <c r="S33" s="449">
        <f t="shared" si="18"/>
        <v>49140</v>
      </c>
      <c r="T33" s="451"/>
      <c r="U33" s="451">
        <f t="shared" si="19"/>
        <v>515970</v>
      </c>
      <c r="V33" s="451"/>
      <c r="W33" s="453"/>
      <c r="X33" s="453"/>
      <c r="Y33" s="453"/>
      <c r="Z33" s="453"/>
      <c r="AA33" s="457">
        <f t="shared" si="20"/>
        <v>4398030</v>
      </c>
      <c r="AB33" s="101">
        <f t="shared" si="21"/>
        <v>21</v>
      </c>
      <c r="AC33" s="102"/>
      <c r="AD33" s="255" t="s">
        <v>315</v>
      </c>
      <c r="AE33" s="117"/>
      <c r="AF33" s="144"/>
      <c r="AG33" s="496"/>
      <c r="AK33" s="105"/>
    </row>
    <row r="34" spans="1:39" s="104" customFormat="1" ht="39.75" customHeight="1">
      <c r="A34" s="238">
        <f>_xlfn.AGGREGATE(4,7,A$12:A33)+1</f>
        <v>22</v>
      </c>
      <c r="B34" s="464" t="s">
        <v>370</v>
      </c>
      <c r="C34" s="112" t="s">
        <v>371</v>
      </c>
      <c r="D34" s="223"/>
      <c r="E34" s="223" t="str">
        <f>INDEX([3]SACOM!$C$7:$C$335,MATCH(B34,[3]SACOM!$B$7:$B$335,0))</f>
        <v>060310747923</v>
      </c>
      <c r="F34" s="223"/>
      <c r="G34" s="447" t="s">
        <v>246</v>
      </c>
      <c r="H34" s="448">
        <v>1</v>
      </c>
      <c r="I34" s="449">
        <v>4680000</v>
      </c>
      <c r="J34" s="450"/>
      <c r="K34" s="449"/>
      <c r="L34" s="449">
        <f t="shared" si="13"/>
        <v>4680000</v>
      </c>
      <c r="M34" s="449"/>
      <c r="N34" s="449">
        <f t="shared" si="14"/>
        <v>0</v>
      </c>
      <c r="O34" s="449"/>
      <c r="P34" s="449">
        <f t="shared" si="15"/>
        <v>4680000</v>
      </c>
      <c r="Q34" s="449">
        <f t="shared" si="16"/>
        <v>374400</v>
      </c>
      <c r="R34" s="451">
        <f t="shared" si="17"/>
        <v>70200</v>
      </c>
      <c r="S34" s="449">
        <f t="shared" si="18"/>
        <v>46800</v>
      </c>
      <c r="T34" s="451"/>
      <c r="U34" s="451">
        <f t="shared" si="19"/>
        <v>491400</v>
      </c>
      <c r="V34" s="451"/>
      <c r="W34" s="453"/>
      <c r="X34" s="453"/>
      <c r="Y34" s="453"/>
      <c r="Z34" s="453"/>
      <c r="AA34" s="457">
        <f t="shared" si="20"/>
        <v>4188600</v>
      </c>
      <c r="AB34" s="101">
        <f t="shared" si="21"/>
        <v>22</v>
      </c>
      <c r="AC34" s="255"/>
      <c r="AD34" s="255" t="s">
        <v>401</v>
      </c>
      <c r="AE34" s="431"/>
      <c r="AF34" s="432"/>
      <c r="AG34" s="428"/>
      <c r="AH34" s="42"/>
      <c r="AI34" s="42"/>
      <c r="AJ34" s="42"/>
      <c r="AK34" s="58"/>
      <c r="AL34" s="42"/>
      <c r="AM34" s="42"/>
    </row>
    <row r="35" spans="1:39" s="104" customFormat="1" ht="34.9" customHeight="1">
      <c r="A35" s="238">
        <f>_xlfn.AGGREGATE(4,7,A$12:A34)+1</f>
        <v>23</v>
      </c>
      <c r="B35" s="501" t="s">
        <v>404</v>
      </c>
      <c r="C35" s="112" t="s">
        <v>304</v>
      </c>
      <c r="D35" s="223"/>
      <c r="E35" s="223" t="str">
        <f>INDEX([3]SACOM!$C$7:$C$335,MATCH(B35,[3]SACOM!$B$7:$B$335,0))</f>
        <v>060311210605</v>
      </c>
      <c r="F35" s="223"/>
      <c r="G35" s="447" t="s">
        <v>246</v>
      </c>
      <c r="H35" s="448">
        <v>1</v>
      </c>
      <c r="I35" s="449">
        <v>4680000</v>
      </c>
      <c r="J35" s="450"/>
      <c r="K35" s="449"/>
      <c r="L35" s="449">
        <f t="shared" si="13"/>
        <v>4680000</v>
      </c>
      <c r="M35" s="449"/>
      <c r="N35" s="449">
        <f t="shared" si="14"/>
        <v>0</v>
      </c>
      <c r="O35" s="449"/>
      <c r="P35" s="449">
        <f t="shared" si="15"/>
        <v>4680000</v>
      </c>
      <c r="Q35" s="449">
        <f t="shared" si="16"/>
        <v>374400</v>
      </c>
      <c r="R35" s="451">
        <f t="shared" si="17"/>
        <v>70200</v>
      </c>
      <c r="S35" s="449">
        <f t="shared" si="18"/>
        <v>46800</v>
      </c>
      <c r="T35" s="451"/>
      <c r="U35" s="451">
        <f t="shared" si="19"/>
        <v>491400</v>
      </c>
      <c r="V35" s="451"/>
      <c r="W35" s="453"/>
      <c r="X35" s="453"/>
      <c r="Y35" s="453"/>
      <c r="Z35" s="453"/>
      <c r="AA35" s="457">
        <f t="shared" si="20"/>
        <v>4188600</v>
      </c>
      <c r="AB35" s="101">
        <f t="shared" si="21"/>
        <v>23</v>
      </c>
      <c r="AC35" s="255" t="s">
        <v>406</v>
      </c>
      <c r="AD35" s="255" t="s">
        <v>405</v>
      </c>
      <c r="AE35" s="117"/>
      <c r="AF35" s="144"/>
      <c r="AG35" s="500"/>
      <c r="AK35" s="105"/>
    </row>
    <row r="36" spans="1:39" s="104" customFormat="1" ht="30.75" customHeight="1">
      <c r="A36" s="238">
        <f>_xlfn.AGGREGATE(4,7,A$12:A35)+1</f>
        <v>24</v>
      </c>
      <c r="B36" s="94" t="s">
        <v>319</v>
      </c>
      <c r="C36" s="112" t="s">
        <v>277</v>
      </c>
      <c r="D36" s="513" t="s">
        <v>332</v>
      </c>
      <c r="E36" s="336" t="s">
        <v>331</v>
      </c>
      <c r="F36" s="336"/>
      <c r="G36" s="97" t="s">
        <v>246</v>
      </c>
      <c r="H36" s="233">
        <v>2</v>
      </c>
      <c r="I36" s="98">
        <v>4914000</v>
      </c>
      <c r="J36" s="113"/>
      <c r="K36" s="98"/>
      <c r="L36" s="267">
        <f t="shared" si="13"/>
        <v>4914000</v>
      </c>
      <c r="M36" s="98"/>
      <c r="N36" s="98">
        <f t="shared" si="14"/>
        <v>0</v>
      </c>
      <c r="O36" s="98"/>
      <c r="P36" s="98">
        <f t="shared" si="15"/>
        <v>4914000</v>
      </c>
      <c r="Q36" s="98">
        <f t="shared" si="16"/>
        <v>393120</v>
      </c>
      <c r="R36" s="99">
        <f t="shared" si="17"/>
        <v>73710</v>
      </c>
      <c r="S36" s="98">
        <f t="shared" si="18"/>
        <v>49140</v>
      </c>
      <c r="T36" s="99"/>
      <c r="U36" s="99">
        <f t="shared" si="19"/>
        <v>515970</v>
      </c>
      <c r="V36" s="99"/>
      <c r="W36" s="100"/>
      <c r="X36" s="100"/>
      <c r="Y36" s="100"/>
      <c r="Z36" s="100"/>
      <c r="AA36" s="99">
        <f t="shared" si="20"/>
        <v>4398030</v>
      </c>
      <c r="AB36" s="101">
        <f t="shared" si="21"/>
        <v>24</v>
      </c>
      <c r="AC36" s="102"/>
      <c r="AD36" s="255" t="s">
        <v>320</v>
      </c>
    </row>
    <row r="37" spans="1:39" s="104" customFormat="1" ht="29.25" customHeight="1">
      <c r="A37" s="238">
        <f>_xlfn.AGGREGATE(4,7,A$12:A36)+1</f>
        <v>25</v>
      </c>
      <c r="B37" s="94" t="s">
        <v>321</v>
      </c>
      <c r="C37" s="112" t="s">
        <v>277</v>
      </c>
      <c r="D37" s="513" t="s">
        <v>333</v>
      </c>
      <c r="E37" s="336" t="s">
        <v>334</v>
      </c>
      <c r="F37" s="336"/>
      <c r="G37" s="97" t="s">
        <v>246</v>
      </c>
      <c r="H37" s="233">
        <v>2</v>
      </c>
      <c r="I37" s="98">
        <v>4914000</v>
      </c>
      <c r="J37" s="113"/>
      <c r="K37" s="98"/>
      <c r="L37" s="267">
        <f t="shared" si="13"/>
        <v>4914000</v>
      </c>
      <c r="M37" s="98"/>
      <c r="N37" s="98">
        <f t="shared" si="14"/>
        <v>0</v>
      </c>
      <c r="O37" s="98"/>
      <c r="P37" s="98">
        <f t="shared" si="15"/>
        <v>4914000</v>
      </c>
      <c r="Q37" s="98">
        <f t="shared" si="16"/>
        <v>393120</v>
      </c>
      <c r="R37" s="99">
        <f t="shared" si="17"/>
        <v>73710</v>
      </c>
      <c r="S37" s="98">
        <f t="shared" si="18"/>
        <v>49140</v>
      </c>
      <c r="T37" s="99"/>
      <c r="U37" s="99">
        <f t="shared" si="19"/>
        <v>515970</v>
      </c>
      <c r="V37" s="99"/>
      <c r="W37" s="100"/>
      <c r="X37" s="100"/>
      <c r="Y37" s="100"/>
      <c r="Z37" s="100"/>
      <c r="AA37" s="99">
        <f t="shared" si="20"/>
        <v>4398030</v>
      </c>
      <c r="AB37" s="101">
        <f t="shared" si="21"/>
        <v>25</v>
      </c>
      <c r="AC37" s="102"/>
      <c r="AD37" s="255" t="s">
        <v>320</v>
      </c>
    </row>
    <row r="38" spans="1:39" s="360" customFormat="1" ht="31.5" customHeight="1">
      <c r="A38" s="238">
        <f>_xlfn.AGGREGATE(4,7,A$12:A37)+1</f>
        <v>26</v>
      </c>
      <c r="B38" s="464" t="s">
        <v>254</v>
      </c>
      <c r="C38" s="112" t="s">
        <v>255</v>
      </c>
      <c r="D38" s="223"/>
      <c r="E38" s="223" t="str">
        <f>INDEX([3]SACOM!$C$7:$C$335,MATCH(B38,[3]SACOM!$B$7:$B$335,0))</f>
        <v>060310682015</v>
      </c>
      <c r="F38" s="223"/>
      <c r="G38" s="454" t="s">
        <v>245</v>
      </c>
      <c r="H38" s="455">
        <v>7</v>
      </c>
      <c r="I38" s="449">
        <v>6710663</v>
      </c>
      <c r="J38" s="450"/>
      <c r="K38" s="449"/>
      <c r="L38" s="449">
        <f t="shared" si="13"/>
        <v>6710663</v>
      </c>
      <c r="M38" s="449"/>
      <c r="N38" s="449">
        <f t="shared" si="14"/>
        <v>0</v>
      </c>
      <c r="O38" s="449"/>
      <c r="P38" s="449">
        <f t="shared" si="15"/>
        <v>6710663</v>
      </c>
      <c r="Q38" s="449">
        <f t="shared" si="16"/>
        <v>536853.04</v>
      </c>
      <c r="R38" s="451">
        <f t="shared" si="17"/>
        <v>100659.94499999999</v>
      </c>
      <c r="S38" s="449">
        <f t="shared" si="18"/>
        <v>67106.63</v>
      </c>
      <c r="T38" s="451"/>
      <c r="U38" s="451">
        <f t="shared" si="19"/>
        <v>704619.61499999999</v>
      </c>
      <c r="V38" s="451"/>
      <c r="W38" s="453"/>
      <c r="X38" s="453"/>
      <c r="Y38" s="453"/>
      <c r="Z38" s="453">
        <v>852000</v>
      </c>
      <c r="AA38" s="457">
        <f t="shared" si="20"/>
        <v>6858043.3849999998</v>
      </c>
      <c r="AB38" s="101">
        <f t="shared" si="21"/>
        <v>26</v>
      </c>
      <c r="AC38" s="102"/>
      <c r="AD38" s="102"/>
      <c r="AE38" s="433"/>
      <c r="AF38" s="60"/>
      <c r="AG38" s="60"/>
      <c r="AH38" s="436"/>
      <c r="AI38" s="60"/>
      <c r="AJ38" s="433"/>
      <c r="AK38" s="430"/>
      <c r="AL38" s="428"/>
      <c r="AM38" s="428"/>
    </row>
    <row r="39" spans="1:39" s="518" customFormat="1" ht="39" customHeight="1">
      <c r="A39" s="238">
        <f>_xlfn.AGGREGATE(4,7,A$12:A38)+1</f>
        <v>27</v>
      </c>
      <c r="B39" s="521" t="s">
        <v>412</v>
      </c>
      <c r="C39" s="112" t="s">
        <v>423</v>
      </c>
      <c r="D39" s="417"/>
      <c r="E39" s="223" t="str">
        <f>INDEX([3]SACOM!$C$7:$C$335,MATCH(B39,[3]SACOM!$B$7:$B$335,0))</f>
        <v>060310750916</v>
      </c>
      <c r="F39" s="611"/>
      <c r="G39" s="522" t="s">
        <v>246</v>
      </c>
      <c r="H39" s="523">
        <v>1</v>
      </c>
      <c r="I39" s="524">
        <v>4680000</v>
      </c>
      <c r="J39" s="525"/>
      <c r="K39" s="524"/>
      <c r="L39" s="524">
        <f t="shared" si="13"/>
        <v>4680000</v>
      </c>
      <c r="M39" s="524"/>
      <c r="N39" s="449">
        <f t="shared" si="14"/>
        <v>0</v>
      </c>
      <c r="O39" s="524"/>
      <c r="P39" s="524">
        <f t="shared" si="15"/>
        <v>4680000</v>
      </c>
      <c r="Q39" s="524">
        <f t="shared" si="16"/>
        <v>374400</v>
      </c>
      <c r="R39" s="526">
        <f t="shared" si="17"/>
        <v>70200</v>
      </c>
      <c r="S39" s="524">
        <f t="shared" si="18"/>
        <v>46800</v>
      </c>
      <c r="T39" s="526"/>
      <c r="U39" s="526">
        <f t="shared" si="19"/>
        <v>491400</v>
      </c>
      <c r="V39" s="526"/>
      <c r="W39" s="526"/>
      <c r="X39" s="527"/>
      <c r="Y39" s="526"/>
      <c r="Z39" s="526"/>
      <c r="AA39" s="528">
        <f t="shared" si="20"/>
        <v>4188600</v>
      </c>
      <c r="AB39" s="529"/>
      <c r="AC39" s="120"/>
      <c r="AD39" s="120" t="s">
        <v>411</v>
      </c>
      <c r="AE39" s="144"/>
      <c r="AF39" s="116"/>
      <c r="AK39" s="517"/>
    </row>
    <row r="40" spans="1:39" ht="24.75" customHeight="1">
      <c r="A40" s="88"/>
      <c r="B40" s="569" t="s">
        <v>11</v>
      </c>
      <c r="C40" s="161"/>
      <c r="D40" s="161"/>
      <c r="E40" s="82"/>
      <c r="F40" s="576"/>
      <c r="G40" s="82"/>
      <c r="H40" s="89">
        <f>SUM(H13:H39)</f>
        <v>115</v>
      </c>
      <c r="I40" s="80">
        <f>SUM(I13:I39)</f>
        <v>154327658</v>
      </c>
      <c r="J40" s="153">
        <f>SUM(J13:J39)</f>
        <v>0.05</v>
      </c>
      <c r="K40" s="80">
        <f>SUM(K13:K39)</f>
        <v>428234.75</v>
      </c>
      <c r="L40" s="80">
        <f>SUM(L13:L39)</f>
        <v>154755893</v>
      </c>
      <c r="M40" s="80"/>
      <c r="N40" s="80">
        <f t="shared" ref="N40:Y40" si="22">SUM(N13:N39)</f>
        <v>0</v>
      </c>
      <c r="O40" s="80">
        <f t="shared" si="22"/>
        <v>0</v>
      </c>
      <c r="P40" s="80">
        <f t="shared" si="22"/>
        <v>154755893</v>
      </c>
      <c r="Q40" s="80">
        <f t="shared" si="22"/>
        <v>11889709.439999998</v>
      </c>
      <c r="R40" s="80">
        <f t="shared" si="22"/>
        <v>2229320.5199999996</v>
      </c>
      <c r="S40" s="80">
        <f t="shared" si="22"/>
        <v>1486213.6799999997</v>
      </c>
      <c r="T40" s="153">
        <f t="shared" si="22"/>
        <v>0</v>
      </c>
      <c r="U40" s="80">
        <f t="shared" si="22"/>
        <v>15605243.640000001</v>
      </c>
      <c r="V40" s="93">
        <f t="shared" si="22"/>
        <v>0</v>
      </c>
      <c r="W40" s="80">
        <f t="shared" si="22"/>
        <v>0</v>
      </c>
      <c r="X40" s="93">
        <f t="shared" si="22"/>
        <v>0</v>
      </c>
      <c r="Y40" s="80">
        <f t="shared" si="22"/>
        <v>0</v>
      </c>
      <c r="Z40" s="345"/>
      <c r="AA40" s="80">
        <f>SUM(AA13:AA39)</f>
        <v>140002649.35999998</v>
      </c>
      <c r="AB40" s="90"/>
      <c r="AC40" s="91"/>
      <c r="AD40" s="497"/>
    </row>
    <row r="41" spans="1:39" ht="6.75" customHeight="1">
      <c r="A41" s="6"/>
      <c r="B41" s="142"/>
      <c r="C41" s="162"/>
      <c r="D41" s="162"/>
      <c r="E41" s="204"/>
      <c r="F41" s="204"/>
      <c r="G41" s="47"/>
      <c r="H41" s="46"/>
      <c r="I41" s="52"/>
      <c r="J41" s="46"/>
      <c r="K41" s="52"/>
      <c r="L41" s="52"/>
      <c r="M41" s="52"/>
      <c r="N41" s="52"/>
      <c r="O41" s="52"/>
      <c r="P41" s="52"/>
      <c r="Q41" s="52"/>
      <c r="R41" s="52"/>
      <c r="S41" s="52"/>
      <c r="T41" s="52"/>
      <c r="U41" s="52"/>
      <c r="V41" s="52"/>
      <c r="W41" s="52"/>
      <c r="X41" s="52"/>
      <c r="Y41" s="52"/>
      <c r="Z41" s="344"/>
      <c r="AA41" s="52"/>
      <c r="AB41" s="54"/>
      <c r="AC41" s="68"/>
      <c r="AD41" s="117"/>
    </row>
    <row r="42" spans="1:39" ht="18.75" customHeight="1">
      <c r="A42" s="5"/>
      <c r="B42" s="570" t="s">
        <v>12</v>
      </c>
      <c r="C42" s="17" t="s">
        <v>428</v>
      </c>
      <c r="D42" s="17"/>
      <c r="S42" s="18"/>
      <c r="T42" s="18"/>
      <c r="U42" s="18"/>
      <c r="V42" s="18"/>
      <c r="W42" s="18"/>
      <c r="X42" s="18"/>
      <c r="Y42" s="18"/>
      <c r="Z42" s="342"/>
      <c r="AA42" s="18"/>
      <c r="AB42" s="17"/>
      <c r="AC42" s="67"/>
      <c r="AD42" s="498"/>
    </row>
    <row r="43" spans="1:39" ht="7.5" customHeight="1">
      <c r="A43" s="5"/>
      <c r="B43" s="570"/>
      <c r="C43" s="163"/>
      <c r="D43" s="163"/>
      <c r="E43" s="206"/>
      <c r="F43" s="206"/>
      <c r="G43" s="49"/>
      <c r="H43" s="49"/>
      <c r="I43" s="50"/>
      <c r="J43" s="50"/>
      <c r="K43" s="50"/>
      <c r="L43" s="50"/>
      <c r="M43" s="50"/>
      <c r="N43" s="50"/>
      <c r="O43" s="50"/>
      <c r="P43" s="50"/>
      <c r="Q43" s="50"/>
      <c r="R43" s="50"/>
      <c r="S43" s="50"/>
      <c r="T43" s="50"/>
      <c r="U43" s="50"/>
      <c r="V43" s="50"/>
      <c r="W43" s="50"/>
      <c r="X43" s="50"/>
      <c r="Y43" s="50"/>
      <c r="Z43" s="346"/>
      <c r="AA43" s="50"/>
      <c r="AB43" s="761"/>
      <c r="AC43" s="761"/>
      <c r="AD43" s="356"/>
    </row>
    <row r="44" spans="1:39" ht="21" customHeight="1">
      <c r="A44" s="5"/>
      <c r="B44" s="561"/>
      <c r="C44" s="7"/>
      <c r="D44" s="7"/>
      <c r="E44" s="207"/>
      <c r="F44" s="207"/>
      <c r="G44" s="5"/>
      <c r="H44" s="5"/>
      <c r="S44" s="762" t="s">
        <v>427</v>
      </c>
      <c r="T44" s="762"/>
      <c r="U44" s="762"/>
      <c r="V44" s="762"/>
      <c r="W44" s="762"/>
      <c r="X44" s="762"/>
      <c r="Y44" s="762"/>
      <c r="Z44" s="762"/>
      <c r="AA44" s="762"/>
      <c r="AB44" s="762"/>
      <c r="AC44" s="762"/>
      <c r="AD44" s="814"/>
    </row>
    <row r="45" spans="1:39" ht="15.75" customHeight="1">
      <c r="A45" s="751" t="s">
        <v>13</v>
      </c>
      <c r="B45" s="751"/>
      <c r="C45" s="751"/>
      <c r="D45" s="751"/>
      <c r="E45" s="751"/>
      <c r="F45" s="751"/>
      <c r="G45" s="751"/>
      <c r="H45" s="751"/>
      <c r="I45" s="751" t="s">
        <v>182</v>
      </c>
      <c r="J45" s="751"/>
      <c r="K45" s="751"/>
      <c r="L45" s="751"/>
      <c r="M45" s="751"/>
      <c r="N45" s="751"/>
      <c r="O45" s="751"/>
      <c r="P45" s="751"/>
      <c r="Q45" s="751"/>
      <c r="R45" s="751"/>
      <c r="S45" s="765" t="s">
        <v>14</v>
      </c>
      <c r="T45" s="765"/>
      <c r="U45" s="765"/>
      <c r="V45" s="765"/>
      <c r="W45" s="765"/>
      <c r="X45" s="765"/>
      <c r="Y45" s="765"/>
      <c r="Z45" s="765"/>
      <c r="AA45" s="765"/>
      <c r="AB45" s="765"/>
      <c r="AC45" s="765"/>
      <c r="AD45" s="815"/>
    </row>
    <row r="46" spans="1:39" ht="15.75" customHeight="1">
      <c r="A46" s="5"/>
      <c r="B46" s="563"/>
      <c r="C46" s="7"/>
      <c r="D46" s="7"/>
      <c r="E46" s="207"/>
      <c r="F46" s="207"/>
      <c r="G46" s="5"/>
      <c r="H46" s="5"/>
      <c r="I46" s="4"/>
      <c r="J46" s="4"/>
      <c r="K46" s="4"/>
      <c r="L46" s="4"/>
      <c r="M46" s="4"/>
      <c r="N46" s="4"/>
      <c r="O46" s="4"/>
      <c r="P46" s="4"/>
      <c r="Q46" s="70"/>
      <c r="R46" s="4"/>
      <c r="S46" s="4"/>
      <c r="T46" s="4"/>
      <c r="U46" s="4"/>
      <c r="V46" s="4"/>
      <c r="AB46" s="749"/>
      <c r="AC46" s="749"/>
      <c r="AD46" s="499"/>
    </row>
    <row r="47" spans="1:39" ht="15.75" customHeight="1">
      <c r="A47" s="5"/>
      <c r="B47" s="561"/>
      <c r="C47" s="7"/>
      <c r="D47" s="7"/>
      <c r="E47" s="207"/>
      <c r="F47" s="207"/>
      <c r="G47" s="5"/>
      <c r="H47" s="5"/>
      <c r="I47" s="4"/>
      <c r="J47" s="4"/>
      <c r="K47" s="4"/>
      <c r="L47" s="4"/>
      <c r="M47" s="4"/>
      <c r="N47" s="4"/>
      <c r="O47" s="4"/>
      <c r="P47" s="4"/>
      <c r="Q47" s="4"/>
      <c r="S47" s="157"/>
      <c r="T47" s="157"/>
      <c r="U47" s="157"/>
      <c r="V47" s="157"/>
      <c r="W47" s="157"/>
      <c r="X47" s="157"/>
      <c r="Y47" s="157"/>
      <c r="Z47" s="348"/>
      <c r="AA47" s="157"/>
      <c r="AB47" s="157"/>
      <c r="AC47" s="157"/>
      <c r="AD47" s="157"/>
    </row>
    <row r="48" spans="1:39" ht="15.75" customHeight="1">
      <c r="A48" s="5"/>
      <c r="C48" s="7"/>
      <c r="D48" s="7"/>
      <c r="E48" s="207"/>
      <c r="F48" s="207"/>
      <c r="G48" s="5"/>
      <c r="H48" s="5"/>
      <c r="I48" s="4"/>
      <c r="J48" s="4"/>
      <c r="K48" s="4"/>
      <c r="L48" s="4"/>
      <c r="M48" s="4"/>
      <c r="N48" s="4"/>
      <c r="O48" s="4"/>
      <c r="P48" s="4"/>
      <c r="Q48" s="4"/>
      <c r="R48" s="4"/>
      <c r="S48" s="4"/>
      <c r="T48" s="4"/>
      <c r="U48" s="4"/>
      <c r="V48" s="4"/>
      <c r="AC48" s="75"/>
      <c r="AD48" s="75"/>
    </row>
    <row r="49" spans="1:30" ht="9.75" customHeight="1">
      <c r="A49" s="5"/>
      <c r="B49" s="561"/>
      <c r="C49" s="7"/>
      <c r="D49" s="7"/>
      <c r="E49" s="207"/>
      <c r="F49" s="207"/>
      <c r="G49" s="5"/>
      <c r="H49" s="5"/>
      <c r="I49" s="4"/>
      <c r="J49" s="4"/>
      <c r="K49" s="4"/>
      <c r="L49" s="4"/>
      <c r="M49" s="4"/>
      <c r="N49" s="4"/>
      <c r="O49" s="4"/>
      <c r="P49" s="4"/>
      <c r="Q49" s="4"/>
      <c r="R49" s="4"/>
      <c r="S49" s="4"/>
      <c r="T49" s="4"/>
      <c r="U49" s="4"/>
      <c r="V49" s="4"/>
      <c r="AB49" s="749"/>
      <c r="AC49" s="749"/>
      <c r="AD49" s="4"/>
    </row>
    <row r="50" spans="1:30" ht="15.75" customHeight="1">
      <c r="A50" s="5"/>
      <c r="B50" s="561"/>
      <c r="C50" s="7"/>
      <c r="D50" s="7"/>
      <c r="E50" s="207"/>
      <c r="F50" s="207"/>
      <c r="G50" s="5"/>
      <c r="H50" s="5"/>
      <c r="I50" s="4"/>
      <c r="J50" s="4"/>
      <c r="K50" s="4"/>
      <c r="L50" s="4"/>
      <c r="M50" s="4"/>
      <c r="N50" s="4"/>
      <c r="O50" s="4"/>
      <c r="P50" s="4"/>
      <c r="Q50" s="4"/>
      <c r="R50" s="4"/>
      <c r="S50" s="4"/>
      <c r="T50" s="4"/>
      <c r="U50" s="4"/>
      <c r="V50" s="4"/>
      <c r="AB50" s="749"/>
      <c r="AC50" s="749"/>
      <c r="AD50" s="4"/>
    </row>
    <row r="51" spans="1:30" ht="15.75" customHeight="1">
      <c r="A51" s="5"/>
      <c r="B51" s="561"/>
      <c r="C51" s="7"/>
      <c r="D51" s="7"/>
      <c r="E51" s="207"/>
      <c r="F51" s="207"/>
      <c r="G51" s="5"/>
      <c r="H51" s="5"/>
      <c r="I51" s="4"/>
      <c r="J51" s="4"/>
      <c r="K51" s="4"/>
      <c r="L51" s="4"/>
      <c r="M51" s="4"/>
      <c r="N51" s="4"/>
      <c r="O51" s="4"/>
      <c r="P51" s="4"/>
      <c r="Q51" s="4"/>
      <c r="R51" s="4"/>
      <c r="S51" s="4"/>
      <c r="T51" s="4"/>
      <c r="U51" s="4"/>
      <c r="V51" s="4"/>
      <c r="AB51" s="749"/>
      <c r="AC51" s="749"/>
      <c r="AD51" s="4"/>
    </row>
    <row r="52" spans="1:30" ht="15.75" customHeight="1">
      <c r="A52" s="751" t="s">
        <v>225</v>
      </c>
      <c r="B52" s="751"/>
      <c r="C52" s="751"/>
      <c r="D52" s="751"/>
      <c r="E52" s="751"/>
      <c r="F52" s="751"/>
      <c r="G52" s="751"/>
      <c r="H52" s="751"/>
      <c r="I52" s="751" t="s">
        <v>122</v>
      </c>
      <c r="J52" s="751"/>
      <c r="K52" s="751"/>
      <c r="L52" s="751"/>
      <c r="M52" s="751"/>
      <c r="N52" s="751"/>
      <c r="O52" s="751"/>
      <c r="P52" s="751"/>
      <c r="Q52" s="751"/>
      <c r="R52" s="751"/>
      <c r="S52" s="751" t="s">
        <v>119</v>
      </c>
      <c r="T52" s="751"/>
      <c r="U52" s="751"/>
      <c r="V52" s="751"/>
      <c r="W52" s="751"/>
      <c r="X52" s="751"/>
      <c r="Y52" s="751"/>
      <c r="Z52" s="751"/>
      <c r="AA52" s="751"/>
      <c r="AB52" s="751"/>
      <c r="AC52" s="751"/>
      <c r="AD52" s="8"/>
    </row>
    <row r="53" spans="1:30">
      <c r="A53" s="61"/>
      <c r="B53" s="63"/>
      <c r="C53" s="164"/>
      <c r="D53" s="164"/>
      <c r="E53" s="208"/>
      <c r="F53" s="208"/>
      <c r="G53" s="63"/>
      <c r="H53" s="63"/>
      <c r="I53" s="63"/>
      <c r="J53" s="51"/>
      <c r="K53" s="63"/>
      <c r="L53" s="63"/>
      <c r="M53" s="63"/>
      <c r="N53" s="63"/>
      <c r="O53" s="63"/>
      <c r="P53" s="63"/>
      <c r="Q53" s="63"/>
      <c r="R53" s="63"/>
      <c r="S53" s="63"/>
      <c r="T53" s="63"/>
      <c r="U53" s="63"/>
      <c r="V53" s="63"/>
      <c r="W53" s="63"/>
      <c r="X53" s="63"/>
      <c r="Y53" s="63"/>
      <c r="Z53" s="349"/>
      <c r="AA53" s="63"/>
      <c r="AB53" s="753"/>
      <c r="AC53" s="753"/>
      <c r="AD53" s="51"/>
    </row>
    <row r="54" spans="1:30">
      <c r="B54" s="30"/>
      <c r="G54" s="30"/>
      <c r="H54" s="30"/>
      <c r="AB54" s="748"/>
      <c r="AC54" s="748"/>
      <c r="AD54" s="45"/>
    </row>
    <row r="55" spans="1:30">
      <c r="A55" s="5"/>
      <c r="B55" s="561"/>
      <c r="AB55" s="748"/>
      <c r="AC55" s="748"/>
      <c r="AD55" s="45"/>
    </row>
    <row r="56" spans="1:30">
      <c r="A56" s="5"/>
      <c r="B56" s="561"/>
      <c r="AB56" s="748"/>
      <c r="AC56" s="748"/>
      <c r="AD56" s="45"/>
    </row>
    <row r="57" spans="1:30">
      <c r="A57" s="5"/>
      <c r="B57" s="561"/>
      <c r="AB57" s="748"/>
      <c r="AC57" s="748"/>
      <c r="AD57" s="45"/>
    </row>
    <row r="58" spans="1:30">
      <c r="A58" s="5"/>
      <c r="B58" s="561"/>
      <c r="AB58" s="748"/>
      <c r="AC58" s="748"/>
      <c r="AD58" s="45"/>
    </row>
    <row r="59" spans="1:30">
      <c r="A59" s="5"/>
      <c r="B59" s="561"/>
      <c r="AB59" s="748"/>
      <c r="AC59" s="748"/>
      <c r="AD59" s="45"/>
    </row>
    <row r="60" spans="1:30">
      <c r="A60" s="5"/>
      <c r="B60" s="561"/>
      <c r="AB60" s="748"/>
      <c r="AC60" s="748"/>
      <c r="AD60" s="45"/>
    </row>
    <row r="61" spans="1:30">
      <c r="A61" s="5"/>
      <c r="B61" s="561"/>
      <c r="AB61" s="748"/>
      <c r="AC61" s="748"/>
      <c r="AD61" s="45"/>
    </row>
    <row r="62" spans="1:30">
      <c r="A62" s="5"/>
      <c r="B62" s="561"/>
      <c r="AB62" s="748"/>
      <c r="AC62" s="748"/>
      <c r="AD62" s="45"/>
    </row>
    <row r="63" spans="1:30">
      <c r="A63" s="5"/>
      <c r="B63" s="561"/>
      <c r="AB63" s="748"/>
      <c r="AC63" s="748"/>
      <c r="AD63" s="45"/>
    </row>
    <row r="64" spans="1:30">
      <c r="A64" s="5"/>
      <c r="B64" s="561"/>
      <c r="AB64" s="748"/>
      <c r="AC64" s="748"/>
      <c r="AD64" s="45"/>
    </row>
    <row r="65" spans="1:30">
      <c r="A65" s="5"/>
      <c r="B65" s="561"/>
      <c r="AB65" s="748"/>
      <c r="AC65" s="748"/>
      <c r="AD65" s="45"/>
    </row>
    <row r="66" spans="1:30">
      <c r="A66" s="5"/>
      <c r="B66" s="561"/>
      <c r="AB66" s="748"/>
      <c r="AC66" s="748"/>
      <c r="AD66" s="45"/>
    </row>
    <row r="67" spans="1:30">
      <c r="A67" s="5"/>
      <c r="B67" s="561"/>
      <c r="AB67" s="748"/>
      <c r="AC67" s="748"/>
      <c r="AD67" s="45"/>
    </row>
    <row r="68" spans="1:30">
      <c r="A68" s="5"/>
      <c r="B68" s="561"/>
      <c r="AB68" s="748"/>
      <c r="AC68" s="748"/>
      <c r="AD68" s="45"/>
    </row>
    <row r="69" spans="1:30">
      <c r="A69" s="5"/>
      <c r="B69" s="561"/>
      <c r="AB69" s="748"/>
      <c r="AC69" s="748"/>
      <c r="AD69" s="45"/>
    </row>
    <row r="70" spans="1:30">
      <c r="A70" s="5"/>
      <c r="B70" s="561"/>
      <c r="AB70" s="748"/>
      <c r="AC70" s="748"/>
      <c r="AD70" s="45"/>
    </row>
    <row r="71" spans="1:30">
      <c r="A71" s="5"/>
      <c r="B71" s="561"/>
      <c r="AB71" s="748"/>
      <c r="AC71" s="748"/>
      <c r="AD71" s="45"/>
    </row>
  </sheetData>
  <mergeCells count="64">
    <mergeCell ref="AB63:AC63"/>
    <mergeCell ref="AB71:AC71"/>
    <mergeCell ref="AB69:AC69"/>
    <mergeCell ref="AB64:AC64"/>
    <mergeCell ref="AB65:AC65"/>
    <mergeCell ref="AB66:AC66"/>
    <mergeCell ref="AB67:AC67"/>
    <mergeCell ref="AB70:AC70"/>
    <mergeCell ref="AB68:AC68"/>
    <mergeCell ref="AB58:AC58"/>
    <mergeCell ref="AB59:AC59"/>
    <mergeCell ref="AB60:AC60"/>
    <mergeCell ref="AB61:AC61"/>
    <mergeCell ref="AB62:AC62"/>
    <mergeCell ref="AB57:AC57"/>
    <mergeCell ref="AB51:AC51"/>
    <mergeCell ref="A52:H52"/>
    <mergeCell ref="I52:R52"/>
    <mergeCell ref="S52:AC52"/>
    <mergeCell ref="AB53:AC53"/>
    <mergeCell ref="AB54:AC54"/>
    <mergeCell ref="AB55:AC55"/>
    <mergeCell ref="AB56:AC56"/>
    <mergeCell ref="H10:H11"/>
    <mergeCell ref="I10:I11"/>
    <mergeCell ref="AB50:AC50"/>
    <mergeCell ref="AB43:AC43"/>
    <mergeCell ref="S44:AC44"/>
    <mergeCell ref="AB46:AC46"/>
    <mergeCell ref="AB49:AC49"/>
    <mergeCell ref="AB10:AC11"/>
    <mergeCell ref="AB12:AC12"/>
    <mergeCell ref="N10:N11"/>
    <mergeCell ref="O10:O11"/>
    <mergeCell ref="P10:P11"/>
    <mergeCell ref="Q10:U10"/>
    <mergeCell ref="V10:W10"/>
    <mergeCell ref="X10:Y10"/>
    <mergeCell ref="AE27:AG27"/>
    <mergeCell ref="AD44:AD45"/>
    <mergeCell ref="A45:H45"/>
    <mergeCell ref="I45:R45"/>
    <mergeCell ref="S45:AC45"/>
    <mergeCell ref="A4:AC4"/>
    <mergeCell ref="A1:H1"/>
    <mergeCell ref="A2:H2"/>
    <mergeCell ref="Q3:AA3"/>
    <mergeCell ref="AB3:AC3"/>
    <mergeCell ref="A5:AC5"/>
    <mergeCell ref="C6:H6"/>
    <mergeCell ref="C7:H7"/>
    <mergeCell ref="C8:H8"/>
    <mergeCell ref="A10:A11"/>
    <mergeCell ref="B10:B11"/>
    <mergeCell ref="C10:C11"/>
    <mergeCell ref="D10:D11"/>
    <mergeCell ref="E10:E11"/>
    <mergeCell ref="G10:G11"/>
    <mergeCell ref="J10:J11"/>
    <mergeCell ref="K10:K11"/>
    <mergeCell ref="L10:L11"/>
    <mergeCell ref="M10:M11"/>
    <mergeCell ref="Z10:Z11"/>
    <mergeCell ref="AA10:AA11"/>
  </mergeCells>
  <printOptions horizontalCentered="1"/>
  <pageMargins left="0.32" right="0.17" top="0.36" bottom="0.4" header="0.17" footer="0.17"/>
  <pageSetup paperSize="9" scale="76" orientation="landscape" r:id="rId1"/>
  <headerFooter alignWithMargins="0">
    <oddFooter>Page &amp;P</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45"/>
  <sheetViews>
    <sheetView workbookViewId="0">
      <selection activeCell="K16" sqref="K16"/>
    </sheetView>
  </sheetViews>
  <sheetFormatPr defaultRowHeight="15"/>
  <cols>
    <col min="1" max="1" width="3.375" style="16" customWidth="1"/>
    <col min="2" max="2" width="15.375" style="44" customWidth="1"/>
    <col min="3" max="3" width="8.875" style="16" hidden="1" customWidth="1"/>
    <col min="4" max="4" width="11.25" style="165" customWidth="1"/>
    <col min="5" max="5" width="14.75" style="165" hidden="1" customWidth="1"/>
    <col min="6" max="6" width="17.125" style="205" hidden="1" customWidth="1"/>
    <col min="7" max="7" width="7.25" style="44" customWidth="1"/>
    <col min="8" max="8" width="6.625" style="44" customWidth="1"/>
    <col min="9" max="9" width="8.375" style="44" bestFit="1" customWidth="1"/>
    <col min="10" max="10" width="8.375" style="45" hidden="1" customWidth="1"/>
    <col min="11" max="12" width="8.375" style="44" customWidth="1"/>
    <col min="13" max="13" width="3.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875" style="44" customWidth="1"/>
    <col min="23" max="23" width="5.625" style="44" customWidth="1"/>
    <col min="24" max="24" width="9.75" style="44" customWidth="1"/>
    <col min="25" max="25" width="6.125" style="44" hidden="1" customWidth="1"/>
    <col min="26" max="26" width="9.75" style="44" customWidth="1"/>
    <col min="27" max="27" width="2.5" style="44" customWidth="1"/>
    <col min="28" max="28" width="14.375" style="6" customWidth="1"/>
    <col min="29" max="29" width="20.25" style="6" customWidth="1"/>
    <col min="30" max="35" width="9" style="16"/>
    <col min="36" max="36" width="9" style="55"/>
    <col min="37" max="16384" width="9" style="16"/>
  </cols>
  <sheetData>
    <row r="1" spans="1:37" ht="16.5">
      <c r="A1" s="793" t="s">
        <v>78</v>
      </c>
      <c r="B1" s="793"/>
      <c r="C1" s="793"/>
      <c r="D1" s="793"/>
      <c r="E1" s="793"/>
      <c r="F1" s="793"/>
      <c r="G1" s="793"/>
      <c r="H1" s="793"/>
      <c r="I1" s="17"/>
      <c r="J1" s="8"/>
      <c r="K1" s="17"/>
      <c r="L1" s="17"/>
      <c r="M1" s="17"/>
      <c r="N1" s="17"/>
      <c r="O1" s="17"/>
      <c r="P1" s="17"/>
      <c r="Q1" s="17"/>
      <c r="R1" s="17"/>
      <c r="S1" s="17"/>
      <c r="T1" s="17"/>
      <c r="U1" s="17"/>
      <c r="V1" s="17"/>
      <c r="W1" s="17"/>
      <c r="X1" s="17"/>
      <c r="Y1" s="17"/>
      <c r="Z1" s="17"/>
      <c r="AA1" s="17"/>
      <c r="AB1" s="17"/>
      <c r="AC1" s="8"/>
      <c r="AD1" s="17"/>
      <c r="AE1" s="17"/>
      <c r="AF1" s="17"/>
      <c r="AG1" s="17"/>
      <c r="AH1" s="15"/>
    </row>
    <row r="2" spans="1:37" ht="16.5">
      <c r="A2" s="751" t="s">
        <v>185</v>
      </c>
      <c r="B2" s="751"/>
      <c r="C2" s="751"/>
      <c r="D2" s="751"/>
      <c r="E2" s="751"/>
      <c r="F2" s="751"/>
      <c r="G2" s="751"/>
      <c r="H2" s="751"/>
      <c r="I2" s="18"/>
      <c r="J2" s="24"/>
      <c r="K2" s="18"/>
      <c r="L2" s="18"/>
      <c r="M2" s="18"/>
      <c r="N2" s="18"/>
      <c r="O2" s="18"/>
      <c r="P2" s="18"/>
      <c r="Q2" s="18"/>
      <c r="R2" s="18"/>
      <c r="S2" s="18"/>
      <c r="T2" s="18"/>
      <c r="U2" s="18"/>
      <c r="V2" s="18"/>
      <c r="W2" s="18"/>
      <c r="X2" s="18"/>
      <c r="Y2" s="18"/>
      <c r="Z2" s="18"/>
      <c r="AA2" s="18"/>
      <c r="AB2" s="18"/>
      <c r="AC2" s="24"/>
      <c r="AD2" s="18"/>
      <c r="AE2" s="18"/>
      <c r="AF2" s="18"/>
      <c r="AG2" s="18"/>
      <c r="AH2" s="15"/>
    </row>
    <row r="3" spans="1:37" ht="20.25" customHeight="1">
      <c r="A3" s="4"/>
      <c r="B3" s="45"/>
      <c r="C3" s="749"/>
      <c r="D3" s="749"/>
      <c r="E3" s="4"/>
      <c r="F3" s="37"/>
      <c r="G3" s="4"/>
      <c r="H3" s="45"/>
      <c r="I3" s="45"/>
      <c r="K3" s="45"/>
      <c r="L3" s="45"/>
      <c r="M3" s="45"/>
      <c r="N3" s="45"/>
      <c r="O3" s="45"/>
      <c r="P3" s="45"/>
      <c r="Q3" s="748"/>
      <c r="R3" s="748"/>
      <c r="S3" s="748"/>
      <c r="T3" s="748"/>
      <c r="U3" s="748"/>
      <c r="V3" s="748"/>
      <c r="W3" s="748"/>
      <c r="X3" s="748"/>
      <c r="Y3" s="748"/>
      <c r="Z3" s="748"/>
      <c r="AA3" s="748"/>
      <c r="AB3" s="748"/>
      <c r="AC3" s="45"/>
      <c r="AD3" s="4"/>
      <c r="AE3" s="749"/>
      <c r="AF3" s="749"/>
      <c r="AG3" s="794"/>
      <c r="AH3" s="794"/>
    </row>
    <row r="4" spans="1:37" ht="22.5" customHeight="1">
      <c r="A4" s="795" t="s">
        <v>164</v>
      </c>
      <c r="B4" s="795"/>
      <c r="C4" s="795"/>
      <c r="D4" s="795"/>
      <c r="E4" s="795"/>
      <c r="F4" s="795"/>
      <c r="G4" s="795"/>
      <c r="H4" s="795"/>
      <c r="I4" s="795"/>
      <c r="J4" s="795"/>
      <c r="K4" s="795"/>
      <c r="L4" s="795"/>
      <c r="M4" s="795"/>
      <c r="N4" s="795"/>
      <c r="O4" s="795"/>
      <c r="P4" s="795"/>
      <c r="Q4" s="795"/>
      <c r="R4" s="795"/>
      <c r="S4" s="795"/>
      <c r="T4" s="795"/>
      <c r="U4" s="795"/>
      <c r="V4" s="795"/>
      <c r="W4" s="795"/>
      <c r="X4" s="795"/>
      <c r="Y4" s="795"/>
      <c r="Z4" s="795"/>
      <c r="AA4" s="795"/>
      <c r="AB4" s="795"/>
      <c r="AC4" s="72"/>
      <c r="AD4" s="17"/>
      <c r="AE4" s="17"/>
      <c r="AF4" s="17">
        <f>2.67*1150000*0.65</f>
        <v>1995825</v>
      </c>
      <c r="AG4" s="17"/>
      <c r="AH4" s="15"/>
    </row>
    <row r="5" spans="1:37" ht="22.5" customHeight="1">
      <c r="A5" s="795" t="s">
        <v>352</v>
      </c>
      <c r="B5" s="795"/>
      <c r="C5" s="795"/>
      <c r="D5" s="795"/>
      <c r="E5" s="795"/>
      <c r="F5" s="795"/>
      <c r="G5" s="795"/>
      <c r="H5" s="795"/>
      <c r="I5" s="795"/>
      <c r="J5" s="795"/>
      <c r="K5" s="795"/>
      <c r="L5" s="795"/>
      <c r="M5" s="795"/>
      <c r="N5" s="795"/>
      <c r="O5" s="795"/>
      <c r="P5" s="795"/>
      <c r="Q5" s="795"/>
      <c r="R5" s="795"/>
      <c r="S5" s="795"/>
      <c r="T5" s="795"/>
      <c r="U5" s="795"/>
      <c r="V5" s="795"/>
      <c r="W5" s="795"/>
      <c r="X5" s="795"/>
      <c r="Y5" s="795"/>
      <c r="Z5" s="795"/>
      <c r="AA5" s="795"/>
      <c r="AB5" s="795"/>
      <c r="AC5" s="72"/>
      <c r="AD5" s="17"/>
      <c r="AE5" s="17"/>
      <c r="AF5" s="17"/>
      <c r="AG5" s="17"/>
      <c r="AH5" s="15"/>
    </row>
    <row r="6" spans="1:37" ht="18" customHeight="1">
      <c r="A6" s="8"/>
      <c r="B6" s="50"/>
      <c r="C6" s="8" t="s">
        <v>86</v>
      </c>
      <c r="D6" s="761"/>
      <c r="E6" s="761"/>
      <c r="F6" s="761"/>
      <c r="G6" s="761"/>
      <c r="H6" s="761"/>
      <c r="Q6" s="48" t="s">
        <v>228</v>
      </c>
      <c r="R6" s="48"/>
      <c r="S6" s="48"/>
      <c r="T6" s="48"/>
      <c r="U6" s="48"/>
      <c r="V6" s="48"/>
      <c r="W6" s="48"/>
      <c r="X6" s="48"/>
      <c r="Y6" s="48"/>
      <c r="Z6" s="48"/>
      <c r="AA6" s="48"/>
      <c r="AB6" s="67"/>
      <c r="AC6" s="67"/>
      <c r="AD6" s="17" t="s">
        <v>17</v>
      </c>
      <c r="AE6" s="17"/>
      <c r="AF6" s="17">
        <f>3*1150000</f>
        <v>3450000</v>
      </c>
      <c r="AG6" s="17">
        <f>2.67*1150000</f>
        <v>3070500</v>
      </c>
      <c r="AH6" s="17"/>
    </row>
    <row r="7" spans="1:37">
      <c r="A7" s="8"/>
      <c r="B7" s="146">
        <v>1490000</v>
      </c>
      <c r="C7" s="77">
        <v>1150000</v>
      </c>
      <c r="D7" s="761"/>
      <c r="E7" s="761"/>
      <c r="F7" s="761"/>
      <c r="G7" s="761"/>
      <c r="H7" s="761"/>
      <c r="I7" s="48"/>
      <c r="J7" s="50"/>
      <c r="K7" s="48"/>
      <c r="L7" s="48"/>
      <c r="M7" s="48"/>
      <c r="N7" s="48"/>
      <c r="O7" s="48"/>
      <c r="P7" s="48"/>
      <c r="Q7" s="48" t="s">
        <v>16</v>
      </c>
      <c r="R7" s="48"/>
      <c r="S7" s="48"/>
      <c r="T7" s="48"/>
      <c r="U7" s="48"/>
      <c r="V7" s="48"/>
      <c r="W7" s="48"/>
      <c r="X7" s="48"/>
      <c r="Y7" s="48"/>
      <c r="Z7" s="48"/>
      <c r="AA7" s="48"/>
      <c r="AD7" s="17"/>
      <c r="AE7" s="17"/>
      <c r="AF7" s="17">
        <f>AF6*10.5%</f>
        <v>362250</v>
      </c>
      <c r="AG7" s="17">
        <f>AG6*10.5%</f>
        <v>322402.5</v>
      </c>
      <c r="AH7" s="17"/>
    </row>
    <row r="8" spans="1:37">
      <c r="A8" s="8"/>
      <c r="B8" s="50"/>
      <c r="C8" s="8"/>
      <c r="D8" s="788"/>
      <c r="E8" s="788"/>
      <c r="F8" s="788"/>
      <c r="G8" s="788"/>
      <c r="H8" s="788"/>
      <c r="I8" s="52"/>
      <c r="J8" s="46"/>
      <c r="K8" s="52"/>
      <c r="L8" s="52"/>
      <c r="M8" s="52"/>
      <c r="N8" s="52"/>
      <c r="O8" s="52"/>
      <c r="P8" s="52"/>
      <c r="Q8" s="52" t="s">
        <v>1</v>
      </c>
      <c r="R8" s="52"/>
      <c r="S8" s="52"/>
      <c r="T8" s="52"/>
      <c r="U8" s="52"/>
      <c r="V8" s="52"/>
      <c r="W8" s="52"/>
      <c r="X8" s="52"/>
      <c r="Y8" s="52"/>
      <c r="Z8" s="52"/>
      <c r="AA8" s="52"/>
      <c r="AB8" s="66"/>
      <c r="AC8" s="66"/>
      <c r="AD8" s="17"/>
      <c r="AE8" s="17"/>
      <c r="AF8" s="16">
        <f>AF6-AF7</f>
        <v>3087750</v>
      </c>
      <c r="AG8" s="16">
        <f>AG6-AG7</f>
        <v>2748097.5</v>
      </c>
      <c r="AJ8" s="56"/>
    </row>
    <row r="9" spans="1:37" ht="12.75" customHeight="1">
      <c r="A9" s="8"/>
      <c r="B9" s="50"/>
      <c r="C9" s="8"/>
      <c r="D9" s="160"/>
      <c r="E9" s="160"/>
      <c r="F9" s="203"/>
      <c r="G9" s="46"/>
      <c r="H9" s="46"/>
      <c r="I9" s="52"/>
      <c r="J9" s="46"/>
      <c r="K9" s="52"/>
      <c r="L9" s="52"/>
      <c r="M9" s="52"/>
      <c r="N9" s="52"/>
      <c r="O9" s="52"/>
      <c r="P9" s="52"/>
      <c r="Q9" s="48"/>
      <c r="R9" s="48"/>
      <c r="S9" s="48"/>
      <c r="T9" s="48"/>
      <c r="U9" s="48"/>
      <c r="V9" s="48"/>
      <c r="W9" s="48"/>
      <c r="X9" s="48"/>
      <c r="Y9" s="48"/>
      <c r="Z9" s="48"/>
      <c r="AA9" s="53"/>
      <c r="AD9" s="17"/>
      <c r="AE9" s="17"/>
      <c r="AF9" s="16">
        <f>AF6*0.65</f>
        <v>2242500</v>
      </c>
      <c r="AG9" s="16">
        <f>AG6*0.65</f>
        <v>1995825</v>
      </c>
      <c r="AJ9" s="56"/>
    </row>
    <row r="10" spans="1:37" s="43" customFormat="1" ht="27.75" customHeight="1">
      <c r="A10" s="789" t="s">
        <v>2</v>
      </c>
      <c r="B10" s="789" t="s">
        <v>3</v>
      </c>
      <c r="C10" s="789"/>
      <c r="D10" s="790" t="s">
        <v>51</v>
      </c>
      <c r="E10" s="786" t="s">
        <v>235</v>
      </c>
      <c r="F10" s="791" t="s">
        <v>15</v>
      </c>
      <c r="G10" s="773" t="s">
        <v>129</v>
      </c>
      <c r="H10" s="786" t="s">
        <v>152</v>
      </c>
      <c r="I10" s="782" t="s">
        <v>179</v>
      </c>
      <c r="J10" s="782" t="s">
        <v>266</v>
      </c>
      <c r="K10" s="782" t="s">
        <v>267</v>
      </c>
      <c r="L10" s="782" t="s">
        <v>169</v>
      </c>
      <c r="M10" s="784"/>
      <c r="N10" s="786" t="s">
        <v>147</v>
      </c>
      <c r="O10" s="786" t="s">
        <v>148</v>
      </c>
      <c r="P10" s="773" t="s">
        <v>149</v>
      </c>
      <c r="Q10" s="766" t="s">
        <v>67</v>
      </c>
      <c r="R10" s="767"/>
      <c r="S10" s="767"/>
      <c r="T10" s="767"/>
      <c r="U10" s="768"/>
      <c r="V10" s="769" t="s">
        <v>167</v>
      </c>
      <c r="W10" s="770"/>
      <c r="X10" s="775" t="s">
        <v>272</v>
      </c>
      <c r="Y10" s="258"/>
      <c r="Z10" s="773" t="s">
        <v>153</v>
      </c>
      <c r="AA10" s="775" t="s">
        <v>5</v>
      </c>
      <c r="AB10" s="776"/>
      <c r="AC10" s="84"/>
      <c r="AD10" s="85"/>
      <c r="AE10" s="86"/>
      <c r="AF10" s="86">
        <f>AF9+AF8</f>
        <v>5330250</v>
      </c>
      <c r="AG10" s="86">
        <f>AG9+AG8</f>
        <v>4743922.5</v>
      </c>
      <c r="AH10" s="86"/>
      <c r="AI10" s="779"/>
      <c r="AJ10" s="87"/>
      <c r="AK10" s="79"/>
    </row>
    <row r="11" spans="1:37" s="43" customFormat="1" ht="41.25" customHeight="1">
      <c r="A11" s="789"/>
      <c r="B11" s="789"/>
      <c r="C11" s="789"/>
      <c r="D11" s="790"/>
      <c r="E11" s="787"/>
      <c r="F11" s="792"/>
      <c r="G11" s="774"/>
      <c r="H11" s="787"/>
      <c r="I11" s="783"/>
      <c r="J11" s="783"/>
      <c r="K11" s="783"/>
      <c r="L11" s="783"/>
      <c r="M11" s="785"/>
      <c r="N11" s="787"/>
      <c r="O11" s="787"/>
      <c r="P11" s="774"/>
      <c r="Q11" s="140" t="s">
        <v>113</v>
      </c>
      <c r="R11" s="140" t="s">
        <v>68</v>
      </c>
      <c r="S11" s="140" t="s">
        <v>60</v>
      </c>
      <c r="T11" s="138" t="s">
        <v>150</v>
      </c>
      <c r="U11" s="138" t="s">
        <v>151</v>
      </c>
      <c r="V11" s="138" t="s">
        <v>84</v>
      </c>
      <c r="W11" s="150" t="s">
        <v>169</v>
      </c>
      <c r="X11" s="777"/>
      <c r="Y11" s="259"/>
      <c r="Z11" s="774"/>
      <c r="AA11" s="777"/>
      <c r="AB11" s="778"/>
      <c r="AC11" s="84"/>
      <c r="AD11" s="85"/>
      <c r="AE11" s="86"/>
      <c r="AF11" s="86">
        <f>AF10+750000</f>
        <v>6080250</v>
      </c>
      <c r="AG11" s="86">
        <f>AG10+750000</f>
        <v>5493922.5</v>
      </c>
      <c r="AH11" s="86"/>
      <c r="AI11" s="779"/>
      <c r="AJ11" s="87"/>
      <c r="AK11" s="79"/>
    </row>
    <row r="12" spans="1:37"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254" t="s">
        <v>271</v>
      </c>
      <c r="AA12" s="780" t="s">
        <v>171</v>
      </c>
      <c r="AB12" s="781"/>
      <c r="AC12" s="84"/>
      <c r="AD12" s="147"/>
      <c r="AE12" s="86"/>
      <c r="AF12" s="86"/>
      <c r="AG12" s="86"/>
      <c r="AH12" s="86"/>
      <c r="AI12" s="141"/>
      <c r="AJ12" s="87"/>
      <c r="AK12" s="79"/>
    </row>
    <row r="13" spans="1:37" s="231" customFormat="1" ht="30" customHeight="1">
      <c r="A13" s="238" t="s">
        <v>32</v>
      </c>
      <c r="B13" s="239" t="s">
        <v>254</v>
      </c>
      <c r="C13" s="240"/>
      <c r="D13" s="241" t="s">
        <v>255</v>
      </c>
      <c r="E13" s="242"/>
      <c r="F13" s="243"/>
      <c r="G13" s="244" t="s">
        <v>245</v>
      </c>
      <c r="H13" s="245">
        <v>6</v>
      </c>
      <c r="I13" s="246">
        <v>6036046</v>
      </c>
      <c r="J13" s="247"/>
      <c r="K13" s="246"/>
      <c r="L13" s="246">
        <f>ROUND(I13+K13,0)</f>
        <v>6036046</v>
      </c>
      <c r="M13" s="246"/>
      <c r="N13" s="246">
        <f>L13/24*M13</f>
        <v>0</v>
      </c>
      <c r="O13" s="246"/>
      <c r="P13" s="246">
        <f>L13-N13+O13</f>
        <v>6036046</v>
      </c>
      <c r="Q13" s="246">
        <f>L13*8%</f>
        <v>482883.68</v>
      </c>
      <c r="R13" s="248">
        <f>L13*1.5%</f>
        <v>90540.69</v>
      </c>
      <c r="S13" s="246">
        <f>L13*1%</f>
        <v>60360.46</v>
      </c>
      <c r="T13" s="248"/>
      <c r="U13" s="248">
        <f>SUM(Q13:T13)</f>
        <v>633784.82999999996</v>
      </c>
      <c r="V13" s="248"/>
      <c r="W13" s="249"/>
      <c r="X13" s="249">
        <v>852000</v>
      </c>
      <c r="Y13" s="249"/>
      <c r="Z13" s="248">
        <f>P13-U13+W13+X13</f>
        <v>6254261.1699999999</v>
      </c>
      <c r="AA13" s="250"/>
      <c r="AB13" s="251"/>
      <c r="AC13" s="102"/>
      <c r="AD13" s="109"/>
      <c r="AE13" s="110"/>
      <c r="AF13" s="110"/>
      <c r="AG13" s="110"/>
      <c r="AH13" s="110"/>
      <c r="AI13" s="109"/>
      <c r="AJ13" s="111"/>
    </row>
    <row r="14" spans="1:37" ht="23.25" customHeight="1">
      <c r="A14" s="88"/>
      <c r="B14" s="758" t="s">
        <v>11</v>
      </c>
      <c r="C14" s="759"/>
      <c r="D14" s="161"/>
      <c r="E14" s="161"/>
      <c r="F14" s="82"/>
      <c r="G14" s="82"/>
      <c r="H14" s="89">
        <f>SUM(H13:H13)</f>
        <v>6</v>
      </c>
      <c r="I14" s="80">
        <f>SUM(I13:I13)</f>
        <v>6036046</v>
      </c>
      <c r="J14" s="153">
        <f>SUM(J13:J13)</f>
        <v>0</v>
      </c>
      <c r="K14" s="80">
        <f>SUM(K13:K13)</f>
        <v>0</v>
      </c>
      <c r="L14" s="80">
        <f>SUM(L13:L13)</f>
        <v>6036046</v>
      </c>
      <c r="M14" s="80"/>
      <c r="N14" s="80">
        <f t="shared" ref="N14:Y14" si="0">SUM(N13:N13)</f>
        <v>0</v>
      </c>
      <c r="O14" s="80">
        <f t="shared" si="0"/>
        <v>0</v>
      </c>
      <c r="P14" s="80">
        <f t="shared" si="0"/>
        <v>6036046</v>
      </c>
      <c r="Q14" s="80">
        <f t="shared" si="0"/>
        <v>482883.68</v>
      </c>
      <c r="R14" s="80">
        <f t="shared" si="0"/>
        <v>90540.69</v>
      </c>
      <c r="S14" s="80">
        <f t="shared" si="0"/>
        <v>60360.46</v>
      </c>
      <c r="T14" s="153">
        <f t="shared" si="0"/>
        <v>0</v>
      </c>
      <c r="U14" s="80">
        <f t="shared" si="0"/>
        <v>633784.82999999996</v>
      </c>
      <c r="V14" s="93">
        <f t="shared" si="0"/>
        <v>0</v>
      </c>
      <c r="W14" s="80">
        <f t="shared" si="0"/>
        <v>0</v>
      </c>
      <c r="X14" s="80">
        <f t="shared" si="0"/>
        <v>852000</v>
      </c>
      <c r="Y14" s="80">
        <f t="shared" si="0"/>
        <v>0</v>
      </c>
      <c r="Z14" s="80">
        <f>SUM(Z13:Z13)</f>
        <v>6254261.1699999999</v>
      </c>
      <c r="AA14" s="90"/>
      <c r="AB14" s="91"/>
      <c r="AC14" s="92"/>
      <c r="AD14" s="71" t="s">
        <v>77</v>
      </c>
      <c r="AE14" s="60"/>
      <c r="AF14" s="60"/>
      <c r="AG14" s="42"/>
      <c r="AH14" s="42"/>
      <c r="AI14" s="42"/>
      <c r="AJ14" s="58"/>
      <c r="AK14" s="42"/>
    </row>
    <row r="15" spans="1:37" ht="6.75" customHeight="1">
      <c r="A15" s="6"/>
      <c r="B15" s="142"/>
      <c r="C15" s="64"/>
      <c r="D15" s="162"/>
      <c r="E15" s="162"/>
      <c r="F15" s="204"/>
      <c r="G15" s="47"/>
      <c r="H15" s="46"/>
      <c r="I15" s="52"/>
      <c r="J15" s="46"/>
      <c r="K15" s="52"/>
      <c r="L15" s="52"/>
      <c r="M15" s="52"/>
      <c r="N15" s="52"/>
      <c r="O15" s="52"/>
      <c r="P15" s="52"/>
      <c r="Q15" s="52"/>
      <c r="R15" s="52"/>
      <c r="S15" s="52"/>
      <c r="T15" s="52"/>
      <c r="U15" s="52"/>
      <c r="V15" s="52"/>
      <c r="W15" s="52"/>
      <c r="X15" s="52"/>
      <c r="Y15" s="52"/>
      <c r="Z15" s="52"/>
      <c r="AA15" s="54"/>
      <c r="AB15" s="68"/>
      <c r="AC15" s="68"/>
      <c r="AD15" s="65"/>
      <c r="AE15" s="65"/>
      <c r="AF15" s="65"/>
    </row>
    <row r="16" spans="1:37" ht="18" customHeight="1">
      <c r="A16" s="5"/>
      <c r="B16" s="760" t="s">
        <v>12</v>
      </c>
      <c r="C16" s="760"/>
      <c r="D16" s="17" t="s">
        <v>329</v>
      </c>
      <c r="E16" s="17"/>
      <c r="S16" s="18"/>
      <c r="T16" s="18"/>
      <c r="U16" s="18"/>
      <c r="V16" s="18"/>
      <c r="W16" s="18"/>
      <c r="X16" s="18"/>
      <c r="Y16" s="18"/>
      <c r="Z16" s="18"/>
      <c r="AA16" s="17"/>
      <c r="AB16" s="67"/>
      <c r="AC16" s="67"/>
      <c r="AD16" s="69"/>
      <c r="AE16" s="60"/>
      <c r="AF16" s="60"/>
    </row>
    <row r="17" spans="1:38" ht="7.5" customHeight="1">
      <c r="A17" s="5"/>
      <c r="B17" s="760"/>
      <c r="C17" s="760"/>
      <c r="D17" s="163"/>
      <c r="E17" s="163"/>
      <c r="F17" s="206"/>
      <c r="G17" s="49"/>
      <c r="H17" s="49"/>
      <c r="I17" s="50"/>
      <c r="J17" s="50"/>
      <c r="K17" s="50"/>
      <c r="L17" s="50"/>
      <c r="M17" s="50"/>
      <c r="N17" s="50"/>
      <c r="O17" s="50"/>
      <c r="P17" s="50"/>
      <c r="Q17" s="50"/>
      <c r="R17" s="50"/>
      <c r="S17" s="50"/>
      <c r="T17" s="50"/>
      <c r="U17" s="50"/>
      <c r="V17" s="50"/>
      <c r="W17" s="50"/>
      <c r="X17" s="50"/>
      <c r="Y17" s="50"/>
      <c r="Z17" s="50"/>
      <c r="AA17" s="761"/>
      <c r="AB17" s="761"/>
      <c r="AC17" s="50"/>
      <c r="AD17" s="750" t="e">
        <f>1000000-#REF!</f>
        <v>#REF!</v>
      </c>
      <c r="AE17" s="747"/>
      <c r="AF17" s="747"/>
    </row>
    <row r="18" spans="1:38" ht="15.75" customHeight="1">
      <c r="A18" s="5"/>
      <c r="B18" s="747"/>
      <c r="C18" s="747"/>
      <c r="D18" s="7"/>
      <c r="E18" s="7"/>
      <c r="F18" s="207"/>
      <c r="G18" s="5"/>
      <c r="H18" s="5"/>
      <c r="S18" s="762" t="s">
        <v>353</v>
      </c>
      <c r="T18" s="762"/>
      <c r="U18" s="762"/>
      <c r="V18" s="762"/>
      <c r="W18" s="762"/>
      <c r="X18" s="762"/>
      <c r="Y18" s="762"/>
      <c r="Z18" s="762"/>
      <c r="AA18" s="762"/>
      <c r="AB18" s="762"/>
      <c r="AC18" s="763"/>
      <c r="AD18" s="747"/>
      <c r="AE18" s="747"/>
      <c r="AF18" s="747"/>
    </row>
    <row r="19" spans="1:38" ht="15.75" customHeight="1">
      <c r="A19" s="751" t="s">
        <v>13</v>
      </c>
      <c r="B19" s="751"/>
      <c r="C19" s="751"/>
      <c r="D19" s="751"/>
      <c r="E19" s="751"/>
      <c r="F19" s="751"/>
      <c r="G19" s="751"/>
      <c r="H19" s="751"/>
      <c r="I19" s="751" t="s">
        <v>182</v>
      </c>
      <c r="J19" s="751"/>
      <c r="K19" s="751"/>
      <c r="L19" s="751"/>
      <c r="M19" s="751"/>
      <c r="N19" s="751"/>
      <c r="O19" s="751"/>
      <c r="P19" s="751"/>
      <c r="Q19" s="751"/>
      <c r="R19" s="751"/>
      <c r="S19" s="765" t="s">
        <v>14</v>
      </c>
      <c r="T19" s="765"/>
      <c r="U19" s="765"/>
      <c r="V19" s="765"/>
      <c r="W19" s="765"/>
      <c r="X19" s="765"/>
      <c r="Y19" s="765"/>
      <c r="Z19" s="765"/>
      <c r="AA19" s="765"/>
      <c r="AB19" s="765"/>
      <c r="AC19" s="764"/>
      <c r="AD19" s="752"/>
      <c r="AE19" s="752"/>
      <c r="AF19" s="752"/>
    </row>
    <row r="20" spans="1:38" ht="15.75" customHeight="1">
      <c r="A20" s="5"/>
      <c r="B20" s="749"/>
      <c r="C20" s="749"/>
      <c r="D20" s="7"/>
      <c r="E20" s="7"/>
      <c r="F20" s="207"/>
      <c r="G20" s="5"/>
      <c r="H20" s="5"/>
      <c r="I20" s="4"/>
      <c r="J20" s="4"/>
      <c r="K20" s="4"/>
      <c r="L20" s="4"/>
      <c r="M20" s="4"/>
      <c r="N20" s="4"/>
      <c r="O20" s="4"/>
      <c r="P20" s="4"/>
      <c r="Q20" s="70"/>
      <c r="R20" s="4"/>
      <c r="S20" s="4"/>
      <c r="T20" s="4"/>
      <c r="U20" s="4"/>
      <c r="V20" s="4"/>
      <c r="AA20" s="749"/>
      <c r="AB20" s="749"/>
      <c r="AC20" s="4"/>
      <c r="AD20" s="747"/>
      <c r="AE20" s="747"/>
      <c r="AF20" s="747"/>
    </row>
    <row r="21" spans="1:38" ht="15.75" customHeight="1">
      <c r="A21" s="5"/>
      <c r="B21" s="747"/>
      <c r="C21" s="747"/>
      <c r="D21" s="7"/>
      <c r="E21" s="7"/>
      <c r="F21" s="207"/>
      <c r="G21" s="5"/>
      <c r="H21" s="5"/>
      <c r="I21" s="4"/>
      <c r="J21" s="4"/>
      <c r="K21" s="4"/>
      <c r="L21" s="4"/>
      <c r="M21" s="4"/>
      <c r="N21" s="4"/>
      <c r="O21" s="4"/>
      <c r="P21" s="4"/>
      <c r="Q21" s="4"/>
      <c r="S21" s="157"/>
      <c r="T21" s="157"/>
      <c r="U21" s="157"/>
      <c r="V21" s="157"/>
      <c r="W21" s="157"/>
      <c r="X21" s="157"/>
      <c r="Y21" s="157"/>
      <c r="Z21" s="157"/>
      <c r="AA21" s="157"/>
      <c r="AB21" s="157"/>
      <c r="AC21" s="157"/>
      <c r="AD21" s="157"/>
      <c r="AE21" s="75"/>
      <c r="AF21" s="75"/>
      <c r="AG21" s="75"/>
      <c r="AH21" s="75"/>
      <c r="AI21" s="75"/>
      <c r="AJ21" s="75"/>
      <c r="AK21" s="75"/>
      <c r="AL21" s="75"/>
    </row>
    <row r="22" spans="1:38" ht="15.75" customHeight="1">
      <c r="A22" s="5"/>
      <c r="C22" s="5"/>
      <c r="D22" s="7"/>
      <c r="E22" s="7"/>
      <c r="F22" s="207"/>
      <c r="G22" s="5"/>
      <c r="H22" s="5"/>
      <c r="I22" s="4"/>
      <c r="J22" s="4"/>
      <c r="K22" s="4"/>
      <c r="L22" s="4" t="s">
        <v>180</v>
      </c>
      <c r="M22" s="4"/>
      <c r="N22" s="4"/>
      <c r="O22" s="4"/>
      <c r="P22" s="4"/>
      <c r="Q22" s="4"/>
      <c r="R22" s="4"/>
      <c r="S22" s="4"/>
      <c r="T22" s="4"/>
      <c r="U22" s="4"/>
      <c r="V22" s="4"/>
      <c r="AB22" s="75"/>
      <c r="AC22" s="75"/>
      <c r="AD22" s="75"/>
      <c r="AE22" s="75"/>
      <c r="AF22" s="75"/>
      <c r="AG22" s="75"/>
      <c r="AH22" s="75"/>
      <c r="AI22" s="75"/>
      <c r="AJ22" s="75"/>
      <c r="AK22" s="75"/>
      <c r="AL22" s="75"/>
    </row>
    <row r="23" spans="1:38">
      <c r="A23" s="5"/>
      <c r="B23" s="747"/>
      <c r="C23" s="747"/>
      <c r="D23" s="7"/>
      <c r="E23" s="7"/>
      <c r="F23" s="207"/>
      <c r="G23" s="5"/>
      <c r="H23" s="5"/>
      <c r="I23" s="4"/>
      <c r="J23" s="4"/>
      <c r="K23" s="4"/>
      <c r="L23" s="4"/>
      <c r="M23" s="4"/>
      <c r="N23" s="4"/>
      <c r="O23" s="4"/>
      <c r="P23" s="4"/>
      <c r="Q23" s="4"/>
      <c r="R23" s="4"/>
      <c r="S23" s="4"/>
      <c r="T23" s="4"/>
      <c r="U23" s="4"/>
      <c r="V23" s="4"/>
      <c r="AA23" s="749"/>
      <c r="AB23" s="749"/>
      <c r="AC23" s="4"/>
      <c r="AD23" s="750"/>
      <c r="AE23" s="747"/>
      <c r="AF23" s="747"/>
    </row>
    <row r="24" spans="1:38" ht="15.75" customHeight="1">
      <c r="A24" s="5"/>
      <c r="B24" s="747"/>
      <c r="C24" s="747"/>
      <c r="D24" s="7"/>
      <c r="E24" s="7"/>
      <c r="F24" s="207"/>
      <c r="G24" s="5"/>
      <c r="H24" s="5"/>
      <c r="I24" s="4"/>
      <c r="J24" s="4"/>
      <c r="K24" s="4"/>
      <c r="L24" s="4"/>
      <c r="M24" s="4"/>
      <c r="N24" s="4"/>
      <c r="O24" s="4"/>
      <c r="P24" s="4"/>
      <c r="Q24" s="4"/>
      <c r="R24" s="4"/>
      <c r="S24" s="4"/>
      <c r="T24" s="4"/>
      <c r="U24" s="4"/>
      <c r="V24" s="4"/>
      <c r="AA24" s="749"/>
      <c r="AB24" s="749"/>
      <c r="AC24" s="4"/>
      <c r="AD24" s="750"/>
      <c r="AE24" s="747"/>
      <c r="AF24" s="747"/>
    </row>
    <row r="25" spans="1:38" ht="15.75" customHeight="1">
      <c r="A25" s="5"/>
      <c r="B25" s="747"/>
      <c r="C25" s="747"/>
      <c r="D25" s="7"/>
      <c r="E25" s="7"/>
      <c r="F25" s="207"/>
      <c r="G25" s="5"/>
      <c r="H25" s="5"/>
      <c r="I25" s="4"/>
      <c r="J25" s="4"/>
      <c r="K25" s="4"/>
      <c r="L25" s="4"/>
      <c r="M25" s="4"/>
      <c r="N25" s="4"/>
      <c r="O25" s="4"/>
      <c r="P25" s="4"/>
      <c r="Q25" s="4"/>
      <c r="R25" s="4"/>
      <c r="S25" s="4"/>
      <c r="T25" s="4"/>
      <c r="U25" s="4"/>
      <c r="V25" s="4"/>
      <c r="AA25" s="749"/>
      <c r="AB25" s="749"/>
      <c r="AC25" s="4"/>
      <c r="AD25" s="750"/>
      <c r="AE25" s="747"/>
      <c r="AF25" s="747"/>
    </row>
    <row r="26" spans="1:38" ht="15.75" customHeight="1">
      <c r="A26" s="751" t="s">
        <v>225</v>
      </c>
      <c r="B26" s="751"/>
      <c r="C26" s="751"/>
      <c r="D26" s="751"/>
      <c r="E26" s="751"/>
      <c r="F26" s="751"/>
      <c r="G26" s="751"/>
      <c r="H26" s="751"/>
      <c r="I26" s="751" t="s">
        <v>122</v>
      </c>
      <c r="J26" s="751"/>
      <c r="K26" s="751"/>
      <c r="L26" s="751"/>
      <c r="M26" s="751"/>
      <c r="N26" s="751"/>
      <c r="O26" s="751"/>
      <c r="P26" s="751"/>
      <c r="Q26" s="751"/>
      <c r="R26" s="751"/>
      <c r="S26" s="751" t="s">
        <v>119</v>
      </c>
      <c r="T26" s="751"/>
      <c r="U26" s="751"/>
      <c r="V26" s="751"/>
      <c r="W26" s="751"/>
      <c r="X26" s="751"/>
      <c r="Y26" s="751"/>
      <c r="Z26" s="751"/>
      <c r="AA26" s="751"/>
      <c r="AB26" s="751"/>
      <c r="AC26" s="8"/>
      <c r="AD26" s="752"/>
      <c r="AE26" s="752"/>
      <c r="AF26" s="752"/>
    </row>
    <row r="27" spans="1:38">
      <c r="A27" s="61"/>
      <c r="B27" s="63"/>
      <c r="C27" s="62"/>
      <c r="D27" s="164"/>
      <c r="E27" s="164"/>
      <c r="F27" s="208"/>
      <c r="G27" s="63"/>
      <c r="H27" s="63"/>
      <c r="I27" s="63"/>
      <c r="J27" s="51"/>
      <c r="K27" s="63"/>
      <c r="L27" s="63"/>
      <c r="M27" s="63"/>
      <c r="N27" s="63"/>
      <c r="O27" s="63"/>
      <c r="P27" s="63"/>
      <c r="Q27" s="63"/>
      <c r="R27" s="63"/>
      <c r="S27" s="63"/>
      <c r="T27" s="63"/>
      <c r="U27" s="63"/>
      <c r="V27" s="63"/>
      <c r="W27" s="63"/>
      <c r="X27" s="63"/>
      <c r="Y27" s="63"/>
      <c r="Z27" s="63"/>
      <c r="AA27" s="753"/>
      <c r="AB27" s="753"/>
      <c r="AC27" s="51"/>
      <c r="AD27" s="750"/>
      <c r="AE27" s="747"/>
      <c r="AF27" s="747"/>
    </row>
    <row r="28" spans="1:38">
      <c r="B28" s="30"/>
      <c r="C28" s="19"/>
      <c r="G28" s="30"/>
      <c r="H28" s="30"/>
      <c r="AA28" s="748"/>
      <c r="AB28" s="748"/>
      <c r="AC28" s="45"/>
      <c r="AD28" s="747"/>
      <c r="AE28" s="747"/>
      <c r="AF28" s="747"/>
    </row>
    <row r="29" spans="1:38">
      <c r="A29" s="5"/>
      <c r="B29" s="747"/>
      <c r="C29" s="747"/>
      <c r="AA29" s="748"/>
      <c r="AB29" s="748"/>
      <c r="AC29" s="45"/>
      <c r="AD29" s="747"/>
      <c r="AE29" s="747"/>
      <c r="AF29" s="747"/>
    </row>
    <row r="30" spans="1:38">
      <c r="A30" s="5"/>
      <c r="B30" s="747"/>
      <c r="C30" s="747"/>
      <c r="AA30" s="748"/>
      <c r="AB30" s="748"/>
      <c r="AC30" s="45"/>
      <c r="AD30" s="747"/>
      <c r="AE30" s="747"/>
      <c r="AF30" s="747"/>
    </row>
    <row r="31" spans="1:38">
      <c r="A31" s="5"/>
      <c r="B31" s="747"/>
      <c r="C31" s="747"/>
      <c r="AA31" s="748"/>
      <c r="AB31" s="748"/>
      <c r="AC31" s="45"/>
      <c r="AD31" s="747"/>
      <c r="AE31" s="747"/>
      <c r="AF31" s="747"/>
    </row>
    <row r="32" spans="1:38">
      <c r="A32" s="5"/>
      <c r="B32" s="747"/>
      <c r="C32" s="747"/>
      <c r="AA32" s="748"/>
      <c r="AB32" s="748"/>
      <c r="AC32" s="45"/>
      <c r="AD32" s="747"/>
      <c r="AE32" s="747"/>
      <c r="AF32" s="747"/>
    </row>
    <row r="33" spans="1:32">
      <c r="A33" s="5"/>
      <c r="B33" s="747"/>
      <c r="C33" s="747"/>
      <c r="AA33" s="748"/>
      <c r="AB33" s="748"/>
      <c r="AC33" s="45"/>
      <c r="AD33" s="747"/>
      <c r="AE33" s="747"/>
      <c r="AF33" s="747"/>
    </row>
    <row r="34" spans="1:32">
      <c r="A34" s="5"/>
      <c r="B34" s="747"/>
      <c r="C34" s="747"/>
      <c r="AA34" s="748"/>
      <c r="AB34" s="748"/>
      <c r="AC34" s="45"/>
      <c r="AD34" s="747"/>
      <c r="AE34" s="747"/>
      <c r="AF34" s="747"/>
    </row>
    <row r="35" spans="1:32">
      <c r="A35" s="5"/>
      <c r="B35" s="747"/>
      <c r="C35" s="747"/>
      <c r="AA35" s="748"/>
      <c r="AB35" s="748"/>
      <c r="AC35" s="45"/>
      <c r="AD35" s="747"/>
      <c r="AE35" s="747"/>
      <c r="AF35" s="747"/>
    </row>
    <row r="36" spans="1:32">
      <c r="A36" s="5"/>
      <c r="B36" s="747"/>
      <c r="C36" s="747"/>
      <c r="AA36" s="748"/>
      <c r="AB36" s="748"/>
      <c r="AC36" s="45"/>
      <c r="AD36" s="747"/>
      <c r="AE36" s="747"/>
      <c r="AF36" s="747"/>
    </row>
    <row r="37" spans="1:32">
      <c r="A37" s="5"/>
      <c r="B37" s="747"/>
      <c r="C37" s="747"/>
      <c r="AA37" s="748"/>
      <c r="AB37" s="748"/>
      <c r="AC37" s="45"/>
      <c r="AD37" s="747"/>
      <c r="AE37" s="747"/>
      <c r="AF37" s="747"/>
    </row>
    <row r="38" spans="1:32">
      <c r="A38" s="5"/>
      <c r="B38" s="747"/>
      <c r="C38" s="747"/>
      <c r="AA38" s="748"/>
      <c r="AB38" s="748"/>
      <c r="AC38" s="45"/>
      <c r="AD38" s="747"/>
      <c r="AE38" s="747"/>
      <c r="AF38" s="747"/>
    </row>
    <row r="39" spans="1:32">
      <c r="A39" s="5"/>
      <c r="B39" s="747"/>
      <c r="C39" s="747"/>
      <c r="AA39" s="748"/>
      <c r="AB39" s="748"/>
      <c r="AC39" s="45"/>
      <c r="AD39" s="747"/>
      <c r="AE39" s="747"/>
      <c r="AF39" s="747"/>
    </row>
    <row r="40" spans="1:32">
      <c r="A40" s="5"/>
      <c r="B40" s="747"/>
      <c r="C40" s="747"/>
      <c r="AA40" s="748"/>
      <c r="AB40" s="748"/>
      <c r="AC40" s="45"/>
      <c r="AD40" s="747"/>
      <c r="AE40" s="747"/>
      <c r="AF40" s="747"/>
    </row>
    <row r="41" spans="1:32">
      <c r="A41" s="5"/>
      <c r="B41" s="747"/>
      <c r="C41" s="747"/>
      <c r="AA41" s="748"/>
      <c r="AB41" s="748"/>
      <c r="AC41" s="45"/>
      <c r="AD41" s="747"/>
      <c r="AE41" s="747"/>
      <c r="AF41" s="747"/>
    </row>
    <row r="42" spans="1:32">
      <c r="A42" s="5"/>
      <c r="B42" s="747"/>
      <c r="C42" s="747"/>
      <c r="AA42" s="748"/>
      <c r="AB42" s="748"/>
      <c r="AC42" s="45"/>
      <c r="AD42" s="747"/>
      <c r="AE42" s="747"/>
      <c r="AF42" s="747"/>
    </row>
    <row r="43" spans="1:32">
      <c r="A43" s="5"/>
      <c r="B43" s="747"/>
      <c r="C43" s="747"/>
      <c r="AA43" s="748"/>
      <c r="AB43" s="748"/>
      <c r="AC43" s="45"/>
      <c r="AD43" s="747"/>
      <c r="AE43" s="747"/>
      <c r="AF43" s="747"/>
    </row>
    <row r="44" spans="1:32">
      <c r="A44" s="5"/>
      <c r="B44" s="747"/>
      <c r="C44" s="747"/>
      <c r="AA44" s="748"/>
      <c r="AB44" s="748"/>
      <c r="AC44" s="45"/>
      <c r="AD44" s="747"/>
      <c r="AE44" s="747"/>
      <c r="AF44" s="747"/>
    </row>
    <row r="45" spans="1:32">
      <c r="A45" s="5"/>
      <c r="B45" s="747"/>
      <c r="C45" s="747"/>
      <c r="AA45" s="748"/>
      <c r="AB45" s="748"/>
      <c r="AC45" s="45"/>
      <c r="AD45" s="747"/>
      <c r="AE45" s="747"/>
      <c r="AF45" s="747"/>
    </row>
  </sheetData>
  <mergeCells count="119">
    <mergeCell ref="A1:H1"/>
    <mergeCell ref="A2:H2"/>
    <mergeCell ref="C3:D3"/>
    <mergeCell ref="Q3:Z3"/>
    <mergeCell ref="AA3:AB3"/>
    <mergeCell ref="AE3:AF3"/>
    <mergeCell ref="AG3:AH3"/>
    <mergeCell ref="A4:AB4"/>
    <mergeCell ref="A5:AB5"/>
    <mergeCell ref="D6:H6"/>
    <mergeCell ref="D7:H7"/>
    <mergeCell ref="D8:H8"/>
    <mergeCell ref="K10:K11"/>
    <mergeCell ref="L10:L11"/>
    <mergeCell ref="M10:M11"/>
    <mergeCell ref="A10:A11"/>
    <mergeCell ref="B10:C11"/>
    <mergeCell ref="D10:D11"/>
    <mergeCell ref="E10:E11"/>
    <mergeCell ref="F10:F11"/>
    <mergeCell ref="G10:G11"/>
    <mergeCell ref="AI10:AI11"/>
    <mergeCell ref="AA12:AB12"/>
    <mergeCell ref="N10:N11"/>
    <mergeCell ref="O10:O11"/>
    <mergeCell ref="P10:P11"/>
    <mergeCell ref="Q10:U10"/>
    <mergeCell ref="V10:W10"/>
    <mergeCell ref="X10:X11"/>
    <mergeCell ref="B14:C14"/>
    <mergeCell ref="B16:C16"/>
    <mergeCell ref="B17:C17"/>
    <mergeCell ref="AA17:AB17"/>
    <mergeCell ref="AD17:AF17"/>
    <mergeCell ref="Z10:Z11"/>
    <mergeCell ref="AA10:AB11"/>
    <mergeCell ref="H10:H11"/>
    <mergeCell ref="I10:I11"/>
    <mergeCell ref="J10:J11"/>
    <mergeCell ref="B18:C18"/>
    <mergeCell ref="S18:AB18"/>
    <mergeCell ref="AC18:AC19"/>
    <mergeCell ref="AD18:AF18"/>
    <mergeCell ref="A19:H19"/>
    <mergeCell ref="I19:R19"/>
    <mergeCell ref="S19:AB19"/>
    <mergeCell ref="AD19:AF19"/>
    <mergeCell ref="B20:C20"/>
    <mergeCell ref="AA20:AB20"/>
    <mergeCell ref="AD20:AF20"/>
    <mergeCell ref="B21:C21"/>
    <mergeCell ref="B23:C23"/>
    <mergeCell ref="AA23:AB23"/>
    <mergeCell ref="AD23:AF23"/>
    <mergeCell ref="B24:C24"/>
    <mergeCell ref="AA24:AB24"/>
    <mergeCell ref="AD24:AF24"/>
    <mergeCell ref="B25:C25"/>
    <mergeCell ref="AA25:AB25"/>
    <mergeCell ref="AD25:AF25"/>
    <mergeCell ref="A26:H26"/>
    <mergeCell ref="I26:R26"/>
    <mergeCell ref="S26:AB26"/>
    <mergeCell ref="AD26:AF26"/>
    <mergeCell ref="AA27:AB27"/>
    <mergeCell ref="AD27:AF27"/>
    <mergeCell ref="AA28:AB28"/>
    <mergeCell ref="AD28:AF28"/>
    <mergeCell ref="B29:C29"/>
    <mergeCell ref="AA29:AB29"/>
    <mergeCell ref="AD29:AF29"/>
    <mergeCell ref="B30:C30"/>
    <mergeCell ref="AA30:AB30"/>
    <mergeCell ref="AD30:AF30"/>
    <mergeCell ref="B31:C31"/>
    <mergeCell ref="AA31:AB31"/>
    <mergeCell ref="AD31:AF31"/>
    <mergeCell ref="B32:C32"/>
    <mergeCell ref="AA32:AB32"/>
    <mergeCell ref="AD32:AF32"/>
    <mergeCell ref="B33:C33"/>
    <mergeCell ref="AA33:AB33"/>
    <mergeCell ref="AD33:AF33"/>
    <mergeCell ref="B34:C34"/>
    <mergeCell ref="AA34:AB34"/>
    <mergeCell ref="AD34:AF34"/>
    <mergeCell ref="B35:C35"/>
    <mergeCell ref="AA35:AB35"/>
    <mergeCell ref="AD35:AF35"/>
    <mergeCell ref="B36:C36"/>
    <mergeCell ref="AA36:AB36"/>
    <mergeCell ref="AD36:AF36"/>
    <mergeCell ref="B37:C37"/>
    <mergeCell ref="AA37:AB37"/>
    <mergeCell ref="AD37:AF37"/>
    <mergeCell ref="B38:C38"/>
    <mergeCell ref="AA38:AB38"/>
    <mergeCell ref="AD38:AF38"/>
    <mergeCell ref="B39:C39"/>
    <mergeCell ref="AA39:AB39"/>
    <mergeCell ref="AD39:AF39"/>
    <mergeCell ref="B40:C40"/>
    <mergeCell ref="AA40:AB40"/>
    <mergeCell ref="AD40:AF40"/>
    <mergeCell ref="B41:C41"/>
    <mergeCell ref="AA41:AB41"/>
    <mergeCell ref="AD41:AF41"/>
    <mergeCell ref="B42:C42"/>
    <mergeCell ref="AA42:AB42"/>
    <mergeCell ref="AD42:AF42"/>
    <mergeCell ref="B45:C45"/>
    <mergeCell ref="AA45:AB45"/>
    <mergeCell ref="AD45:AF45"/>
    <mergeCell ref="B43:C43"/>
    <mergeCell ref="AA43:AB43"/>
    <mergeCell ref="AD43:AF43"/>
    <mergeCell ref="B44:C44"/>
    <mergeCell ref="AA44:AB44"/>
    <mergeCell ref="AD44:AF44"/>
  </mergeCells>
  <printOptions horizontalCentered="1"/>
  <pageMargins left="0.32" right="0.17" top="0.33" bottom="0.4" header="0.17" footer="0.17"/>
  <pageSetup paperSize="9" scale="76" orientation="landscape" r:id="rId1"/>
  <headerFooter alignWithMargins="0">
    <oddFooter>Page &amp;P</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AS113"/>
  <sheetViews>
    <sheetView tabSelected="1" topLeftCell="A11" zoomScaleNormal="100" workbookViewId="0">
      <selection activeCell="K16" sqref="K16"/>
    </sheetView>
  </sheetViews>
  <sheetFormatPr defaultRowHeight="15"/>
  <cols>
    <col min="1" max="1" width="5.125" style="16" customWidth="1"/>
    <col min="2" max="2" width="16.25" style="44" customWidth="1"/>
    <col min="3" max="3" width="11.25" style="165" customWidth="1"/>
    <col min="4" max="4" width="13" style="165" hidden="1" customWidth="1"/>
    <col min="5" max="5" width="17.125" style="205" hidden="1" customWidth="1"/>
    <col min="6" max="6" width="13.5" style="205" hidden="1" customWidth="1"/>
    <col min="7" max="7" width="7.375" style="44" customWidth="1"/>
    <col min="8" max="8" width="6.125" style="44" customWidth="1"/>
    <col min="9" max="9" width="11.75" style="44" customWidth="1"/>
    <col min="10" max="10" width="11.75" style="45" bestFit="1" customWidth="1"/>
    <col min="11" max="11" width="9.625" style="44" customWidth="1"/>
    <col min="12" max="12" width="11.75" style="44" customWidth="1"/>
    <col min="13" max="13" width="11.75" style="44" hidden="1" customWidth="1"/>
    <col min="14" max="14" width="9" style="44" customWidth="1"/>
    <col min="15" max="15" width="6.875" style="44" customWidth="1"/>
    <col min="16" max="16" width="11.375" style="44" customWidth="1"/>
    <col min="17" max="17" width="9.875" style="44" customWidth="1"/>
    <col min="18" max="18" width="9.25" style="44" customWidth="1"/>
    <col min="19" max="19" width="9.5" style="44" customWidth="1"/>
    <col min="20" max="20" width="5.875" style="44" customWidth="1"/>
    <col min="21" max="21" width="11.125" style="44" customWidth="1"/>
    <col min="22" max="22" width="5.625" style="44" customWidth="1"/>
    <col min="23" max="23" width="6.5" style="44" customWidth="1"/>
    <col min="24" max="24" width="6.125" style="44" customWidth="1"/>
    <col min="25" max="25" width="6.25" style="44" customWidth="1"/>
    <col min="26" max="26" width="8" style="357" customWidth="1"/>
    <col min="27" max="27" width="12.5" style="44" customWidth="1"/>
    <col min="28" max="28" width="4.125" style="44" customWidth="1"/>
    <col min="29" max="29" width="11.5" style="6" customWidth="1"/>
    <col min="30" max="30" width="17.125" style="6" bestFit="1" customWidth="1"/>
    <col min="31" max="31" width="10" style="610" customWidth="1"/>
    <col min="32" max="32" width="8.625" style="42" customWidth="1"/>
    <col min="33" max="33" width="11.25" style="42" customWidth="1"/>
    <col min="34" max="34" width="36.375" style="42" customWidth="1"/>
    <col min="35" max="35" width="13" style="42" customWidth="1"/>
    <col min="36" max="45" width="9" style="42"/>
    <col min="46" max="16384" width="9" style="16"/>
  </cols>
  <sheetData>
    <row r="1" spans="1:45">
      <c r="A1" s="793" t="s">
        <v>78</v>
      </c>
      <c r="B1" s="793"/>
      <c r="C1" s="793"/>
      <c r="D1" s="793"/>
      <c r="E1" s="793"/>
      <c r="F1" s="793"/>
      <c r="G1" s="793"/>
      <c r="H1" s="793"/>
      <c r="I1" s="17"/>
      <c r="J1" s="8"/>
      <c r="K1" s="17"/>
      <c r="L1" s="17"/>
      <c r="M1" s="17"/>
      <c r="N1" s="17"/>
      <c r="O1" s="17"/>
      <c r="P1" s="17"/>
      <c r="Q1" s="17"/>
      <c r="R1" s="17"/>
      <c r="S1" s="17"/>
      <c r="T1" s="17"/>
      <c r="U1" s="17"/>
      <c r="V1" s="17"/>
      <c r="W1" s="17"/>
      <c r="X1" s="17"/>
      <c r="Y1" s="17"/>
      <c r="Z1" s="351"/>
      <c r="AA1" s="17"/>
      <c r="AB1" s="17"/>
      <c r="AC1" s="17"/>
      <c r="AD1" s="8"/>
      <c r="AE1" s="594"/>
    </row>
    <row r="2" spans="1:45">
      <c r="A2" s="751" t="s">
        <v>185</v>
      </c>
      <c r="B2" s="751"/>
      <c r="C2" s="751"/>
      <c r="D2" s="751"/>
      <c r="E2" s="751"/>
      <c r="F2" s="751"/>
      <c r="G2" s="751"/>
      <c r="H2" s="751"/>
      <c r="I2" s="18"/>
      <c r="J2" s="24"/>
      <c r="K2" s="18"/>
      <c r="L2" s="18"/>
      <c r="M2" s="18"/>
      <c r="N2" s="18"/>
      <c r="O2" s="18"/>
      <c r="P2" s="18"/>
      <c r="Q2" s="18"/>
      <c r="R2" s="18"/>
      <c r="S2" s="18"/>
      <c r="T2" s="18"/>
      <c r="U2" s="18"/>
      <c r="V2" s="18"/>
      <c r="W2" s="18"/>
      <c r="X2" s="18"/>
      <c r="Y2" s="18"/>
      <c r="Z2" s="352"/>
      <c r="AA2" s="18"/>
      <c r="AB2" s="18"/>
      <c r="AC2" s="18"/>
      <c r="AD2" s="24"/>
      <c r="AE2" s="609"/>
    </row>
    <row r="3" spans="1:45" ht="3.75" customHeight="1">
      <c r="A3" s="4"/>
      <c r="B3" s="45"/>
      <c r="C3" s="555"/>
      <c r="D3" s="4"/>
      <c r="E3" s="37"/>
      <c r="F3" s="37"/>
      <c r="G3" s="4"/>
      <c r="H3" s="45"/>
      <c r="I3" s="45"/>
      <c r="K3" s="45"/>
      <c r="L3" s="45"/>
      <c r="M3" s="45"/>
      <c r="N3" s="45"/>
      <c r="O3" s="45"/>
      <c r="P3" s="45"/>
      <c r="Q3" s="748"/>
      <c r="R3" s="748"/>
      <c r="S3" s="748"/>
      <c r="T3" s="748"/>
      <c r="U3" s="748"/>
      <c r="V3" s="748"/>
      <c r="W3" s="748"/>
      <c r="X3" s="748"/>
      <c r="Y3" s="748"/>
      <c r="Z3" s="748"/>
      <c r="AA3" s="748"/>
      <c r="AB3" s="748"/>
      <c r="AC3" s="748"/>
      <c r="AD3" s="45"/>
      <c r="AE3" s="595"/>
    </row>
    <row r="4" spans="1:45" ht="22.5" customHeight="1">
      <c r="A4" s="795" t="s">
        <v>408</v>
      </c>
      <c r="B4" s="795"/>
      <c r="C4" s="795"/>
      <c r="D4" s="795"/>
      <c r="E4" s="795"/>
      <c r="F4" s="795"/>
      <c r="G4" s="795"/>
      <c r="H4" s="795"/>
      <c r="I4" s="795"/>
      <c r="J4" s="795"/>
      <c r="K4" s="795"/>
      <c r="L4" s="795"/>
      <c r="M4" s="795"/>
      <c r="N4" s="795"/>
      <c r="O4" s="795"/>
      <c r="P4" s="795"/>
      <c r="Q4" s="795"/>
      <c r="R4" s="795"/>
      <c r="S4" s="795"/>
      <c r="T4" s="795"/>
      <c r="U4" s="795"/>
      <c r="V4" s="795"/>
      <c r="W4" s="795"/>
      <c r="X4" s="795"/>
      <c r="Y4" s="795"/>
      <c r="Z4" s="795"/>
      <c r="AA4" s="795"/>
      <c r="AB4" s="795"/>
      <c r="AC4" s="795"/>
      <c r="AD4" s="72"/>
      <c r="AE4" s="596"/>
    </row>
    <row r="5" spans="1:45" ht="22.5" customHeight="1">
      <c r="A5" s="795" t="s">
        <v>544</v>
      </c>
      <c r="B5" s="795"/>
      <c r="C5" s="795"/>
      <c r="D5" s="795"/>
      <c r="E5" s="795"/>
      <c r="F5" s="795"/>
      <c r="G5" s="795"/>
      <c r="H5" s="795"/>
      <c r="I5" s="795"/>
      <c r="J5" s="795"/>
      <c r="K5" s="795"/>
      <c r="L5" s="795"/>
      <c r="M5" s="795"/>
      <c r="N5" s="795"/>
      <c r="O5" s="795"/>
      <c r="P5" s="795"/>
      <c r="Q5" s="795"/>
      <c r="R5" s="795"/>
      <c r="S5" s="795"/>
      <c r="T5" s="795"/>
      <c r="U5" s="795"/>
      <c r="V5" s="795"/>
      <c r="W5" s="795"/>
      <c r="X5" s="795"/>
      <c r="Y5" s="795"/>
      <c r="Z5" s="795"/>
      <c r="AA5" s="795"/>
      <c r="AB5" s="795"/>
      <c r="AC5" s="795"/>
      <c r="AD5" s="72"/>
      <c r="AE5" s="596"/>
    </row>
    <row r="6" spans="1:45" ht="18" customHeight="1">
      <c r="A6" s="8"/>
      <c r="B6" s="50"/>
      <c r="C6" s="761"/>
      <c r="D6" s="761"/>
      <c r="E6" s="761"/>
      <c r="F6" s="761"/>
      <c r="G6" s="761"/>
      <c r="H6" s="761"/>
      <c r="Q6" s="48" t="s">
        <v>228</v>
      </c>
      <c r="R6" s="48"/>
      <c r="S6" s="48"/>
      <c r="T6" s="48"/>
      <c r="U6" s="48"/>
      <c r="V6" s="48"/>
      <c r="W6" s="48"/>
      <c r="X6" s="48"/>
      <c r="Y6" s="48"/>
      <c r="Z6" s="353"/>
      <c r="AA6" s="48"/>
      <c r="AB6" s="48"/>
      <c r="AC6" s="67"/>
      <c r="AD6" s="67"/>
      <c r="AE6" s="67"/>
    </row>
    <row r="7" spans="1:45">
      <c r="A7" s="8"/>
      <c r="B7" s="146">
        <v>1490000</v>
      </c>
      <c r="C7" s="761"/>
      <c r="D7" s="761"/>
      <c r="E7" s="761"/>
      <c r="F7" s="761"/>
      <c r="G7" s="761"/>
      <c r="H7" s="761"/>
      <c r="I7" s="48"/>
      <c r="J7" s="50"/>
      <c r="K7" s="48"/>
      <c r="L7" s="48"/>
      <c r="M7" s="48"/>
      <c r="N7" s="48"/>
      <c r="O7" s="48"/>
      <c r="P7" s="48"/>
      <c r="Q7" s="48" t="s">
        <v>16</v>
      </c>
      <c r="R7" s="48"/>
      <c r="S7" s="48"/>
      <c r="T7" s="48"/>
      <c r="U7" s="48"/>
      <c r="V7" s="48"/>
      <c r="W7" s="48"/>
      <c r="X7" s="48"/>
      <c r="Y7" s="48"/>
      <c r="Z7" s="353"/>
      <c r="AA7" s="48"/>
      <c r="AB7" s="48"/>
    </row>
    <row r="8" spans="1:45">
      <c r="A8" s="8"/>
      <c r="B8" s="50"/>
      <c r="C8" s="788"/>
      <c r="D8" s="788"/>
      <c r="E8" s="788"/>
      <c r="F8" s="788"/>
      <c r="G8" s="788"/>
      <c r="H8" s="788"/>
      <c r="I8" s="52"/>
      <c r="J8" s="46"/>
      <c r="K8" s="52"/>
      <c r="L8" s="52"/>
      <c r="M8" s="52"/>
      <c r="N8" s="52"/>
      <c r="O8" s="52"/>
      <c r="P8" s="52"/>
      <c r="Q8" s="52" t="s">
        <v>1</v>
      </c>
      <c r="R8" s="52"/>
      <c r="S8" s="52"/>
      <c r="T8" s="52"/>
      <c r="U8" s="52"/>
      <c r="V8" s="52"/>
      <c r="W8" s="52"/>
      <c r="X8" s="52"/>
      <c r="Y8" s="52"/>
      <c r="Z8" s="354"/>
      <c r="AA8" s="52"/>
      <c r="AB8" s="52"/>
      <c r="AC8" s="66"/>
      <c r="AD8" s="66"/>
      <c r="AE8" s="66"/>
    </row>
    <row r="9" spans="1:45" ht="4.5" customHeight="1">
      <c r="A9" s="8"/>
      <c r="B9" s="50"/>
      <c r="C9" s="160"/>
      <c r="D9" s="160"/>
      <c r="E9" s="203"/>
      <c r="F9" s="203"/>
      <c r="G9" s="46"/>
      <c r="H9" s="46"/>
      <c r="I9" s="52"/>
      <c r="J9" s="46"/>
      <c r="K9" s="52"/>
      <c r="L9" s="52"/>
      <c r="M9" s="52"/>
      <c r="N9" s="52"/>
      <c r="O9" s="52"/>
      <c r="P9" s="52"/>
      <c r="Q9" s="48"/>
      <c r="R9" s="48"/>
      <c r="S9" s="48"/>
      <c r="T9" s="48"/>
      <c r="U9" s="48"/>
      <c r="V9" s="48"/>
      <c r="W9" s="48"/>
      <c r="X9" s="48"/>
      <c r="Y9" s="48"/>
      <c r="Z9" s="353"/>
      <c r="AA9" s="48"/>
      <c r="AB9" s="53"/>
    </row>
    <row r="10" spans="1:45" s="43" customFormat="1" ht="27.75" customHeight="1">
      <c r="A10" s="789" t="s">
        <v>2</v>
      </c>
      <c r="B10" s="789" t="s">
        <v>3</v>
      </c>
      <c r="C10" s="790" t="s">
        <v>51</v>
      </c>
      <c r="D10" s="786" t="s">
        <v>235</v>
      </c>
      <c r="E10" s="791" t="s">
        <v>434</v>
      </c>
      <c r="F10" s="791" t="s">
        <v>435</v>
      </c>
      <c r="G10" s="773" t="s">
        <v>129</v>
      </c>
      <c r="H10" s="786" t="s">
        <v>270</v>
      </c>
      <c r="I10" s="782" t="s">
        <v>179</v>
      </c>
      <c r="J10" s="782" t="s">
        <v>266</v>
      </c>
      <c r="K10" s="782" t="s">
        <v>267</v>
      </c>
      <c r="L10" s="782" t="s">
        <v>169</v>
      </c>
      <c r="M10" s="784"/>
      <c r="N10" s="786" t="s">
        <v>147</v>
      </c>
      <c r="O10" s="786" t="s">
        <v>148</v>
      </c>
      <c r="P10" s="773" t="s">
        <v>149</v>
      </c>
      <c r="Q10" s="766" t="s">
        <v>67</v>
      </c>
      <c r="R10" s="767"/>
      <c r="S10" s="767"/>
      <c r="T10" s="767"/>
      <c r="U10" s="768"/>
      <c r="V10" s="769" t="s">
        <v>167</v>
      </c>
      <c r="W10" s="770"/>
      <c r="X10" s="769" t="s">
        <v>168</v>
      </c>
      <c r="Y10" s="770"/>
      <c r="Z10" s="771" t="s">
        <v>272</v>
      </c>
      <c r="AA10" s="773" t="s">
        <v>153</v>
      </c>
      <c r="AB10" s="775" t="s">
        <v>5</v>
      </c>
      <c r="AC10" s="776"/>
      <c r="AD10" s="84"/>
      <c r="AE10" s="84"/>
      <c r="AF10" s="79"/>
      <c r="AG10" s="79"/>
      <c r="AH10" s="79"/>
      <c r="AI10" s="79"/>
      <c r="AJ10" s="79"/>
      <c r="AK10" s="79"/>
      <c r="AL10" s="79"/>
      <c r="AM10" s="79"/>
      <c r="AN10" s="79"/>
      <c r="AO10" s="79"/>
      <c r="AP10" s="79"/>
      <c r="AQ10" s="79"/>
      <c r="AR10" s="79"/>
      <c r="AS10" s="79"/>
    </row>
    <row r="11" spans="1:45" s="43" customFormat="1" ht="41.25" customHeight="1">
      <c r="A11" s="789"/>
      <c r="B11" s="789"/>
      <c r="C11" s="790"/>
      <c r="D11" s="787"/>
      <c r="E11" s="792"/>
      <c r="F11" s="792"/>
      <c r="G11" s="774"/>
      <c r="H11" s="787"/>
      <c r="I11" s="783"/>
      <c r="J11" s="783"/>
      <c r="K11" s="783"/>
      <c r="L11" s="783"/>
      <c r="M11" s="785"/>
      <c r="N11" s="787"/>
      <c r="O11" s="787"/>
      <c r="P11" s="774"/>
      <c r="Q11" s="140" t="s">
        <v>113</v>
      </c>
      <c r="R11" s="140" t="s">
        <v>68</v>
      </c>
      <c r="S11" s="140" t="s">
        <v>60</v>
      </c>
      <c r="T11" s="138" t="s">
        <v>150</v>
      </c>
      <c r="U11" s="138" t="s">
        <v>151</v>
      </c>
      <c r="V11" s="138" t="s">
        <v>84</v>
      </c>
      <c r="W11" s="340" t="s">
        <v>169</v>
      </c>
      <c r="X11" s="138" t="s">
        <v>84</v>
      </c>
      <c r="Y11" s="340" t="s">
        <v>169</v>
      </c>
      <c r="Z11" s="772"/>
      <c r="AA11" s="774"/>
      <c r="AB11" s="777"/>
      <c r="AC11" s="778"/>
      <c r="AD11" s="84"/>
      <c r="AE11" s="84"/>
      <c r="AF11" s="79"/>
      <c r="AG11" s="79"/>
      <c r="AH11" s="79"/>
      <c r="AI11" s="79"/>
      <c r="AJ11" s="79"/>
      <c r="AK11" s="79"/>
      <c r="AL11" s="79"/>
      <c r="AM11" s="79"/>
      <c r="AN11" s="79"/>
      <c r="AO11" s="79"/>
      <c r="AP11" s="79"/>
      <c r="AQ11" s="79"/>
      <c r="AR11" s="79"/>
      <c r="AS11" s="79"/>
    </row>
    <row r="12" spans="1:45" s="43" customFormat="1" ht="27.75" customHeight="1">
      <c r="A12" s="82" t="s">
        <v>154</v>
      </c>
      <c r="B12" s="252" t="s">
        <v>155</v>
      </c>
      <c r="C12" s="83" t="s">
        <v>156</v>
      </c>
      <c r="D12" s="83"/>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2" t="s">
        <v>360</v>
      </c>
      <c r="AA12" s="254" t="s">
        <v>361</v>
      </c>
      <c r="AB12" s="780" t="s">
        <v>171</v>
      </c>
      <c r="AC12" s="781"/>
      <c r="AD12" s="84"/>
      <c r="AE12" s="84"/>
      <c r="AF12" s="79"/>
      <c r="AG12" s="79"/>
      <c r="AH12" s="79"/>
      <c r="AI12" s="79"/>
      <c r="AJ12" s="79"/>
      <c r="AK12" s="79"/>
      <c r="AL12" s="79"/>
      <c r="AM12" s="79"/>
      <c r="AN12" s="79"/>
      <c r="AO12" s="79"/>
      <c r="AP12" s="79"/>
      <c r="AQ12" s="79"/>
      <c r="AR12" s="79"/>
      <c r="AS12" s="79"/>
    </row>
    <row r="13" spans="1:45" s="43" customFormat="1" ht="24" hidden="1" customHeight="1">
      <c r="A13" s="253" t="s">
        <v>497</v>
      </c>
      <c r="B13" s="640" t="s">
        <v>498</v>
      </c>
      <c r="C13" s="641" t="s">
        <v>499</v>
      </c>
      <c r="D13" s="641" t="s">
        <v>500</v>
      </c>
      <c r="E13" s="641" t="s">
        <v>501</v>
      </c>
      <c r="F13" s="641" t="s">
        <v>502</v>
      </c>
      <c r="G13" s="641" t="s">
        <v>503</v>
      </c>
      <c r="H13" s="641" t="s">
        <v>504</v>
      </c>
      <c r="I13" s="647" t="s">
        <v>505</v>
      </c>
      <c r="J13" s="254" t="s">
        <v>506</v>
      </c>
      <c r="K13" s="254" t="s">
        <v>507</v>
      </c>
      <c r="L13" s="254" t="s">
        <v>508</v>
      </c>
      <c r="M13" s="149" t="s">
        <v>509</v>
      </c>
      <c r="N13" s="149" t="s">
        <v>510</v>
      </c>
      <c r="O13" s="149" t="s">
        <v>511</v>
      </c>
      <c r="P13" s="254" t="s">
        <v>512</v>
      </c>
      <c r="Q13" s="149" t="s">
        <v>513</v>
      </c>
      <c r="R13" s="597" t="s">
        <v>514</v>
      </c>
      <c r="S13" s="149" t="s">
        <v>515</v>
      </c>
      <c r="T13" s="597" t="s">
        <v>516</v>
      </c>
      <c r="U13" s="651" t="s">
        <v>517</v>
      </c>
      <c r="V13" s="597" t="s">
        <v>518</v>
      </c>
      <c r="W13" s="597" t="s">
        <v>519</v>
      </c>
      <c r="X13" s="597" t="s">
        <v>520</v>
      </c>
      <c r="Y13" s="597" t="s">
        <v>521</v>
      </c>
      <c r="Z13" s="652" t="s">
        <v>522</v>
      </c>
      <c r="AA13" s="651" t="s">
        <v>523</v>
      </c>
      <c r="AB13" s="597" t="s">
        <v>524</v>
      </c>
      <c r="AC13" s="598" t="s">
        <v>525</v>
      </c>
      <c r="AD13" s="84" t="s">
        <v>526</v>
      </c>
      <c r="AE13" s="84" t="s">
        <v>527</v>
      </c>
      <c r="AF13" s="79"/>
      <c r="AG13" s="79"/>
      <c r="AH13" s="79"/>
      <c r="AI13" s="79"/>
      <c r="AJ13" s="79"/>
      <c r="AK13" s="79"/>
      <c r="AL13" s="79"/>
      <c r="AM13" s="79"/>
      <c r="AN13" s="79"/>
      <c r="AO13" s="79"/>
      <c r="AP13" s="79"/>
      <c r="AQ13" s="79"/>
      <c r="AR13" s="79"/>
      <c r="AS13" s="79"/>
    </row>
    <row r="14" spans="1:45" s="104" customFormat="1" ht="35.450000000000003" customHeight="1">
      <c r="A14" s="253" t="s">
        <v>436</v>
      </c>
      <c r="B14" s="640" t="s">
        <v>439</v>
      </c>
      <c r="C14" s="641"/>
      <c r="D14" s="641"/>
      <c r="E14" s="641"/>
      <c r="F14" s="641"/>
      <c r="G14" s="641"/>
      <c r="H14" s="641"/>
      <c r="I14" s="647"/>
      <c r="J14" s="254"/>
      <c r="K14" s="254"/>
      <c r="L14" s="254"/>
      <c r="M14" s="149"/>
      <c r="N14" s="149"/>
      <c r="O14" s="149"/>
      <c r="P14" s="254"/>
      <c r="Q14" s="149"/>
      <c r="R14" s="597"/>
      <c r="S14" s="149"/>
      <c r="T14" s="597"/>
      <c r="U14" s="651"/>
      <c r="V14" s="597"/>
      <c r="W14" s="597"/>
      <c r="X14" s="597"/>
      <c r="Y14" s="597"/>
      <c r="Z14" s="652"/>
      <c r="AA14" s="651"/>
      <c r="AB14" s="597"/>
      <c r="AC14" s="598"/>
      <c r="AD14" s="84"/>
      <c r="AE14" s="84"/>
      <c r="AF14" s="683" t="s">
        <v>446</v>
      </c>
      <c r="AG14" s="683" t="s">
        <v>447</v>
      </c>
      <c r="AH14" s="683" t="s">
        <v>448</v>
      </c>
      <c r="AI14" s="692"/>
      <c r="AJ14" s="42"/>
      <c r="AK14" s="42"/>
      <c r="AL14" s="42"/>
      <c r="AM14" s="42"/>
      <c r="AN14" s="42"/>
      <c r="AO14" s="42"/>
      <c r="AP14" s="42"/>
      <c r="AQ14" s="42"/>
      <c r="AR14" s="42"/>
      <c r="AS14" s="42"/>
    </row>
    <row r="15" spans="1:45" s="104" customFormat="1" ht="40.5" customHeight="1">
      <c r="A15" s="688">
        <f>_xlfn.AGGREGATE(4,7,A$14:A14)+1</f>
        <v>1</v>
      </c>
      <c r="B15" s="674" t="s">
        <v>344</v>
      </c>
      <c r="C15" s="241" t="s">
        <v>345</v>
      </c>
      <c r="D15" s="242"/>
      <c r="E15" s="551"/>
      <c r="F15" s="707" t="str">
        <f>INDEX([3]SACOM!$C$7:$C$335,MATCH(B15,[3]SACOM!$B$7:$B$335,0))</f>
        <v>060310666028</v>
      </c>
      <c r="G15" s="708" t="s">
        <v>242</v>
      </c>
      <c r="H15" s="653">
        <v>7</v>
      </c>
      <c r="I15" s="654">
        <v>8522203</v>
      </c>
      <c r="J15" s="655"/>
      <c r="K15" s="654"/>
      <c r="L15" s="654">
        <f t="shared" ref="L15:L49" si="0">ROUND(I15+K15,0)</f>
        <v>8522203</v>
      </c>
      <c r="M15" s="654"/>
      <c r="N15" s="654">
        <f t="shared" ref="N15:N49" si="1">L15/26*M15</f>
        <v>0</v>
      </c>
      <c r="O15" s="654"/>
      <c r="P15" s="654">
        <f t="shared" ref="P15:P49" si="2">L15-N15+O15</f>
        <v>8522203</v>
      </c>
      <c r="Q15" s="654">
        <f t="shared" ref="Q15:Q48" si="3">L15*8%</f>
        <v>681776.24</v>
      </c>
      <c r="R15" s="656">
        <f t="shared" ref="R15:R48" si="4">L15*1.5%</f>
        <v>127833.045</v>
      </c>
      <c r="S15" s="654">
        <f t="shared" ref="S15:S48" si="5">L15*1%</f>
        <v>85222.03</v>
      </c>
      <c r="T15" s="656"/>
      <c r="U15" s="656">
        <f t="shared" ref="U15:U49" si="6">SUM(Q15:T15)</f>
        <v>894831.31500000006</v>
      </c>
      <c r="V15" s="656"/>
      <c r="W15" s="656"/>
      <c r="X15" s="657"/>
      <c r="Y15" s="656"/>
      <c r="Z15" s="656"/>
      <c r="AA15" s="650">
        <f t="shared" ref="AA15:AA43" si="7">P15-U15+W15+Y15+Z15</f>
        <v>7627371.6849999996</v>
      </c>
      <c r="AB15" s="250">
        <f t="shared" ref="AB15:AB49" si="8">A15</f>
        <v>1</v>
      </c>
      <c r="AC15" s="251"/>
      <c r="AD15" s="102"/>
      <c r="AE15" s="120" t="str">
        <f>INDEX([4]T01!$G$14:$G$346,MATCH(B15,[4]T01!$D$14:$D$346,0))</f>
        <v>TCHCTH</v>
      </c>
      <c r="AF15" s="698">
        <f>_xlfn.AGGREGATE(4,7,AF$14:AF14)+1</f>
        <v>1</v>
      </c>
      <c r="AG15" s="698" t="s">
        <v>449</v>
      </c>
      <c r="AH15" s="699" t="s">
        <v>450</v>
      </c>
      <c r="AI15" s="700">
        <f t="shared" ref="AI15:AI38" si="9">SUMIF($AE$15:$AE$80,$AG15,$AA$15:$AA$80)</f>
        <v>0</v>
      </c>
    </row>
    <row r="16" spans="1:45" s="720" customFormat="1" ht="51" customHeight="1">
      <c r="A16" s="713">
        <f>_xlfn.AGGREGATE(4,7,A$14:A15)+1</f>
        <v>2</v>
      </c>
      <c r="B16" s="739" t="s">
        <v>135</v>
      </c>
      <c r="C16" s="385" t="s">
        <v>120</v>
      </c>
      <c r="D16" s="740" t="s">
        <v>236</v>
      </c>
      <c r="E16" s="741" t="s">
        <v>208</v>
      </c>
      <c r="F16" s="742" t="str">
        <f>INDEX([3]SACOM!$C$7:$C$335,MATCH(B16,[3]SACOM!$B$7:$B$335,0))</f>
        <v>060310750304</v>
      </c>
      <c r="G16" s="743" t="s">
        <v>242</v>
      </c>
      <c r="H16" s="744">
        <v>6</v>
      </c>
      <c r="I16" s="714">
        <v>7964676</v>
      </c>
      <c r="J16" s="745"/>
      <c r="K16" s="714"/>
      <c r="L16" s="714">
        <f t="shared" si="0"/>
        <v>7964676</v>
      </c>
      <c r="M16" s="714">
        <v>26</v>
      </c>
      <c r="N16" s="714">
        <f t="shared" si="1"/>
        <v>7964676</v>
      </c>
      <c r="O16" s="714"/>
      <c r="P16" s="714">
        <f t="shared" si="2"/>
        <v>0</v>
      </c>
      <c r="Q16" s="714">
        <v>0</v>
      </c>
      <c r="R16" s="715">
        <v>0</v>
      </c>
      <c r="S16" s="714">
        <v>0</v>
      </c>
      <c r="T16" s="715"/>
      <c r="U16" s="715">
        <f t="shared" si="6"/>
        <v>0</v>
      </c>
      <c r="V16" s="715"/>
      <c r="W16" s="715"/>
      <c r="X16" s="715"/>
      <c r="Y16" s="715"/>
      <c r="Z16" s="715"/>
      <c r="AA16" s="716">
        <f t="shared" si="7"/>
        <v>0</v>
      </c>
      <c r="AB16" s="394">
        <f t="shared" si="8"/>
        <v>2</v>
      </c>
      <c r="AC16" s="746" t="s">
        <v>538</v>
      </c>
      <c r="AD16" s="102" t="s">
        <v>110</v>
      </c>
      <c r="AE16" s="120" t="str">
        <f>INDEX([4]T01!$G$14:$G$346,MATCH(B16,[4]T01!$D$14:$D$346,0))</f>
        <v>QTDV</v>
      </c>
      <c r="AF16" s="698">
        <f>_xlfn.AGGREGATE(4,7,AF$14:AF15)+1</f>
        <v>2</v>
      </c>
      <c r="AG16" s="698" t="s">
        <v>451</v>
      </c>
      <c r="AH16" s="699" t="s">
        <v>452</v>
      </c>
      <c r="AI16" s="700">
        <f t="shared" si="9"/>
        <v>17649035.734999999</v>
      </c>
    </row>
    <row r="17" spans="1:45" s="514" customFormat="1" ht="30" customHeight="1">
      <c r="A17" s="688">
        <f>_xlfn.AGGREGATE(4,7,A$14:A16)+1</f>
        <v>3</v>
      </c>
      <c r="B17" s="501" t="s">
        <v>139</v>
      </c>
      <c r="C17" s="112" t="s">
        <v>69</v>
      </c>
      <c r="D17" s="228" t="str">
        <f>VLOOKUP(B17,[2]T3!$B$2:$D$328,3,FALSE)</f>
        <v>026050143</v>
      </c>
      <c r="E17" s="223" t="s">
        <v>217</v>
      </c>
      <c r="F17" s="455" t="str">
        <f>INDEX([3]SACOM!$C$7:$C$335,MATCH(B17,[3]SACOM!$B$7:$B$335,0))</f>
        <v>060311482761</v>
      </c>
      <c r="G17" s="454" t="s">
        <v>242</v>
      </c>
      <c r="H17" s="532">
        <v>7</v>
      </c>
      <c r="I17" s="533">
        <v>8522203</v>
      </c>
      <c r="J17" s="655"/>
      <c r="K17" s="533"/>
      <c r="L17" s="533">
        <f t="shared" si="0"/>
        <v>8522203</v>
      </c>
      <c r="M17" s="533"/>
      <c r="N17" s="533">
        <f t="shared" si="1"/>
        <v>0</v>
      </c>
      <c r="O17" s="533"/>
      <c r="P17" s="533">
        <f t="shared" si="2"/>
        <v>8522203</v>
      </c>
      <c r="Q17" s="533">
        <f t="shared" si="3"/>
        <v>681776.24</v>
      </c>
      <c r="R17" s="535">
        <f t="shared" si="4"/>
        <v>127833.045</v>
      </c>
      <c r="S17" s="533">
        <f t="shared" si="5"/>
        <v>85222.03</v>
      </c>
      <c r="T17" s="535"/>
      <c r="U17" s="535">
        <f t="shared" si="6"/>
        <v>894831.31500000006</v>
      </c>
      <c r="V17" s="535"/>
      <c r="W17" s="535"/>
      <c r="X17" s="535"/>
      <c r="Y17" s="535"/>
      <c r="Z17" s="535"/>
      <c r="AA17" s="457">
        <f t="shared" si="7"/>
        <v>7627371.6849999996</v>
      </c>
      <c r="AB17" s="101">
        <f t="shared" si="8"/>
        <v>3</v>
      </c>
      <c r="AC17" s="102"/>
      <c r="AD17" s="134" t="s">
        <v>108</v>
      </c>
      <c r="AE17" s="120" t="str">
        <f>INDEX([4]T01!$G$14:$G$346,MATCH(B17,[4]T01!$D$14:$D$346,0))</f>
        <v>TTĐT</v>
      </c>
      <c r="AF17" s="684">
        <f>_xlfn.AGGREGATE(4,7,AF$14:AF16)+1</f>
        <v>3</v>
      </c>
      <c r="AG17" s="684" t="s">
        <v>453</v>
      </c>
      <c r="AH17" s="685" t="s">
        <v>454</v>
      </c>
      <c r="AI17" s="693">
        <f t="shared" si="9"/>
        <v>36252559.434999995</v>
      </c>
      <c r="AJ17" s="602"/>
      <c r="AK17" s="602"/>
      <c r="AL17" s="602"/>
      <c r="AM17" s="602"/>
      <c r="AN17" s="602"/>
      <c r="AO17" s="602"/>
      <c r="AP17" s="602"/>
      <c r="AQ17" s="602"/>
      <c r="AR17" s="602"/>
      <c r="AS17" s="602"/>
    </row>
    <row r="18" spans="1:45" s="104" customFormat="1" ht="39" customHeight="1">
      <c r="A18" s="688">
        <f>_xlfn.AGGREGATE(4,7,A$14:A17)+1</f>
        <v>4</v>
      </c>
      <c r="B18" s="593" t="s">
        <v>127</v>
      </c>
      <c r="C18" s="112" t="s">
        <v>120</v>
      </c>
      <c r="D18" s="228" t="str">
        <f>VLOOKUP(B18,[2]T3!$B$2:$D$328,3,FALSE)</f>
        <v>025444854</v>
      </c>
      <c r="E18" s="223" t="s">
        <v>209</v>
      </c>
      <c r="F18" s="455" t="str">
        <f>INDEX([3]SACOM!$C$7:$C$335,MATCH(B18,[3]SACOM!$B$7:$B$335,0))</f>
        <v>061828031994</v>
      </c>
      <c r="G18" s="454" t="s">
        <v>245</v>
      </c>
      <c r="H18" s="532">
        <v>3</v>
      </c>
      <c r="I18" s="533">
        <v>5851188</v>
      </c>
      <c r="J18" s="655"/>
      <c r="K18" s="533"/>
      <c r="L18" s="533">
        <f t="shared" si="0"/>
        <v>5851188</v>
      </c>
      <c r="M18" s="533"/>
      <c r="N18" s="533">
        <f t="shared" si="1"/>
        <v>0</v>
      </c>
      <c r="O18" s="533"/>
      <c r="P18" s="533">
        <f t="shared" si="2"/>
        <v>5851188</v>
      </c>
      <c r="Q18" s="533">
        <f t="shared" si="3"/>
        <v>468095.04000000004</v>
      </c>
      <c r="R18" s="535">
        <f t="shared" si="4"/>
        <v>87767.819999999992</v>
      </c>
      <c r="S18" s="533">
        <f t="shared" si="5"/>
        <v>58511.880000000005</v>
      </c>
      <c r="T18" s="535"/>
      <c r="U18" s="535">
        <f t="shared" si="6"/>
        <v>614374.74</v>
      </c>
      <c r="V18" s="535"/>
      <c r="W18" s="535"/>
      <c r="X18" s="535"/>
      <c r="Y18" s="535"/>
      <c r="Z18" s="535"/>
      <c r="AA18" s="457">
        <f t="shared" si="7"/>
        <v>5236813.26</v>
      </c>
      <c r="AB18" s="101">
        <f t="shared" si="8"/>
        <v>4</v>
      </c>
      <c r="AC18" s="102"/>
      <c r="AD18" s="102" t="s">
        <v>125</v>
      </c>
      <c r="AE18" s="120" t="str">
        <f>INDEX([4]T01!$G$14:$G$346,MATCH(B18,[4]T01!$D$14:$D$346,0))</f>
        <v>QTDV</v>
      </c>
      <c r="AF18" s="684">
        <f>_xlfn.AGGREGATE(4,7,AF$14:AF17)+1</f>
        <v>4</v>
      </c>
      <c r="AG18" s="684" t="s">
        <v>455</v>
      </c>
      <c r="AH18" s="685" t="s">
        <v>456</v>
      </c>
      <c r="AI18" s="693">
        <f t="shared" si="9"/>
        <v>84334651.989999995</v>
      </c>
      <c r="AJ18" s="42"/>
      <c r="AK18" s="42"/>
      <c r="AL18" s="42"/>
      <c r="AM18" s="42"/>
      <c r="AN18" s="42"/>
      <c r="AO18" s="42"/>
      <c r="AP18" s="42"/>
      <c r="AQ18" s="42"/>
      <c r="AR18" s="42"/>
      <c r="AS18" s="42"/>
    </row>
    <row r="19" spans="1:45" s="104" customFormat="1" ht="39" customHeight="1">
      <c r="A19" s="688">
        <f>_xlfn.AGGREGATE(4,7,A$14:A18)+1</f>
        <v>5</v>
      </c>
      <c r="B19" s="501" t="s">
        <v>140</v>
      </c>
      <c r="C19" s="112" t="s">
        <v>274</v>
      </c>
      <c r="D19" s="228" t="str">
        <f>VLOOKUP(B19,[2]T3!$B$2:$D$328,3,FALSE)</f>
        <v>025177943</v>
      </c>
      <c r="E19" s="209" t="s">
        <v>215</v>
      </c>
      <c r="F19" s="455" t="str">
        <f>INDEX([3]SACOM!$C$7:$C$335,MATCH(B19,[3]SACOM!$B$7:$B$335,0))</f>
        <v>060310749055</v>
      </c>
      <c r="G19" s="454" t="s">
        <v>245</v>
      </c>
      <c r="H19" s="658">
        <v>5</v>
      </c>
      <c r="I19" s="533">
        <v>6450935</v>
      </c>
      <c r="J19" s="655"/>
      <c r="K19" s="533"/>
      <c r="L19" s="533">
        <f t="shared" si="0"/>
        <v>6450935</v>
      </c>
      <c r="M19" s="533"/>
      <c r="N19" s="533">
        <f>L19/26*M19</f>
        <v>0</v>
      </c>
      <c r="O19" s="533"/>
      <c r="P19" s="533">
        <f t="shared" si="2"/>
        <v>6450935</v>
      </c>
      <c r="Q19" s="533">
        <f t="shared" si="3"/>
        <v>516074.8</v>
      </c>
      <c r="R19" s="535">
        <f t="shared" si="4"/>
        <v>96764.024999999994</v>
      </c>
      <c r="S19" s="533">
        <f t="shared" si="5"/>
        <v>64509.35</v>
      </c>
      <c r="T19" s="535"/>
      <c r="U19" s="535">
        <f t="shared" si="6"/>
        <v>677348.17499999993</v>
      </c>
      <c r="V19" s="535"/>
      <c r="W19" s="535"/>
      <c r="X19" s="535"/>
      <c r="Y19" s="535"/>
      <c r="Z19" s="535"/>
      <c r="AA19" s="457">
        <f t="shared" si="7"/>
        <v>5773586.8250000002</v>
      </c>
      <c r="AB19" s="101">
        <f t="shared" si="8"/>
        <v>5</v>
      </c>
      <c r="AC19" s="102"/>
      <c r="AD19" s="135">
        <f>2.67-2.41</f>
        <v>0.25999999999999979</v>
      </c>
      <c r="AE19" s="120" t="str">
        <f>INDEX([4]T01!$G$14:$G$346,MATCH(B19,[4]T01!$D$14:$D$346,0))</f>
        <v>QTDV</v>
      </c>
      <c r="AF19" s="684">
        <f>_xlfn.AGGREGATE(4,7,AF$14:AF18)+1</f>
        <v>5</v>
      </c>
      <c r="AG19" s="686" t="s">
        <v>457</v>
      </c>
      <c r="AH19" s="685" t="s">
        <v>458</v>
      </c>
      <c r="AI19" s="693">
        <f t="shared" si="9"/>
        <v>46203508.640000001</v>
      </c>
      <c r="AJ19" s="42"/>
      <c r="AK19" s="42"/>
      <c r="AL19" s="42"/>
      <c r="AM19" s="42"/>
      <c r="AN19" s="42"/>
      <c r="AO19" s="42"/>
      <c r="AP19" s="42"/>
      <c r="AQ19" s="42"/>
      <c r="AR19" s="42"/>
      <c r="AS19" s="42"/>
    </row>
    <row r="20" spans="1:45" s="520" customFormat="1" ht="36.75" customHeight="1">
      <c r="A20" s="688">
        <f>_xlfn.AGGREGATE(4,7,A$14:A19)+1</f>
        <v>6</v>
      </c>
      <c r="B20" s="501" t="s">
        <v>144</v>
      </c>
      <c r="C20" s="112" t="s">
        <v>274</v>
      </c>
      <c r="D20" s="228" t="str">
        <f>VLOOKUP(B20,[2]T3!$B$2:$D$328,3,FALSE)</f>
        <v>025632449</v>
      </c>
      <c r="E20" s="209" t="s">
        <v>220</v>
      </c>
      <c r="F20" s="455" t="str">
        <f>INDEX([3]SACOM!$C$7:$C$335,MATCH(B20,[3]SACOM!$B$7:$B$335,0))</f>
        <v>060310751688</v>
      </c>
      <c r="G20" s="454" t="s">
        <v>245</v>
      </c>
      <c r="H20" s="532">
        <v>3</v>
      </c>
      <c r="I20" s="533">
        <v>5851188</v>
      </c>
      <c r="J20" s="655"/>
      <c r="K20" s="533"/>
      <c r="L20" s="533">
        <f t="shared" si="0"/>
        <v>5851188</v>
      </c>
      <c r="M20" s="533"/>
      <c r="N20" s="533">
        <f t="shared" si="1"/>
        <v>0</v>
      </c>
      <c r="O20" s="533"/>
      <c r="P20" s="533">
        <f t="shared" si="2"/>
        <v>5851188</v>
      </c>
      <c r="Q20" s="533">
        <f t="shared" si="3"/>
        <v>468095.04000000004</v>
      </c>
      <c r="R20" s="535">
        <f t="shared" si="4"/>
        <v>87767.819999999992</v>
      </c>
      <c r="S20" s="533">
        <f t="shared" si="5"/>
        <v>58511.880000000005</v>
      </c>
      <c r="T20" s="535"/>
      <c r="U20" s="535">
        <f t="shared" si="6"/>
        <v>614374.74</v>
      </c>
      <c r="V20" s="535"/>
      <c r="W20" s="535"/>
      <c r="X20" s="535"/>
      <c r="Y20" s="535"/>
      <c r="Z20" s="535"/>
      <c r="AA20" s="457">
        <f t="shared" si="7"/>
        <v>5236813.26</v>
      </c>
      <c r="AB20" s="101">
        <f t="shared" si="8"/>
        <v>6</v>
      </c>
      <c r="AC20" s="102"/>
      <c r="AD20" s="120" t="s">
        <v>85</v>
      </c>
      <c r="AE20" s="120" t="str">
        <f>INDEX([4]T01!$G$14:$G$346,MATCH(B20,[4]T01!$D$14:$D$346,0))</f>
        <v>QTDV</v>
      </c>
      <c r="AF20" s="684">
        <f>_xlfn.AGGREGATE(4,7,AF$14:AF19)+1</f>
        <v>6</v>
      </c>
      <c r="AG20" s="686" t="s">
        <v>459</v>
      </c>
      <c r="AH20" s="685" t="s">
        <v>460</v>
      </c>
      <c r="AI20" s="693">
        <f t="shared" si="9"/>
        <v>7128385.0199999996</v>
      </c>
      <c r="AJ20" s="681"/>
      <c r="AK20" s="681"/>
      <c r="AL20" s="681"/>
      <c r="AM20" s="681"/>
      <c r="AN20" s="681"/>
      <c r="AO20" s="681"/>
      <c r="AP20" s="681"/>
      <c r="AQ20" s="681"/>
      <c r="AR20" s="681"/>
      <c r="AS20" s="681"/>
    </row>
    <row r="21" spans="1:45" s="514" customFormat="1" ht="35.25" customHeight="1">
      <c r="A21" s="688">
        <f>_xlfn.AGGREGATE(4,7,A$14:A20)+1</f>
        <v>7</v>
      </c>
      <c r="B21" s="530" t="s">
        <v>229</v>
      </c>
      <c r="C21" s="112" t="s">
        <v>277</v>
      </c>
      <c r="D21" s="531" t="str">
        <f>VLOOKUP(B21,[2]T3!$B$2:$D$328,3,FALSE)</f>
        <v>024326689</v>
      </c>
      <c r="E21" s="209"/>
      <c r="F21" s="455" t="str">
        <f>INDEX([3]SACOM!$C$7:$C$335,MATCH(B21,[3]SACOM!$B$7:$B$335,0))</f>
        <v>060281693924</v>
      </c>
      <c r="G21" s="447" t="s">
        <v>245</v>
      </c>
      <c r="H21" s="532">
        <v>1</v>
      </c>
      <c r="I21" s="533">
        <v>5307200</v>
      </c>
      <c r="J21" s="655"/>
      <c r="K21" s="533"/>
      <c r="L21" s="533">
        <f t="shared" si="0"/>
        <v>5307200</v>
      </c>
      <c r="M21" s="533"/>
      <c r="N21" s="533">
        <f t="shared" si="1"/>
        <v>0</v>
      </c>
      <c r="O21" s="533"/>
      <c r="P21" s="533">
        <f t="shared" si="2"/>
        <v>5307200</v>
      </c>
      <c r="Q21" s="533">
        <f t="shared" si="3"/>
        <v>424576</v>
      </c>
      <c r="R21" s="535">
        <f t="shared" si="4"/>
        <v>79608</v>
      </c>
      <c r="S21" s="533">
        <f t="shared" si="5"/>
        <v>53072</v>
      </c>
      <c r="T21" s="535"/>
      <c r="U21" s="535">
        <f t="shared" si="6"/>
        <v>557256</v>
      </c>
      <c r="V21" s="535"/>
      <c r="W21" s="535"/>
      <c r="X21" s="536"/>
      <c r="Y21" s="535"/>
      <c r="Z21" s="535"/>
      <c r="AA21" s="457">
        <f t="shared" si="7"/>
        <v>4749944</v>
      </c>
      <c r="AB21" s="537">
        <f t="shared" si="8"/>
        <v>7</v>
      </c>
      <c r="AC21" s="519"/>
      <c r="AD21" s="519" t="s">
        <v>230</v>
      </c>
      <c r="AE21" s="120" t="str">
        <f>INDEX([4]T01!$G$14:$G$346,MATCH(B21,[4]T01!$D$14:$D$346,0))</f>
        <v>QTDV</v>
      </c>
      <c r="AF21" s="684">
        <f>_xlfn.AGGREGATE(4,7,AF$14:AF20)+1</f>
        <v>7</v>
      </c>
      <c r="AG21" s="684" t="s">
        <v>461</v>
      </c>
      <c r="AH21" s="685" t="s">
        <v>462</v>
      </c>
      <c r="AI21" s="693">
        <f t="shared" si="9"/>
        <v>12566595.654999999</v>
      </c>
      <c r="AJ21" s="602"/>
      <c r="AK21" s="602"/>
      <c r="AL21" s="602"/>
      <c r="AM21" s="602"/>
      <c r="AN21" s="602"/>
      <c r="AO21" s="602"/>
      <c r="AP21" s="602"/>
      <c r="AQ21" s="602"/>
      <c r="AR21" s="602"/>
      <c r="AS21" s="602"/>
    </row>
    <row r="22" spans="1:45" s="104" customFormat="1" ht="36.6" customHeight="1">
      <c r="A22" s="688">
        <f>_xlfn.AGGREGATE(4,7,A$14:A21)+1</f>
        <v>8</v>
      </c>
      <c r="B22" s="501" t="s">
        <v>133</v>
      </c>
      <c r="C22" s="112" t="s">
        <v>73</v>
      </c>
      <c r="D22" s="228" t="str">
        <f>VLOOKUP(B22,[2]T3!$B$2:$D$328,3,FALSE)</f>
        <v>230718298</v>
      </c>
      <c r="E22" s="209" t="s">
        <v>206</v>
      </c>
      <c r="F22" s="455" t="str">
        <f>INDEX([3]SACOM!$C$7:$C$335,MATCH(B22,[3]SACOM!$B$7:$B$335,0))</f>
        <v>0977414676</v>
      </c>
      <c r="G22" s="454" t="s">
        <v>242</v>
      </c>
      <c r="H22" s="532">
        <v>6</v>
      </c>
      <c r="I22" s="533">
        <v>7964676</v>
      </c>
      <c r="J22" s="655"/>
      <c r="K22" s="533"/>
      <c r="L22" s="533">
        <f t="shared" si="0"/>
        <v>7964676</v>
      </c>
      <c r="M22" s="533">
        <v>0</v>
      </c>
      <c r="N22" s="533">
        <f t="shared" si="1"/>
        <v>0</v>
      </c>
      <c r="O22" s="533"/>
      <c r="P22" s="533">
        <f t="shared" si="2"/>
        <v>7964676</v>
      </c>
      <c r="Q22" s="533">
        <f t="shared" si="3"/>
        <v>637174.07999999996</v>
      </c>
      <c r="R22" s="535">
        <f t="shared" si="4"/>
        <v>119470.14</v>
      </c>
      <c r="S22" s="533">
        <f t="shared" si="5"/>
        <v>79646.759999999995</v>
      </c>
      <c r="T22" s="535"/>
      <c r="U22" s="535">
        <f t="shared" si="6"/>
        <v>836290.98</v>
      </c>
      <c r="V22" s="535"/>
      <c r="W22" s="659"/>
      <c r="X22" s="659"/>
      <c r="Y22" s="659"/>
      <c r="Z22" s="659"/>
      <c r="AA22" s="457">
        <f t="shared" si="7"/>
        <v>7128385.0199999996</v>
      </c>
      <c r="AB22" s="101">
        <f t="shared" si="8"/>
        <v>8</v>
      </c>
      <c r="AC22" s="102"/>
      <c r="AD22" s="102" t="s">
        <v>105</v>
      </c>
      <c r="AE22" s="120" t="str">
        <f>INDEX([4]T01!$G$14:$G$346,MATCH(B22,[4]T01!$D$14:$D$346,0))</f>
        <v>KHTC</v>
      </c>
      <c r="AF22" s="684">
        <f>_xlfn.AGGREGATE(4,7,AF$14:AF21)+1</f>
        <v>8</v>
      </c>
      <c r="AG22" s="686" t="s">
        <v>463</v>
      </c>
      <c r="AH22" s="685" t="s">
        <v>464</v>
      </c>
      <c r="AI22" s="693">
        <f t="shared" si="9"/>
        <v>87458872.844999999</v>
      </c>
      <c r="AJ22" s="42"/>
      <c r="AK22" s="42"/>
      <c r="AL22" s="42"/>
      <c r="AM22" s="42"/>
      <c r="AN22" s="42"/>
      <c r="AO22" s="42"/>
      <c r="AP22" s="42"/>
      <c r="AQ22" s="42"/>
      <c r="AR22" s="42"/>
      <c r="AS22" s="42"/>
    </row>
    <row r="23" spans="1:45" s="104" customFormat="1" ht="38.450000000000003" customHeight="1">
      <c r="A23" s="688">
        <f>_xlfn.AGGREGATE(4,7,A$14:A22)+1</f>
        <v>9</v>
      </c>
      <c r="B23" s="501" t="s">
        <v>327</v>
      </c>
      <c r="C23" s="112" t="s">
        <v>326</v>
      </c>
      <c r="D23" s="228"/>
      <c r="E23" s="336" t="s">
        <v>337</v>
      </c>
      <c r="F23" s="455" t="str">
        <f>INDEX([3]SACOM!$C$7:$C$335,MATCH(B23,[3]SACOM!$B$7:$B$335,0))</f>
        <v>060311042826</v>
      </c>
      <c r="G23" s="447" t="s">
        <v>242</v>
      </c>
      <c r="H23" s="532">
        <v>2</v>
      </c>
      <c r="I23" s="533">
        <v>6076213</v>
      </c>
      <c r="J23" s="655"/>
      <c r="K23" s="533"/>
      <c r="L23" s="533">
        <f t="shared" si="0"/>
        <v>6076213</v>
      </c>
      <c r="M23" s="533"/>
      <c r="N23" s="533">
        <f t="shared" si="1"/>
        <v>0</v>
      </c>
      <c r="O23" s="533"/>
      <c r="P23" s="533">
        <f t="shared" si="2"/>
        <v>6076213</v>
      </c>
      <c r="Q23" s="533">
        <f t="shared" si="3"/>
        <v>486097.04000000004</v>
      </c>
      <c r="R23" s="535">
        <f t="shared" si="4"/>
        <v>91143.194999999992</v>
      </c>
      <c r="S23" s="533">
        <f t="shared" si="5"/>
        <v>60762.130000000005</v>
      </c>
      <c r="T23" s="535"/>
      <c r="U23" s="535">
        <f t="shared" si="6"/>
        <v>638002.36499999999</v>
      </c>
      <c r="V23" s="535"/>
      <c r="W23" s="659"/>
      <c r="X23" s="659"/>
      <c r="Y23" s="659"/>
      <c r="Z23" s="659"/>
      <c r="AA23" s="457">
        <f t="shared" si="7"/>
        <v>5438210.6349999998</v>
      </c>
      <c r="AB23" s="101">
        <f t="shared" si="8"/>
        <v>9</v>
      </c>
      <c r="AC23" s="255"/>
      <c r="AD23" s="335" t="s">
        <v>328</v>
      </c>
      <c r="AE23" s="120" t="str">
        <f>INDEX([4]T01!$G$14:$G$346,MATCH(B23,[4]T01!$D$14:$D$346,0))</f>
        <v>KHTC</v>
      </c>
      <c r="AF23" s="698">
        <f>_xlfn.AGGREGATE(4,7,AF$14:AF22)+1</f>
        <v>9</v>
      </c>
      <c r="AG23" s="698" t="s">
        <v>465</v>
      </c>
      <c r="AH23" s="699" t="s">
        <v>466</v>
      </c>
      <c r="AI23" s="700">
        <f t="shared" si="9"/>
        <v>0</v>
      </c>
    </row>
    <row r="24" spans="1:45" s="104" customFormat="1" ht="40.5" customHeight="1">
      <c r="A24" s="688">
        <f>_xlfn.AGGREGATE(4,7,A$14:A23)+1</f>
        <v>10</v>
      </c>
      <c r="B24" s="501" t="s">
        <v>397</v>
      </c>
      <c r="C24" s="112" t="s">
        <v>326</v>
      </c>
      <c r="D24" s="228"/>
      <c r="E24" s="336"/>
      <c r="F24" s="455" t="str">
        <f>INDEX([3]SACOM!$C$7:$C$335,MATCH(B24,[3]SACOM!$B$7:$B$335,0))</f>
        <v>060310886001</v>
      </c>
      <c r="G24" s="447" t="s">
        <v>242</v>
      </c>
      <c r="H24" s="532">
        <v>1</v>
      </c>
      <c r="I24" s="533">
        <v>5678704</v>
      </c>
      <c r="J24" s="655"/>
      <c r="K24" s="533"/>
      <c r="L24" s="533">
        <f t="shared" si="0"/>
        <v>5678704</v>
      </c>
      <c r="M24" s="533"/>
      <c r="N24" s="533">
        <f t="shared" si="1"/>
        <v>0</v>
      </c>
      <c r="O24" s="533"/>
      <c r="P24" s="533">
        <f t="shared" si="2"/>
        <v>5678704</v>
      </c>
      <c r="Q24" s="533">
        <f t="shared" si="3"/>
        <v>454296.32000000001</v>
      </c>
      <c r="R24" s="535">
        <f t="shared" si="4"/>
        <v>85180.56</v>
      </c>
      <c r="S24" s="533">
        <f t="shared" si="5"/>
        <v>56787.040000000001</v>
      </c>
      <c r="T24" s="535"/>
      <c r="U24" s="535">
        <f t="shared" si="6"/>
        <v>596263.92000000004</v>
      </c>
      <c r="V24" s="535"/>
      <c r="W24" s="659"/>
      <c r="X24" s="659"/>
      <c r="Y24" s="659"/>
      <c r="Z24" s="659"/>
      <c r="AA24" s="457">
        <f t="shared" si="7"/>
        <v>5082440.08</v>
      </c>
      <c r="AB24" s="101">
        <f t="shared" si="8"/>
        <v>10</v>
      </c>
      <c r="AC24" s="255"/>
      <c r="AD24" s="255" t="s">
        <v>402</v>
      </c>
      <c r="AE24" s="120" t="str">
        <f>INDEX([4]T01!$G$14:$G$346,MATCH(B24,[4]T01!$D$14:$D$346,0))</f>
        <v>KHTC</v>
      </c>
      <c r="AF24" s="684">
        <f>_xlfn.AGGREGATE(4,7,AF$14:AF23)+1</f>
        <v>10</v>
      </c>
      <c r="AG24" s="684" t="s">
        <v>467</v>
      </c>
      <c r="AH24" s="685" t="s">
        <v>468</v>
      </c>
      <c r="AI24" s="693">
        <f t="shared" si="9"/>
        <v>0</v>
      </c>
      <c r="AJ24" s="42"/>
      <c r="AK24" s="42"/>
      <c r="AL24" s="42"/>
      <c r="AM24" s="42"/>
      <c r="AN24" s="42"/>
      <c r="AO24" s="42"/>
      <c r="AP24" s="42"/>
      <c r="AQ24" s="42"/>
      <c r="AR24" s="42"/>
      <c r="AS24" s="42"/>
    </row>
    <row r="25" spans="1:45" s="104" customFormat="1" ht="48.75" customHeight="1">
      <c r="A25" s="688">
        <f>_xlfn.AGGREGATE(4,7,A$14:A24)+1</f>
        <v>11</v>
      </c>
      <c r="B25" s="501" t="s">
        <v>138</v>
      </c>
      <c r="C25" s="112" t="s">
        <v>528</v>
      </c>
      <c r="D25" s="227" t="s">
        <v>237</v>
      </c>
      <c r="E25" s="209" t="s">
        <v>214</v>
      </c>
      <c r="F25" s="455" t="str">
        <f>INDEX([3]SACOM!$C$7:$C$335,MATCH(B25,[3]SACOM!$B$7:$B$335,0))</f>
        <v>060310828079</v>
      </c>
      <c r="G25" s="454" t="s">
        <v>242</v>
      </c>
      <c r="H25" s="660">
        <v>7</v>
      </c>
      <c r="I25" s="533">
        <v>8522203</v>
      </c>
      <c r="J25" s="655"/>
      <c r="K25" s="533"/>
      <c r="L25" s="533">
        <f t="shared" si="0"/>
        <v>8522203</v>
      </c>
      <c r="M25" s="533"/>
      <c r="N25" s="533">
        <f t="shared" si="1"/>
        <v>0</v>
      </c>
      <c r="O25" s="533"/>
      <c r="P25" s="533">
        <f t="shared" si="2"/>
        <v>8522203</v>
      </c>
      <c r="Q25" s="533">
        <f t="shared" si="3"/>
        <v>681776.24</v>
      </c>
      <c r="R25" s="535">
        <f t="shared" si="4"/>
        <v>127833.045</v>
      </c>
      <c r="S25" s="533">
        <f t="shared" si="5"/>
        <v>85222.03</v>
      </c>
      <c r="T25" s="535"/>
      <c r="U25" s="535">
        <f t="shared" si="6"/>
        <v>894831.31500000006</v>
      </c>
      <c r="V25" s="535"/>
      <c r="W25" s="535"/>
      <c r="X25" s="535"/>
      <c r="Y25" s="535"/>
      <c r="Z25" s="535"/>
      <c r="AA25" s="457">
        <f t="shared" si="7"/>
        <v>7627371.6849999996</v>
      </c>
      <c r="AB25" s="101">
        <f t="shared" si="8"/>
        <v>11</v>
      </c>
      <c r="AC25" s="102"/>
      <c r="AD25" s="103" t="s">
        <v>72</v>
      </c>
      <c r="AE25" s="120" t="str">
        <f>INDEX([4]T01!$G$14:$G$346,MATCH(B25,[4]T01!$D$14:$D$346,0))</f>
        <v>TTrGD</v>
      </c>
      <c r="AF25" s="698">
        <f>_xlfn.AGGREGATE(4,7,AF$14:AF24)+1</f>
        <v>11</v>
      </c>
      <c r="AG25" s="698" t="s">
        <v>469</v>
      </c>
      <c r="AH25" s="699" t="s">
        <v>470</v>
      </c>
      <c r="AI25" s="700">
        <f t="shared" si="9"/>
        <v>0</v>
      </c>
    </row>
    <row r="26" spans="1:45" s="697" customFormat="1" ht="36" customHeight="1">
      <c r="A26" s="688">
        <f>_xlfn.AGGREGATE(4,7,A$14:A25)+1</f>
        <v>12</v>
      </c>
      <c r="B26" s="501" t="s">
        <v>283</v>
      </c>
      <c r="C26" s="112" t="s">
        <v>528</v>
      </c>
      <c r="D26" s="228"/>
      <c r="E26" s="223" t="s">
        <v>324</v>
      </c>
      <c r="F26" s="455" t="str">
        <f>INDEX([3]SACOM!$C$7:$C$335,MATCH(B26,[3]SACOM!$B$7:$B$335,0))</f>
        <v>060310836772</v>
      </c>
      <c r="G26" s="447" t="s">
        <v>242</v>
      </c>
      <c r="H26" s="532">
        <v>2</v>
      </c>
      <c r="I26" s="533">
        <v>6076213</v>
      </c>
      <c r="J26" s="655"/>
      <c r="K26" s="533"/>
      <c r="L26" s="533">
        <f t="shared" si="0"/>
        <v>6076213</v>
      </c>
      <c r="M26" s="533"/>
      <c r="N26" s="533">
        <f t="shared" si="1"/>
        <v>0</v>
      </c>
      <c r="O26" s="533"/>
      <c r="P26" s="533">
        <f t="shared" si="2"/>
        <v>6076213</v>
      </c>
      <c r="Q26" s="533">
        <f t="shared" si="3"/>
        <v>486097.04000000004</v>
      </c>
      <c r="R26" s="535">
        <f t="shared" si="4"/>
        <v>91143.194999999992</v>
      </c>
      <c r="S26" s="533">
        <f t="shared" si="5"/>
        <v>60762.130000000005</v>
      </c>
      <c r="T26" s="535"/>
      <c r="U26" s="535">
        <f t="shared" si="6"/>
        <v>638002.36499999999</v>
      </c>
      <c r="V26" s="535"/>
      <c r="W26" s="659"/>
      <c r="X26" s="659"/>
      <c r="Y26" s="659"/>
      <c r="Z26" s="659"/>
      <c r="AA26" s="457">
        <f t="shared" si="7"/>
        <v>5438210.6349999998</v>
      </c>
      <c r="AB26" s="101">
        <f t="shared" si="8"/>
        <v>12</v>
      </c>
      <c r="AC26" s="255"/>
      <c r="AD26" s="255" t="s">
        <v>284</v>
      </c>
      <c r="AE26" s="120" t="str">
        <f>INDEX([4]T01!$G$14:$G$346,MATCH(B26,[4]T01!$D$14:$D$346,0))</f>
        <v>TTrGD</v>
      </c>
      <c r="AF26" s="698">
        <f>_xlfn.AGGREGATE(4,7,AF$14:AF25)+1</f>
        <v>12</v>
      </c>
      <c r="AG26" s="698" t="s">
        <v>471</v>
      </c>
      <c r="AH26" s="699" t="s">
        <v>472</v>
      </c>
      <c r="AI26" s="700">
        <f t="shared" si="9"/>
        <v>0</v>
      </c>
    </row>
    <row r="27" spans="1:45" s="104" customFormat="1" ht="37.5" customHeight="1">
      <c r="A27" s="688">
        <f>_xlfn.AGGREGATE(4,7,A$14:A26)+1</f>
        <v>13</v>
      </c>
      <c r="B27" s="593" t="s">
        <v>433</v>
      </c>
      <c r="C27" s="112" t="s">
        <v>528</v>
      </c>
      <c r="D27" s="226" t="s">
        <v>233</v>
      </c>
      <c r="E27" s="223" t="s">
        <v>203</v>
      </c>
      <c r="F27" s="455" t="str">
        <f>INDEX([3]SACOM!$C$7:$C$335,MATCH(B27,[3]SACOM!$B$7:$B$335,0))</f>
        <v>0358800688</v>
      </c>
      <c r="G27" s="454" t="s">
        <v>245</v>
      </c>
      <c r="H27" s="532">
        <v>5</v>
      </c>
      <c r="I27" s="533">
        <v>6450935</v>
      </c>
      <c r="J27" s="655"/>
      <c r="K27" s="533"/>
      <c r="L27" s="533">
        <f t="shared" si="0"/>
        <v>6450935</v>
      </c>
      <c r="M27" s="533"/>
      <c r="N27" s="533">
        <f t="shared" si="1"/>
        <v>0</v>
      </c>
      <c r="O27" s="533"/>
      <c r="P27" s="533">
        <f t="shared" si="2"/>
        <v>6450935</v>
      </c>
      <c r="Q27" s="533">
        <f t="shared" si="3"/>
        <v>516074.8</v>
      </c>
      <c r="R27" s="535">
        <f t="shared" si="4"/>
        <v>96764.024999999994</v>
      </c>
      <c r="S27" s="533">
        <f t="shared" si="5"/>
        <v>64509.35</v>
      </c>
      <c r="T27" s="535"/>
      <c r="U27" s="535">
        <f t="shared" si="6"/>
        <v>677348.17499999993</v>
      </c>
      <c r="V27" s="536"/>
      <c r="W27" s="535"/>
      <c r="X27" s="536"/>
      <c r="Y27" s="535"/>
      <c r="Z27" s="535"/>
      <c r="AA27" s="457">
        <f t="shared" si="7"/>
        <v>5773586.8250000002</v>
      </c>
      <c r="AB27" s="101">
        <f t="shared" si="8"/>
        <v>13</v>
      </c>
      <c r="AC27" s="102"/>
      <c r="AD27" s="117">
        <f>'ND 111'!AD27*10.5%</f>
        <v>486013.5</v>
      </c>
      <c r="AE27" s="120" t="str">
        <f>INDEX([4]T01!$G$14:$G$346,MATCH(B27,[4]T01!$D$14:$D$346,0))</f>
        <v>TTrGD</v>
      </c>
      <c r="AF27" s="684">
        <f>_xlfn.AGGREGATE(4,7,AF$14:AF26)+1</f>
        <v>13</v>
      </c>
      <c r="AG27" s="684" t="s">
        <v>473</v>
      </c>
      <c r="AH27" s="685" t="s">
        <v>474</v>
      </c>
      <c r="AI27" s="693">
        <f t="shared" si="9"/>
        <v>11170870</v>
      </c>
      <c r="AJ27" s="42"/>
      <c r="AK27" s="42"/>
      <c r="AL27" s="42"/>
      <c r="AM27" s="42"/>
      <c r="AN27" s="42"/>
      <c r="AO27" s="42"/>
      <c r="AP27" s="42"/>
      <c r="AQ27" s="42"/>
      <c r="AR27" s="42"/>
      <c r="AS27" s="42"/>
    </row>
    <row r="28" spans="1:45" s="550" customFormat="1" ht="42.75" customHeight="1">
      <c r="A28" s="688">
        <f>_xlfn.AGGREGATE(4,7,A$14:A27)+1</f>
        <v>14</v>
      </c>
      <c r="B28" s="501" t="s">
        <v>432</v>
      </c>
      <c r="C28" s="112" t="s">
        <v>528</v>
      </c>
      <c r="D28" s="226" t="s">
        <v>232</v>
      </c>
      <c r="E28" s="209" t="s">
        <v>210</v>
      </c>
      <c r="F28" s="455" t="str">
        <f>INDEX([3]SACOM!$C$7:$C$335,MATCH(B28,[3]SACOM!$B$7:$B$335,0))</f>
        <v>060278335766</v>
      </c>
      <c r="G28" s="454" t="s">
        <v>242</v>
      </c>
      <c r="H28" s="532">
        <v>2</v>
      </c>
      <c r="I28" s="533">
        <v>6076213</v>
      </c>
      <c r="J28" s="655"/>
      <c r="K28" s="533"/>
      <c r="L28" s="533">
        <f t="shared" si="0"/>
        <v>6076213</v>
      </c>
      <c r="M28" s="533"/>
      <c r="N28" s="533">
        <f t="shared" si="1"/>
        <v>0</v>
      </c>
      <c r="O28" s="533"/>
      <c r="P28" s="533">
        <f t="shared" si="2"/>
        <v>6076213</v>
      </c>
      <c r="Q28" s="533">
        <f t="shared" si="3"/>
        <v>486097.04000000004</v>
      </c>
      <c r="R28" s="535">
        <f t="shared" si="4"/>
        <v>91143.194999999992</v>
      </c>
      <c r="S28" s="533">
        <f t="shared" si="5"/>
        <v>60762.130000000005</v>
      </c>
      <c r="T28" s="535"/>
      <c r="U28" s="535">
        <f t="shared" si="6"/>
        <v>638002.36499999999</v>
      </c>
      <c r="V28" s="535"/>
      <c r="W28" s="535"/>
      <c r="X28" s="535"/>
      <c r="Y28" s="535"/>
      <c r="Z28" s="535"/>
      <c r="AA28" s="457">
        <f t="shared" si="7"/>
        <v>5438210.6349999998</v>
      </c>
      <c r="AB28" s="101">
        <f t="shared" si="8"/>
        <v>14</v>
      </c>
      <c r="AC28" s="118"/>
      <c r="AD28" s="139" t="s">
        <v>118</v>
      </c>
      <c r="AE28" s="120" t="str">
        <f>INDEX([4]T01!$G$14:$G$346,MATCH(B28,[4]T01!$D$14:$D$346,0))</f>
        <v>TTrGD</v>
      </c>
      <c r="AF28" s="684">
        <f>_xlfn.AGGREGATE(4,7,AF$14:AF27)+1</f>
        <v>14</v>
      </c>
      <c r="AG28" s="684" t="s">
        <v>475</v>
      </c>
      <c r="AH28" s="685" t="s">
        <v>476</v>
      </c>
      <c r="AI28" s="693">
        <f t="shared" si="9"/>
        <v>0</v>
      </c>
      <c r="AJ28" s="602"/>
      <c r="AK28" s="602"/>
      <c r="AL28" s="602"/>
      <c r="AM28" s="602"/>
      <c r="AN28" s="602"/>
      <c r="AO28" s="602"/>
      <c r="AP28" s="602"/>
      <c r="AQ28" s="602"/>
      <c r="AR28" s="602"/>
      <c r="AS28" s="602"/>
    </row>
    <row r="29" spans="1:45" s="104" customFormat="1" ht="42.75" customHeight="1">
      <c r="A29" s="688">
        <f>_xlfn.AGGREGATE(4,7,A$14:A28)+1</f>
        <v>15</v>
      </c>
      <c r="B29" s="501" t="s">
        <v>318</v>
      </c>
      <c r="C29" s="112" t="s">
        <v>528</v>
      </c>
      <c r="D29" s="227" t="s">
        <v>335</v>
      </c>
      <c r="E29" s="336" t="s">
        <v>336</v>
      </c>
      <c r="F29" s="455" t="str">
        <f>INDEX([3]SACOM!$C$7:$C$335,MATCH(B29,[3]SACOM!$B$7:$B$335,0))</f>
        <v>060310951679</v>
      </c>
      <c r="G29" s="447" t="s">
        <v>242</v>
      </c>
      <c r="H29" s="532">
        <v>2</v>
      </c>
      <c r="I29" s="533">
        <v>6076213</v>
      </c>
      <c r="J29" s="655"/>
      <c r="K29" s="533"/>
      <c r="L29" s="533">
        <f t="shared" si="0"/>
        <v>6076213</v>
      </c>
      <c r="M29" s="533"/>
      <c r="N29" s="533">
        <f t="shared" si="1"/>
        <v>0</v>
      </c>
      <c r="O29" s="533"/>
      <c r="P29" s="533">
        <f t="shared" si="2"/>
        <v>6076213</v>
      </c>
      <c r="Q29" s="533">
        <f t="shared" si="3"/>
        <v>486097.04000000004</v>
      </c>
      <c r="R29" s="535">
        <f t="shared" si="4"/>
        <v>91143.194999999992</v>
      </c>
      <c r="S29" s="533">
        <f t="shared" si="5"/>
        <v>60762.130000000005</v>
      </c>
      <c r="T29" s="535"/>
      <c r="U29" s="535">
        <f t="shared" si="6"/>
        <v>638002.36499999999</v>
      </c>
      <c r="V29" s="535"/>
      <c r="W29" s="659"/>
      <c r="X29" s="659"/>
      <c r="Y29" s="659"/>
      <c r="Z29" s="659"/>
      <c r="AA29" s="457">
        <f t="shared" si="7"/>
        <v>5438210.6349999998</v>
      </c>
      <c r="AB29" s="101">
        <f t="shared" si="8"/>
        <v>15</v>
      </c>
      <c r="AC29" s="255"/>
      <c r="AD29" s="255" t="s">
        <v>320</v>
      </c>
      <c r="AE29" s="120" t="str">
        <f>INDEX([4]T01!$G$14:$G$346,MATCH(B29,[4]T01!$D$14:$D$346,0))</f>
        <v>TTrGD</v>
      </c>
      <c r="AF29" s="698">
        <f>_xlfn.AGGREGATE(4,7,AF$14:AF28)+1</f>
        <v>15</v>
      </c>
      <c r="AG29" s="698" t="s">
        <v>477</v>
      </c>
      <c r="AH29" s="699" t="s">
        <v>478</v>
      </c>
      <c r="AI29" s="700">
        <f t="shared" si="9"/>
        <v>0</v>
      </c>
    </row>
    <row r="30" spans="1:45" s="512" customFormat="1" ht="47.25" customHeight="1">
      <c r="A30" s="688">
        <f>_xlfn.AGGREGATE(4,7,A$14:A29)+1</f>
        <v>16</v>
      </c>
      <c r="B30" s="501" t="s">
        <v>311</v>
      </c>
      <c r="C30" s="112" t="s">
        <v>528</v>
      </c>
      <c r="D30" s="228"/>
      <c r="E30" s="223"/>
      <c r="F30" s="455" t="str">
        <f>INDEX([3]SACOM!$C$7:$C$335,MATCH(B30,[3]SACOM!$B$7:$B$335,0))</f>
        <v>060278713264</v>
      </c>
      <c r="G30" s="447" t="s">
        <v>242</v>
      </c>
      <c r="H30" s="532">
        <v>2</v>
      </c>
      <c r="I30" s="533">
        <v>6076213</v>
      </c>
      <c r="J30" s="655"/>
      <c r="K30" s="533"/>
      <c r="L30" s="533">
        <f t="shared" si="0"/>
        <v>6076213</v>
      </c>
      <c r="M30" s="533"/>
      <c r="N30" s="533">
        <f t="shared" si="1"/>
        <v>0</v>
      </c>
      <c r="O30" s="533"/>
      <c r="P30" s="533">
        <f t="shared" si="2"/>
        <v>6076213</v>
      </c>
      <c r="Q30" s="533">
        <f t="shared" si="3"/>
        <v>486097.04000000004</v>
      </c>
      <c r="R30" s="535">
        <f t="shared" si="4"/>
        <v>91143.194999999992</v>
      </c>
      <c r="S30" s="533">
        <f t="shared" si="5"/>
        <v>60762.130000000005</v>
      </c>
      <c r="T30" s="535"/>
      <c r="U30" s="535">
        <f t="shared" si="6"/>
        <v>638002.36499999999</v>
      </c>
      <c r="V30" s="535"/>
      <c r="W30" s="659"/>
      <c r="X30" s="659"/>
      <c r="Y30" s="659"/>
      <c r="Z30" s="659"/>
      <c r="AA30" s="457">
        <f t="shared" si="7"/>
        <v>5438210.6349999998</v>
      </c>
      <c r="AB30" s="101">
        <f t="shared" si="8"/>
        <v>16</v>
      </c>
      <c r="AC30" s="255"/>
      <c r="AD30" s="255" t="s">
        <v>312</v>
      </c>
      <c r="AE30" s="120" t="str">
        <f>INDEX([4]T01!$G$14:$G$346,MATCH(B30,[4]T01!$D$14:$D$346,0))</f>
        <v>TTrGD</v>
      </c>
      <c r="AF30" s="684">
        <f>_xlfn.AGGREGATE(4,7,AF$14:AF29)+1</f>
        <v>16</v>
      </c>
      <c r="AG30" s="687" t="s">
        <v>479</v>
      </c>
      <c r="AH30" s="685" t="s">
        <v>480</v>
      </c>
      <c r="AI30" s="693">
        <f t="shared" si="9"/>
        <v>0</v>
      </c>
      <c r="AJ30" s="602"/>
      <c r="AK30" s="602"/>
      <c r="AL30" s="602"/>
      <c r="AM30" s="602"/>
      <c r="AN30" s="602"/>
      <c r="AO30" s="602"/>
      <c r="AP30" s="602"/>
      <c r="AQ30" s="602"/>
      <c r="AR30" s="602"/>
      <c r="AS30" s="602"/>
    </row>
    <row r="31" spans="1:45" s="697" customFormat="1" ht="44.25" customHeight="1">
      <c r="A31" s="688">
        <f>_xlfn.AGGREGATE(4,7,A$14:A30)+1</f>
        <v>17</v>
      </c>
      <c r="B31" s="501" t="s">
        <v>134</v>
      </c>
      <c r="C31" s="112" t="s">
        <v>528</v>
      </c>
      <c r="D31" s="228" t="str">
        <f>VLOOKUP(B31,[2]T3!$B$2:$D$328,3,FALSE)</f>
        <v>025804258</v>
      </c>
      <c r="E31" s="223" t="s">
        <v>207</v>
      </c>
      <c r="F31" s="455" t="str">
        <f>INDEX([3]SACOM!$C$7:$C$335,MATCH(B31,[3]SACOM!$B$7:$B$335,0))</f>
        <v>060310837000</v>
      </c>
      <c r="G31" s="454" t="s">
        <v>245</v>
      </c>
      <c r="H31" s="658">
        <v>6</v>
      </c>
      <c r="I31" s="533">
        <v>6773482</v>
      </c>
      <c r="J31" s="655"/>
      <c r="K31" s="533"/>
      <c r="L31" s="533">
        <f t="shared" si="0"/>
        <v>6773482</v>
      </c>
      <c r="M31" s="533"/>
      <c r="N31" s="533">
        <f t="shared" si="1"/>
        <v>0</v>
      </c>
      <c r="O31" s="533"/>
      <c r="P31" s="533">
        <f t="shared" si="2"/>
        <v>6773482</v>
      </c>
      <c r="Q31" s="533">
        <f t="shared" si="3"/>
        <v>541878.56000000006</v>
      </c>
      <c r="R31" s="535">
        <f t="shared" si="4"/>
        <v>101602.23</v>
      </c>
      <c r="S31" s="533">
        <f t="shared" si="5"/>
        <v>67734.820000000007</v>
      </c>
      <c r="T31" s="535"/>
      <c r="U31" s="535">
        <f t="shared" si="6"/>
        <v>711215.6100000001</v>
      </c>
      <c r="V31" s="535"/>
      <c r="W31" s="659"/>
      <c r="X31" s="659"/>
      <c r="Y31" s="659"/>
      <c r="Z31" s="659"/>
      <c r="AA31" s="457">
        <f t="shared" si="7"/>
        <v>6062266.3899999997</v>
      </c>
      <c r="AB31" s="101">
        <f t="shared" si="8"/>
        <v>17</v>
      </c>
      <c r="AC31" s="102"/>
      <c r="AD31" s="102" t="s">
        <v>106</v>
      </c>
      <c r="AE31" s="120" t="str">
        <f>INDEX([4]T01!$G$14:$G$346,MATCH(B31,[4]T01!$D$14:$D$346,0))</f>
        <v>TTrGD</v>
      </c>
      <c r="AF31" s="698">
        <f>_xlfn.AGGREGATE(4,7,AF$14:AF30)+1</f>
        <v>17</v>
      </c>
      <c r="AG31" s="698" t="s">
        <v>481</v>
      </c>
      <c r="AH31" s="699" t="s">
        <v>482</v>
      </c>
      <c r="AI31" s="700">
        <f t="shared" si="9"/>
        <v>0</v>
      </c>
    </row>
    <row r="32" spans="1:45" s="104" customFormat="1" ht="44.25" customHeight="1">
      <c r="A32" s="688">
        <f>_xlfn.AGGREGATE(4,7,A$14:A31)+1</f>
        <v>18</v>
      </c>
      <c r="B32" s="501" t="s">
        <v>399</v>
      </c>
      <c r="C32" s="112" t="s">
        <v>528</v>
      </c>
      <c r="D32" s="228"/>
      <c r="E32" s="223"/>
      <c r="F32" s="455" t="str">
        <f>INDEX([3]SACOM!$C$7:$C$335,MATCH(B32,[3]SACOM!$B$7:$B$335,0))</f>
        <v>060310936742</v>
      </c>
      <c r="G32" s="454" t="s">
        <v>245</v>
      </c>
      <c r="H32" s="658">
        <v>2</v>
      </c>
      <c r="I32" s="533">
        <v>5572560</v>
      </c>
      <c r="J32" s="655"/>
      <c r="K32" s="533"/>
      <c r="L32" s="533">
        <f t="shared" si="0"/>
        <v>5572560</v>
      </c>
      <c r="M32" s="533"/>
      <c r="N32" s="533">
        <f t="shared" si="1"/>
        <v>0</v>
      </c>
      <c r="O32" s="533"/>
      <c r="P32" s="533">
        <f t="shared" si="2"/>
        <v>5572560</v>
      </c>
      <c r="Q32" s="533">
        <f t="shared" si="3"/>
        <v>445804.79999999999</v>
      </c>
      <c r="R32" s="535">
        <f t="shared" si="4"/>
        <v>83588.399999999994</v>
      </c>
      <c r="S32" s="533">
        <f t="shared" si="5"/>
        <v>55725.599999999999</v>
      </c>
      <c r="T32" s="535"/>
      <c r="U32" s="535">
        <f t="shared" si="6"/>
        <v>585118.79999999993</v>
      </c>
      <c r="V32" s="535"/>
      <c r="W32" s="659"/>
      <c r="X32" s="659"/>
      <c r="Y32" s="659"/>
      <c r="Z32" s="659"/>
      <c r="AA32" s="457">
        <f t="shared" si="7"/>
        <v>4987441.2</v>
      </c>
      <c r="AB32" s="101">
        <f t="shared" si="8"/>
        <v>18</v>
      </c>
      <c r="AC32" s="102"/>
      <c r="AD32" s="145" t="s">
        <v>400</v>
      </c>
      <c r="AE32" s="120" t="str">
        <f>INDEX([4]T01!$G$14:$G$346,MATCH(B32,[4]T01!$D$14:$D$346,0))</f>
        <v>TTrGD</v>
      </c>
      <c r="AF32" s="698">
        <f>_xlfn.AGGREGATE(4,7,AF$14:AF31)+1</f>
        <v>18</v>
      </c>
      <c r="AG32" s="698" t="s">
        <v>483</v>
      </c>
      <c r="AH32" s="699" t="s">
        <v>484</v>
      </c>
      <c r="AI32" s="700">
        <f t="shared" si="9"/>
        <v>0</v>
      </c>
    </row>
    <row r="33" spans="1:45" s="104" customFormat="1" ht="42.75" customHeight="1">
      <c r="A33" s="688">
        <f>_xlfn.AGGREGATE(4,7,A$14:A32)+1</f>
        <v>19</v>
      </c>
      <c r="B33" s="501" t="s">
        <v>128</v>
      </c>
      <c r="C33" s="112" t="s">
        <v>187</v>
      </c>
      <c r="D33" s="228" t="str">
        <f>VLOOKUP(B33,[2]T3!$B$2:$D$328,3,FALSE)</f>
        <v>024759058</v>
      </c>
      <c r="E33" s="209" t="s">
        <v>224</v>
      </c>
      <c r="F33" s="455" t="str">
        <f>INDEX([3]SACOM!$C$7:$C$335,MATCH(B33,[3]SACOM!$B$7:$B$335,0))</f>
        <v>060311001951</v>
      </c>
      <c r="G33" s="454" t="s">
        <v>242</v>
      </c>
      <c r="H33" s="660">
        <v>2</v>
      </c>
      <c r="I33" s="533">
        <v>6076213</v>
      </c>
      <c r="J33" s="655"/>
      <c r="K33" s="533"/>
      <c r="L33" s="533">
        <f t="shared" si="0"/>
        <v>6076213</v>
      </c>
      <c r="M33" s="533"/>
      <c r="N33" s="533">
        <f t="shared" si="1"/>
        <v>0</v>
      </c>
      <c r="O33" s="533"/>
      <c r="P33" s="533">
        <f t="shared" si="2"/>
        <v>6076213</v>
      </c>
      <c r="Q33" s="533">
        <f t="shared" si="3"/>
        <v>486097.04000000004</v>
      </c>
      <c r="R33" s="535">
        <f t="shared" si="4"/>
        <v>91143.194999999992</v>
      </c>
      <c r="S33" s="533">
        <f t="shared" si="5"/>
        <v>60762.130000000005</v>
      </c>
      <c r="T33" s="535"/>
      <c r="U33" s="535">
        <f t="shared" si="6"/>
        <v>638002.36499999999</v>
      </c>
      <c r="V33" s="535"/>
      <c r="W33" s="457"/>
      <c r="X33" s="457"/>
      <c r="Y33" s="457"/>
      <c r="Z33" s="457"/>
      <c r="AA33" s="457">
        <f t="shared" si="7"/>
        <v>5438210.6349999998</v>
      </c>
      <c r="AB33" s="101">
        <f t="shared" si="8"/>
        <v>19</v>
      </c>
      <c r="AC33" s="102"/>
      <c r="AD33" s="145" t="s">
        <v>126</v>
      </c>
      <c r="AE33" s="120" t="str">
        <f>INDEX([4]T01!$G$14:$G$346,MATCH(B33,[4]T01!$D$14:$D$346,0))</f>
        <v>TSĐT</v>
      </c>
      <c r="AF33" s="684">
        <f>_xlfn.AGGREGATE(4,7,AF$14:AF32)+1</f>
        <v>19</v>
      </c>
      <c r="AG33" s="684" t="s">
        <v>485</v>
      </c>
      <c r="AH33" s="685" t="s">
        <v>486</v>
      </c>
      <c r="AI33" s="693">
        <f t="shared" si="9"/>
        <v>0</v>
      </c>
      <c r="AJ33" s="42"/>
      <c r="AK33" s="42"/>
      <c r="AL33" s="42"/>
      <c r="AM33" s="42"/>
      <c r="AN33" s="42"/>
      <c r="AO33" s="42"/>
      <c r="AP33" s="42"/>
      <c r="AQ33" s="42"/>
      <c r="AR33" s="42"/>
      <c r="AS33" s="42"/>
    </row>
    <row r="34" spans="1:45" s="104" customFormat="1" ht="47.25" customHeight="1">
      <c r="A34" s="688">
        <f>_xlfn.AGGREGATE(4,7,A$14:A33)+1</f>
        <v>20</v>
      </c>
      <c r="B34" s="501" t="s">
        <v>141</v>
      </c>
      <c r="C34" s="112" t="s">
        <v>187</v>
      </c>
      <c r="D34" s="228" t="str">
        <f>VLOOKUP(B34,[2]T3!$B$2:$D$328,3,FALSE)</f>
        <v>025128010</v>
      </c>
      <c r="E34" s="209" t="s">
        <v>216</v>
      </c>
      <c r="F34" s="455" t="str">
        <f>INDEX([3]SACOM!$C$7:$C$335,MATCH(B34,[3]SACOM!$B$7:$B$335,0))</f>
        <v>060311390204</v>
      </c>
      <c r="G34" s="454" t="s">
        <v>242</v>
      </c>
      <c r="H34" s="658">
        <v>4</v>
      </c>
      <c r="I34" s="533">
        <v>6956657</v>
      </c>
      <c r="J34" s="655"/>
      <c r="K34" s="533"/>
      <c r="L34" s="533">
        <f t="shared" si="0"/>
        <v>6956657</v>
      </c>
      <c r="M34" s="533"/>
      <c r="N34" s="533">
        <f t="shared" si="1"/>
        <v>0</v>
      </c>
      <c r="O34" s="533"/>
      <c r="P34" s="533">
        <f t="shared" si="2"/>
        <v>6956657</v>
      </c>
      <c r="Q34" s="533">
        <f t="shared" si="3"/>
        <v>556532.56000000006</v>
      </c>
      <c r="R34" s="535">
        <f t="shared" si="4"/>
        <v>104349.855</v>
      </c>
      <c r="S34" s="533">
        <f t="shared" si="5"/>
        <v>69566.570000000007</v>
      </c>
      <c r="T34" s="535"/>
      <c r="U34" s="535">
        <f t="shared" si="6"/>
        <v>730448.9850000001</v>
      </c>
      <c r="V34" s="535"/>
      <c r="W34" s="535"/>
      <c r="X34" s="535"/>
      <c r="Y34" s="535"/>
      <c r="Z34" s="535"/>
      <c r="AA34" s="457">
        <f t="shared" si="7"/>
        <v>6226208.0149999997</v>
      </c>
      <c r="AB34" s="101">
        <f t="shared" si="8"/>
        <v>20</v>
      </c>
      <c r="AC34" s="102"/>
      <c r="AD34" s="127" t="s">
        <v>115</v>
      </c>
      <c r="AE34" s="120" t="str">
        <f>INDEX([4]T01!$G$14:$G$346,MATCH(B34,[4]T01!$D$14:$D$346,0))</f>
        <v>TSĐT</v>
      </c>
      <c r="AF34" s="684">
        <f>_xlfn.AGGREGATE(4,7,AF$14:AF33)+1</f>
        <v>20</v>
      </c>
      <c r="AG34" s="684" t="s">
        <v>487</v>
      </c>
      <c r="AH34" s="685" t="s">
        <v>488</v>
      </c>
      <c r="AI34" s="693">
        <f t="shared" si="9"/>
        <v>17689229.289999999</v>
      </c>
      <c r="AJ34" s="42"/>
      <c r="AK34" s="42"/>
      <c r="AL34" s="42"/>
      <c r="AM34" s="42"/>
      <c r="AN34" s="42"/>
      <c r="AO34" s="42"/>
      <c r="AP34" s="42"/>
      <c r="AQ34" s="42"/>
      <c r="AR34" s="42"/>
      <c r="AS34" s="42"/>
    </row>
    <row r="35" spans="1:45" s="104" customFormat="1" ht="39" customHeight="1">
      <c r="A35" s="688">
        <f>_xlfn.AGGREGATE(4,7,A$14:A34)+1</f>
        <v>21</v>
      </c>
      <c r="B35" s="501" t="s">
        <v>163</v>
      </c>
      <c r="C35" s="112" t="s">
        <v>187</v>
      </c>
      <c r="D35" s="228" t="str">
        <f>VLOOKUP(B35,[2]T3!$B$2:$D$328,3,FALSE)</f>
        <v>290936998</v>
      </c>
      <c r="E35" s="209" t="s">
        <v>221</v>
      </c>
      <c r="F35" s="455" t="str">
        <f>INDEX([3]SACOM!$C$7:$C$335,MATCH(B35,[3]SACOM!$B$7:$B$335,0))</f>
        <v>060310828656</v>
      </c>
      <c r="G35" s="447" t="s">
        <v>242</v>
      </c>
      <c r="H35" s="532">
        <v>6</v>
      </c>
      <c r="I35" s="533">
        <v>7964676</v>
      </c>
      <c r="J35" s="655"/>
      <c r="K35" s="533"/>
      <c r="L35" s="533">
        <f t="shared" si="0"/>
        <v>7964676</v>
      </c>
      <c r="M35" s="533"/>
      <c r="N35" s="533">
        <f t="shared" si="1"/>
        <v>0</v>
      </c>
      <c r="O35" s="533"/>
      <c r="P35" s="533">
        <f t="shared" si="2"/>
        <v>7964676</v>
      </c>
      <c r="Q35" s="533">
        <f t="shared" si="3"/>
        <v>637174.07999999996</v>
      </c>
      <c r="R35" s="535">
        <f t="shared" si="4"/>
        <v>119470.14</v>
      </c>
      <c r="S35" s="533">
        <f t="shared" si="5"/>
        <v>79646.759999999995</v>
      </c>
      <c r="T35" s="535"/>
      <c r="U35" s="535">
        <f t="shared" si="6"/>
        <v>836290.98</v>
      </c>
      <c r="V35" s="535"/>
      <c r="W35" s="535"/>
      <c r="X35" s="535"/>
      <c r="Y35" s="535"/>
      <c r="Z35" s="535"/>
      <c r="AA35" s="457">
        <f t="shared" si="7"/>
        <v>7128385.0199999996</v>
      </c>
      <c r="AB35" s="101">
        <f t="shared" si="8"/>
        <v>21</v>
      </c>
      <c r="AC35" s="118"/>
      <c r="AD35" s="155"/>
      <c r="AE35" s="120" t="str">
        <f>INDEX([4]T01!$G$14:$G$346,MATCH(B35,[4]T01!$D$14:$D$346,0))</f>
        <v>TSĐT</v>
      </c>
      <c r="AF35" s="684">
        <f>_xlfn.AGGREGATE(4,7,AF$14:AF34)+1</f>
        <v>21</v>
      </c>
      <c r="AG35" s="684" t="s">
        <v>489</v>
      </c>
      <c r="AH35" s="685" t="s">
        <v>490</v>
      </c>
      <c r="AI35" s="693">
        <f t="shared" si="9"/>
        <v>29714698.099999998</v>
      </c>
      <c r="AJ35" s="42"/>
      <c r="AK35" s="42"/>
      <c r="AL35" s="42"/>
      <c r="AM35" s="42"/>
      <c r="AN35" s="42"/>
      <c r="AO35" s="42"/>
      <c r="AP35" s="42"/>
      <c r="AQ35" s="42"/>
      <c r="AR35" s="42"/>
      <c r="AS35" s="42"/>
    </row>
    <row r="36" spans="1:45" s="104" customFormat="1" ht="40.5" customHeight="1">
      <c r="A36" s="688">
        <f>_xlfn.AGGREGATE(4,7,A$14:A35)+1</f>
        <v>22</v>
      </c>
      <c r="B36" s="501" t="s">
        <v>146</v>
      </c>
      <c r="C36" s="112" t="s">
        <v>187</v>
      </c>
      <c r="D36" s="228" t="str">
        <f>VLOOKUP(B36,[2]T3!$B$2:$D$328,3,FALSE)</f>
        <v>001186011890</v>
      </c>
      <c r="E36" s="209" t="s">
        <v>222</v>
      </c>
      <c r="F36" s="455" t="str">
        <f>INDEX([3]SACOM!$C$7:$C$335,MATCH(B36,[3]SACOM!$B$7:$B$335,0))</f>
        <v>060310826122</v>
      </c>
      <c r="G36" s="447" t="s">
        <v>242</v>
      </c>
      <c r="H36" s="532">
        <v>7</v>
      </c>
      <c r="I36" s="533">
        <v>8522203</v>
      </c>
      <c r="J36" s="655"/>
      <c r="K36" s="533"/>
      <c r="L36" s="533">
        <f t="shared" si="0"/>
        <v>8522203</v>
      </c>
      <c r="M36" s="533"/>
      <c r="N36" s="533">
        <f t="shared" si="1"/>
        <v>0</v>
      </c>
      <c r="O36" s="533"/>
      <c r="P36" s="533">
        <f t="shared" si="2"/>
        <v>8522203</v>
      </c>
      <c r="Q36" s="533">
        <f t="shared" si="3"/>
        <v>681776.24</v>
      </c>
      <c r="R36" s="535">
        <f t="shared" si="4"/>
        <v>127833.045</v>
      </c>
      <c r="S36" s="533">
        <f t="shared" si="5"/>
        <v>85222.03</v>
      </c>
      <c r="T36" s="535"/>
      <c r="U36" s="535">
        <f t="shared" si="6"/>
        <v>894831.31500000006</v>
      </c>
      <c r="V36" s="535"/>
      <c r="W36" s="659"/>
      <c r="X36" s="659"/>
      <c r="Y36" s="659"/>
      <c r="Z36" s="659"/>
      <c r="AA36" s="457">
        <f t="shared" si="7"/>
        <v>7627371.6849999996</v>
      </c>
      <c r="AB36" s="101">
        <f t="shared" si="8"/>
        <v>22</v>
      </c>
      <c r="AC36" s="255"/>
      <c r="AD36" s="103"/>
      <c r="AE36" s="120" t="str">
        <f>INDEX([4]T01!$G$14:$G$346,MATCH(B36,[4]T01!$D$14:$D$346,0))</f>
        <v>TSĐT</v>
      </c>
      <c r="AF36" s="684">
        <f>_xlfn.AGGREGATE(4,7,AF$14:AF35)+1</f>
        <v>22</v>
      </c>
      <c r="AG36" s="684" t="s">
        <v>491</v>
      </c>
      <c r="AH36" s="685" t="s">
        <v>492</v>
      </c>
      <c r="AI36" s="693">
        <f t="shared" si="9"/>
        <v>7535647.8849999998</v>
      </c>
      <c r="AJ36" s="42"/>
      <c r="AK36" s="42"/>
      <c r="AL36" s="42"/>
      <c r="AM36" s="42"/>
      <c r="AN36" s="42"/>
      <c r="AO36" s="42"/>
      <c r="AP36" s="42"/>
      <c r="AQ36" s="42"/>
      <c r="AR36" s="42"/>
      <c r="AS36" s="42"/>
    </row>
    <row r="37" spans="1:45" s="104" customFormat="1" ht="39.75" customHeight="1">
      <c r="A37" s="688">
        <f>_xlfn.AGGREGATE(4,7,A$14:A36)+1</f>
        <v>23</v>
      </c>
      <c r="B37" s="501" t="s">
        <v>424</v>
      </c>
      <c r="C37" s="112" t="s">
        <v>187</v>
      </c>
      <c r="D37" s="228"/>
      <c r="E37" s="209"/>
      <c r="F37" s="455" t="str">
        <f>INDEX([3]SACOM!$C$7:$C$335,MATCH(B37,[3]SACOM!$B$7:$B$335,0))</f>
        <v>060311004101</v>
      </c>
      <c r="G37" s="447" t="s">
        <v>242</v>
      </c>
      <c r="H37" s="532">
        <v>1</v>
      </c>
      <c r="I37" s="533">
        <v>5678704</v>
      </c>
      <c r="J37" s="655"/>
      <c r="K37" s="533"/>
      <c r="L37" s="533">
        <f t="shared" si="0"/>
        <v>5678704</v>
      </c>
      <c r="M37" s="533"/>
      <c r="N37" s="533">
        <f t="shared" si="1"/>
        <v>0</v>
      </c>
      <c r="O37" s="533"/>
      <c r="P37" s="533">
        <f t="shared" si="2"/>
        <v>5678704</v>
      </c>
      <c r="Q37" s="533">
        <f t="shared" si="3"/>
        <v>454296.32000000001</v>
      </c>
      <c r="R37" s="535">
        <f t="shared" si="4"/>
        <v>85180.56</v>
      </c>
      <c r="S37" s="533">
        <f t="shared" si="5"/>
        <v>56787.040000000001</v>
      </c>
      <c r="T37" s="535"/>
      <c r="U37" s="535">
        <f t="shared" si="6"/>
        <v>596263.92000000004</v>
      </c>
      <c r="V37" s="535"/>
      <c r="W37" s="659"/>
      <c r="X37" s="659"/>
      <c r="Y37" s="659"/>
      <c r="Z37" s="659"/>
      <c r="AA37" s="457">
        <f t="shared" si="7"/>
        <v>5082440.08</v>
      </c>
      <c r="AB37" s="101">
        <f t="shared" si="8"/>
        <v>23</v>
      </c>
      <c r="AC37" s="255"/>
      <c r="AD37" s="255" t="s">
        <v>425</v>
      </c>
      <c r="AE37" s="120" t="str">
        <f>INDEX([4]T01!$G$14:$G$346,MATCH(B37,[4]T01!$D$14:$D$346,0))</f>
        <v>TSĐT</v>
      </c>
      <c r="AF37" s="684">
        <f>_xlfn.AGGREGATE(4,7,AF$14:AF36)+1</f>
        <v>23</v>
      </c>
      <c r="AG37" s="684" t="s">
        <v>493</v>
      </c>
      <c r="AH37" s="685" t="s">
        <v>494</v>
      </c>
      <c r="AI37" s="693">
        <f t="shared" si="9"/>
        <v>0</v>
      </c>
      <c r="AJ37" s="42"/>
      <c r="AK37" s="42"/>
      <c r="AL37" s="42"/>
      <c r="AM37" s="42"/>
      <c r="AN37" s="42"/>
      <c r="AO37" s="42"/>
      <c r="AP37" s="42"/>
      <c r="AQ37" s="42"/>
      <c r="AR37" s="42"/>
      <c r="AS37" s="42"/>
    </row>
    <row r="38" spans="1:45" s="104" customFormat="1" ht="36.75" customHeight="1">
      <c r="A38" s="688">
        <f>_xlfn.AGGREGATE(4,7,A$14:A37)+1</f>
        <v>24</v>
      </c>
      <c r="B38" s="593" t="s">
        <v>137</v>
      </c>
      <c r="C38" s="112" t="s">
        <v>188</v>
      </c>
      <c r="D38" s="228" t="str">
        <f>VLOOKUP(B38,[2]T3!$B$2:$D$328,3,FALSE)</f>
        <v>095189000070</v>
      </c>
      <c r="E38" s="209" t="s">
        <v>213</v>
      </c>
      <c r="F38" s="455" t="str">
        <f>INDEX([3]SACOM!$C$7:$C$335,MATCH(B38,[3]SACOM!$B$7:$B$335,0))</f>
        <v>060282013358</v>
      </c>
      <c r="G38" s="447" t="s">
        <v>242</v>
      </c>
      <c r="H38" s="660">
        <v>6</v>
      </c>
      <c r="I38" s="533">
        <v>7964676</v>
      </c>
      <c r="J38" s="655"/>
      <c r="K38" s="533"/>
      <c r="L38" s="533">
        <f t="shared" si="0"/>
        <v>7964676</v>
      </c>
      <c r="M38" s="533"/>
      <c r="N38" s="533">
        <f t="shared" si="1"/>
        <v>0</v>
      </c>
      <c r="O38" s="533"/>
      <c r="P38" s="533">
        <f t="shared" si="2"/>
        <v>7964676</v>
      </c>
      <c r="Q38" s="533">
        <f t="shared" si="3"/>
        <v>637174.07999999996</v>
      </c>
      <c r="R38" s="535">
        <f t="shared" si="4"/>
        <v>119470.14</v>
      </c>
      <c r="S38" s="533">
        <f t="shared" si="5"/>
        <v>79646.759999999995</v>
      </c>
      <c r="T38" s="535"/>
      <c r="U38" s="535">
        <f t="shared" si="6"/>
        <v>836290.98</v>
      </c>
      <c r="V38" s="535"/>
      <c r="W38" s="535"/>
      <c r="X38" s="535"/>
      <c r="Y38" s="535"/>
      <c r="Z38" s="535"/>
      <c r="AA38" s="457">
        <f t="shared" si="7"/>
        <v>7128385.0199999996</v>
      </c>
      <c r="AB38" s="101">
        <f t="shared" si="8"/>
        <v>24</v>
      </c>
      <c r="AC38" s="134"/>
      <c r="AD38" s="102" t="s">
        <v>83</v>
      </c>
      <c r="AE38" s="120" t="str">
        <f>INDEX([4]T01!$G$14:$G$346,MATCH(B38,[4]T01!$D$14:$D$346,0))</f>
        <v>KTĐBCL</v>
      </c>
      <c r="AF38" s="684">
        <f>_xlfn.AGGREGATE(4,7,AF$14:AF37)+1</f>
        <v>24</v>
      </c>
      <c r="AG38" s="684" t="s">
        <v>495</v>
      </c>
      <c r="AH38" s="685" t="s">
        <v>496</v>
      </c>
      <c r="AI38" s="693">
        <f t="shared" si="9"/>
        <v>14876314.100000001</v>
      </c>
      <c r="AJ38" s="42"/>
      <c r="AK38" s="42"/>
      <c r="AL38" s="42"/>
      <c r="AM38" s="42"/>
      <c r="AN38" s="42"/>
      <c r="AO38" s="42"/>
      <c r="AP38" s="42"/>
      <c r="AQ38" s="42"/>
      <c r="AR38" s="42"/>
      <c r="AS38" s="42"/>
    </row>
    <row r="39" spans="1:45" s="104" customFormat="1" ht="39.75" customHeight="1">
      <c r="A39" s="688">
        <f>_xlfn.AGGREGATE(4,7,A$14:A38)+1</f>
        <v>25</v>
      </c>
      <c r="B39" s="501" t="s">
        <v>136</v>
      </c>
      <c r="C39" s="112" t="s">
        <v>189</v>
      </c>
      <c r="D39" s="228" t="str">
        <f>VLOOKUP(B39,[2]T3!$B$2:$D$328,3,FALSE)</f>
        <v>023680986</v>
      </c>
      <c r="E39" s="209" t="s">
        <v>212</v>
      </c>
      <c r="F39" s="455" t="str">
        <f>INDEX([3]SACOM!$C$7:$C$335,MATCH(B39,[3]SACOM!$B$7:$B$335,0))</f>
        <v xml:space="preserve">060310667458 </v>
      </c>
      <c r="G39" s="447" t="s">
        <v>242</v>
      </c>
      <c r="H39" s="532">
        <v>6</v>
      </c>
      <c r="I39" s="533">
        <v>7964676</v>
      </c>
      <c r="J39" s="655"/>
      <c r="K39" s="533"/>
      <c r="L39" s="533">
        <f t="shared" si="0"/>
        <v>7964676</v>
      </c>
      <c r="M39" s="533"/>
      <c r="N39" s="533">
        <f t="shared" si="1"/>
        <v>0</v>
      </c>
      <c r="O39" s="533"/>
      <c r="P39" s="533">
        <f t="shared" si="2"/>
        <v>7964676</v>
      </c>
      <c r="Q39" s="533">
        <f t="shared" si="3"/>
        <v>637174.07999999996</v>
      </c>
      <c r="R39" s="535">
        <f t="shared" si="4"/>
        <v>119470.14</v>
      </c>
      <c r="S39" s="533">
        <f t="shared" si="5"/>
        <v>79646.759999999995</v>
      </c>
      <c r="T39" s="535"/>
      <c r="U39" s="535">
        <f t="shared" si="6"/>
        <v>836290.98</v>
      </c>
      <c r="V39" s="535"/>
      <c r="W39" s="661"/>
      <c r="X39" s="661"/>
      <c r="Y39" s="661"/>
      <c r="Z39" s="661"/>
      <c r="AA39" s="457">
        <f t="shared" si="7"/>
        <v>7128385.0199999996</v>
      </c>
      <c r="AB39" s="101">
        <f t="shared" si="8"/>
        <v>25</v>
      </c>
      <c r="AC39" s="118"/>
      <c r="AD39" s="114" t="s">
        <v>107</v>
      </c>
      <c r="AE39" s="120" t="str">
        <f>INDEX([4]T01!$G$14:$G$346,MATCH(B39,[4]T01!$D$14:$D$346,0))</f>
        <v>QLKH</v>
      </c>
      <c r="AF39" s="684"/>
      <c r="AG39" s="684"/>
      <c r="AH39" s="685"/>
      <c r="AI39" s="694">
        <f>SUM(AI15:AI38)</f>
        <v>372580368.69500011</v>
      </c>
      <c r="AJ39" s="42"/>
      <c r="AK39" s="42"/>
      <c r="AL39" s="42"/>
      <c r="AM39" s="42"/>
      <c r="AN39" s="42"/>
      <c r="AO39" s="42"/>
      <c r="AP39" s="42"/>
      <c r="AQ39" s="42"/>
      <c r="AR39" s="42"/>
      <c r="AS39" s="42"/>
    </row>
    <row r="40" spans="1:45" s="104" customFormat="1" ht="42.75" customHeight="1">
      <c r="A40" s="688">
        <f>_xlfn.AGGREGATE(4,7,A$14:A39)+1</f>
        <v>26</v>
      </c>
      <c r="B40" s="501" t="s">
        <v>301</v>
      </c>
      <c r="C40" s="112" t="s">
        <v>189</v>
      </c>
      <c r="D40" s="228"/>
      <c r="E40" s="223" t="s">
        <v>325</v>
      </c>
      <c r="F40" s="455" t="str">
        <f>INDEX([3]SACOM!$C$7:$C$335,MATCH(B40,[3]SACOM!$B$7:$B$335,0))</f>
        <v>060310701389</v>
      </c>
      <c r="G40" s="447" t="s">
        <v>242</v>
      </c>
      <c r="H40" s="532">
        <v>2</v>
      </c>
      <c r="I40" s="533">
        <v>6076213</v>
      </c>
      <c r="J40" s="655"/>
      <c r="K40" s="533"/>
      <c r="L40" s="533">
        <f t="shared" si="0"/>
        <v>6076213</v>
      </c>
      <c r="M40" s="533"/>
      <c r="N40" s="533">
        <f t="shared" si="1"/>
        <v>0</v>
      </c>
      <c r="O40" s="533"/>
      <c r="P40" s="533">
        <f t="shared" si="2"/>
        <v>6076213</v>
      </c>
      <c r="Q40" s="533">
        <f t="shared" si="3"/>
        <v>486097.04000000004</v>
      </c>
      <c r="R40" s="535">
        <f t="shared" si="4"/>
        <v>91143.194999999992</v>
      </c>
      <c r="S40" s="533">
        <f t="shared" si="5"/>
        <v>60762.130000000005</v>
      </c>
      <c r="T40" s="535"/>
      <c r="U40" s="535">
        <f t="shared" si="6"/>
        <v>638002.36499999999</v>
      </c>
      <c r="V40" s="535"/>
      <c r="W40" s="659"/>
      <c r="X40" s="659"/>
      <c r="Y40" s="659"/>
      <c r="Z40" s="659"/>
      <c r="AA40" s="457">
        <f t="shared" si="7"/>
        <v>5438210.6349999998</v>
      </c>
      <c r="AB40" s="101">
        <f t="shared" si="8"/>
        <v>26</v>
      </c>
      <c r="AC40" s="255"/>
      <c r="AD40" s="255" t="s">
        <v>302</v>
      </c>
      <c r="AE40" s="120" t="str">
        <f>INDEX([4]T01!$G$14:$G$346,MATCH(B40,[4]T01!$D$14:$D$346,0))</f>
        <v>QLKH</v>
      </c>
      <c r="AF40" s="42"/>
      <c r="AG40" s="42"/>
      <c r="AH40" s="42"/>
      <c r="AI40" s="42"/>
      <c r="AJ40" s="42"/>
      <c r="AK40" s="42"/>
      <c r="AL40" s="42"/>
      <c r="AM40" s="42"/>
      <c r="AN40" s="42"/>
      <c r="AO40" s="42"/>
      <c r="AP40" s="42"/>
      <c r="AQ40" s="42"/>
      <c r="AR40" s="42"/>
      <c r="AS40" s="42"/>
    </row>
    <row r="41" spans="1:45" s="104" customFormat="1" ht="40.5" customHeight="1">
      <c r="A41" s="688">
        <f>_xlfn.AGGREGATE(4,7,A$14:A40)+1</f>
        <v>27</v>
      </c>
      <c r="B41" s="501" t="s">
        <v>181</v>
      </c>
      <c r="C41" s="112" t="s">
        <v>364</v>
      </c>
      <c r="D41" s="228" t="str">
        <f>VLOOKUP(B41,[2]T3!$B$2:$D$328,3,FALSE)</f>
        <v>025273555</v>
      </c>
      <c r="E41" s="223" t="s">
        <v>223</v>
      </c>
      <c r="F41" s="455" t="str">
        <f>INDEX([3]SACOM!$C$7:$C$335,MATCH(B41,[3]SACOM!$B$7:$B$335,0))</f>
        <v>060310668179</v>
      </c>
      <c r="G41" s="447" t="s">
        <v>246</v>
      </c>
      <c r="H41" s="532">
        <v>4</v>
      </c>
      <c r="I41" s="533">
        <v>5741820</v>
      </c>
      <c r="J41" s="655"/>
      <c r="K41" s="533"/>
      <c r="L41" s="533">
        <f t="shared" si="0"/>
        <v>5741820</v>
      </c>
      <c r="M41" s="533">
        <v>0</v>
      </c>
      <c r="N41" s="533">
        <f t="shared" si="1"/>
        <v>0</v>
      </c>
      <c r="O41" s="533"/>
      <c r="P41" s="533">
        <f t="shared" si="2"/>
        <v>5741820</v>
      </c>
      <c r="Q41" s="533">
        <f t="shared" si="3"/>
        <v>459345.60000000003</v>
      </c>
      <c r="R41" s="535">
        <f t="shared" si="4"/>
        <v>86127.3</v>
      </c>
      <c r="S41" s="533">
        <f t="shared" si="5"/>
        <v>57418.200000000004</v>
      </c>
      <c r="T41" s="535"/>
      <c r="U41" s="535">
        <f t="shared" si="6"/>
        <v>602891.1</v>
      </c>
      <c r="V41" s="535"/>
      <c r="W41" s="659"/>
      <c r="X41" s="659"/>
      <c r="Y41" s="659"/>
      <c r="Z41" s="659"/>
      <c r="AA41" s="457">
        <f t="shared" si="7"/>
        <v>5138928.9000000004</v>
      </c>
      <c r="AB41" s="101">
        <f t="shared" si="8"/>
        <v>27</v>
      </c>
      <c r="AC41" s="255"/>
      <c r="AD41" s="145" t="s">
        <v>183</v>
      </c>
      <c r="AE41" s="120" t="str">
        <f>INDEX([4]T01!$G$14:$G$346,MATCH(B41,[4]T01!$D$14:$D$346,0))</f>
        <v>TTĐHDL</v>
      </c>
    </row>
    <row r="42" spans="1:45" s="720" customFormat="1" ht="31.9" customHeight="1">
      <c r="A42" s="688">
        <f>_xlfn.AGGREGATE(4,7,A$14:A41)+1</f>
        <v>28</v>
      </c>
      <c r="B42" s="501" t="s">
        <v>398</v>
      </c>
      <c r="C42" s="112" t="s">
        <v>395</v>
      </c>
      <c r="D42" s="228"/>
      <c r="E42" s="209"/>
      <c r="F42" s="455" t="str">
        <f>INDEX([3]SACOM!$C$7:$C$335,MATCH(B42,[3]SACOM!$B$7:$B$335,0))</f>
        <v>060310987118</v>
      </c>
      <c r="G42" s="447" t="s">
        <v>245</v>
      </c>
      <c r="H42" s="532">
        <v>2</v>
      </c>
      <c r="I42" s="533">
        <v>5572560</v>
      </c>
      <c r="J42" s="655"/>
      <c r="K42" s="533"/>
      <c r="L42" s="533">
        <f t="shared" si="0"/>
        <v>5572560</v>
      </c>
      <c r="M42" s="533"/>
      <c r="N42" s="533">
        <f t="shared" si="1"/>
        <v>0</v>
      </c>
      <c r="O42" s="533"/>
      <c r="P42" s="533">
        <f t="shared" si="2"/>
        <v>5572560</v>
      </c>
      <c r="Q42" s="533">
        <f t="shared" si="3"/>
        <v>445804.79999999999</v>
      </c>
      <c r="R42" s="535">
        <f t="shared" si="4"/>
        <v>83588.399999999994</v>
      </c>
      <c r="S42" s="533">
        <f t="shared" si="5"/>
        <v>55725.599999999999</v>
      </c>
      <c r="T42" s="535"/>
      <c r="U42" s="535">
        <f t="shared" si="6"/>
        <v>585118.79999999993</v>
      </c>
      <c r="V42" s="535"/>
      <c r="W42" s="535"/>
      <c r="X42" s="535"/>
      <c r="Y42" s="535"/>
      <c r="Z42" s="535"/>
      <c r="AA42" s="457">
        <f t="shared" si="7"/>
        <v>4987441.2</v>
      </c>
      <c r="AB42" s="101">
        <f t="shared" si="8"/>
        <v>28</v>
      </c>
      <c r="AC42" s="118"/>
      <c r="AD42" s="421" t="s">
        <v>396</v>
      </c>
      <c r="AE42" s="120" t="str">
        <f>INDEX([4]T01!$G$14:$G$346,MATCH(B42,[4]T01!$D$14:$D$346,0))</f>
        <v>TTĐHDL</v>
      </c>
    </row>
    <row r="43" spans="1:45" s="104" customFormat="1" ht="31.5" customHeight="1">
      <c r="A43" s="688">
        <f>_xlfn.AGGREGATE(4,7,A$14:A42)+1</f>
        <v>29</v>
      </c>
      <c r="B43" s="501" t="s">
        <v>143</v>
      </c>
      <c r="C43" s="112" t="s">
        <v>10</v>
      </c>
      <c r="D43" s="228" t="str">
        <f>VLOOKUP(B43,[2]T3!$B$2:$D$328,3,FALSE)</f>
        <v>273417648</v>
      </c>
      <c r="E43" s="223" t="s">
        <v>219</v>
      </c>
      <c r="F43" s="455" t="str">
        <f>INDEX([3]SACOM!$C$7:$C$335,MATCH(B43,[3]SACOM!$B$7:$B$335,0))</f>
        <v>060310837061</v>
      </c>
      <c r="G43" s="454" t="s">
        <v>242</v>
      </c>
      <c r="H43" s="658">
        <v>4</v>
      </c>
      <c r="I43" s="533">
        <v>6956657</v>
      </c>
      <c r="J43" s="655"/>
      <c r="K43" s="533"/>
      <c r="L43" s="533">
        <f t="shared" si="0"/>
        <v>6956657</v>
      </c>
      <c r="M43" s="533"/>
      <c r="N43" s="533">
        <f t="shared" si="1"/>
        <v>0</v>
      </c>
      <c r="O43" s="533"/>
      <c r="P43" s="533">
        <f t="shared" si="2"/>
        <v>6956657</v>
      </c>
      <c r="Q43" s="533">
        <f t="shared" si="3"/>
        <v>556532.56000000006</v>
      </c>
      <c r="R43" s="535">
        <f t="shared" si="4"/>
        <v>104349.855</v>
      </c>
      <c r="S43" s="533">
        <f t="shared" si="5"/>
        <v>69566.570000000007</v>
      </c>
      <c r="T43" s="535"/>
      <c r="U43" s="535">
        <f t="shared" si="6"/>
        <v>730448.9850000001</v>
      </c>
      <c r="V43" s="535"/>
      <c r="W43" s="535"/>
      <c r="X43" s="533"/>
      <c r="Y43" s="533"/>
      <c r="Z43" s="535"/>
      <c r="AA43" s="457">
        <f t="shared" si="7"/>
        <v>6226208.0149999997</v>
      </c>
      <c r="AB43" s="101">
        <f t="shared" si="8"/>
        <v>29</v>
      </c>
      <c r="AC43" s="102"/>
      <c r="AD43" s="117" t="s">
        <v>116</v>
      </c>
      <c r="AE43" s="120" t="str">
        <f>INDEX([4]T01!$G$14:$G$346,MATCH(B43,[4]T01!$D$14:$D$346,0))</f>
        <v>TTTV</v>
      </c>
      <c r="AF43" s="42"/>
      <c r="AG43" s="42"/>
      <c r="AH43" s="42"/>
      <c r="AI43" s="42"/>
      <c r="AJ43" s="42"/>
      <c r="AK43" s="42"/>
      <c r="AL43" s="42"/>
      <c r="AM43" s="42"/>
      <c r="AN43" s="42"/>
      <c r="AO43" s="42"/>
      <c r="AP43" s="42"/>
      <c r="AQ43" s="42"/>
      <c r="AR43" s="42"/>
      <c r="AS43" s="42"/>
    </row>
    <row r="44" spans="1:45" s="104" customFormat="1" ht="30" customHeight="1">
      <c r="A44" s="688">
        <f>_xlfn.AGGREGATE(4,7,A$14:A43)+1</f>
        <v>30</v>
      </c>
      <c r="B44" s="501" t="s">
        <v>309</v>
      </c>
      <c r="C44" s="112" t="s">
        <v>310</v>
      </c>
      <c r="D44" s="228"/>
      <c r="E44" s="223"/>
      <c r="F44" s="455" t="str">
        <f>INDEX([3]SACOM!$C$7:$C$335,MATCH(B44,[3]SACOM!$B$7:$B$335,0))</f>
        <v>060311028599</v>
      </c>
      <c r="G44" s="447" t="s">
        <v>245</v>
      </c>
      <c r="H44" s="532">
        <v>3</v>
      </c>
      <c r="I44" s="533">
        <v>5851188</v>
      </c>
      <c r="J44" s="655"/>
      <c r="K44" s="533"/>
      <c r="L44" s="533">
        <f t="shared" si="0"/>
        <v>5851188</v>
      </c>
      <c r="M44" s="533"/>
      <c r="N44" s="533">
        <f t="shared" si="1"/>
        <v>0</v>
      </c>
      <c r="O44" s="533"/>
      <c r="P44" s="533">
        <f t="shared" si="2"/>
        <v>5851188</v>
      </c>
      <c r="Q44" s="533">
        <f t="shared" si="3"/>
        <v>468095.04000000004</v>
      </c>
      <c r="R44" s="535">
        <f t="shared" si="4"/>
        <v>87767.819999999992</v>
      </c>
      <c r="S44" s="533">
        <f t="shared" si="5"/>
        <v>58511.880000000005</v>
      </c>
      <c r="T44" s="535"/>
      <c r="U44" s="535">
        <f t="shared" si="6"/>
        <v>614374.74</v>
      </c>
      <c r="V44" s="535"/>
      <c r="W44" s="659"/>
      <c r="X44" s="709"/>
      <c r="Y44" s="710"/>
      <c r="Z44" s="659"/>
      <c r="AA44" s="457">
        <f>P44-U44+W44+X45+Z44</f>
        <v>5236813.26</v>
      </c>
      <c r="AB44" s="101">
        <f t="shared" si="8"/>
        <v>30</v>
      </c>
      <c r="AC44" s="255"/>
      <c r="AD44" s="255" t="s">
        <v>308</v>
      </c>
      <c r="AE44" s="120" t="str">
        <f>INDEX([4]T01!$G$14:$G$346,MATCH(B44,[4]T01!$D$14:$D$346,0))</f>
        <v>TTTV</v>
      </c>
    </row>
    <row r="45" spans="1:45" s="104" customFormat="1" ht="33.75" customHeight="1">
      <c r="A45" s="688">
        <f>_xlfn.AGGREGATE(4,7,A$14:A44)+1</f>
        <v>31</v>
      </c>
      <c r="B45" s="501" t="s">
        <v>142</v>
      </c>
      <c r="C45" s="112" t="s">
        <v>10</v>
      </c>
      <c r="D45" s="228" t="str">
        <f>VLOOKUP(B45,[2]T3!$B$2:$D$328,3,FALSE)</f>
        <v>250835904</v>
      </c>
      <c r="E45" s="223" t="s">
        <v>218</v>
      </c>
      <c r="F45" s="455" t="str">
        <f>INDEX([3]SACOM!$C$7:$C$335,MATCH(B45,[3]SACOM!$B$7:$B$335,0))</f>
        <v>060310750118</v>
      </c>
      <c r="G45" s="454" t="s">
        <v>242</v>
      </c>
      <c r="H45" s="658">
        <v>4</v>
      </c>
      <c r="I45" s="533">
        <v>6956657</v>
      </c>
      <c r="J45" s="655"/>
      <c r="K45" s="533"/>
      <c r="L45" s="533">
        <f t="shared" si="0"/>
        <v>6956657</v>
      </c>
      <c r="M45" s="533"/>
      <c r="N45" s="533">
        <f t="shared" si="1"/>
        <v>0</v>
      </c>
      <c r="O45" s="533"/>
      <c r="P45" s="533">
        <f t="shared" si="2"/>
        <v>6956657</v>
      </c>
      <c r="Q45" s="533">
        <f t="shared" si="3"/>
        <v>556532.56000000006</v>
      </c>
      <c r="R45" s="535">
        <f t="shared" si="4"/>
        <v>104349.855</v>
      </c>
      <c r="S45" s="533">
        <f t="shared" si="5"/>
        <v>69566.570000000007</v>
      </c>
      <c r="T45" s="535"/>
      <c r="U45" s="535">
        <f t="shared" si="6"/>
        <v>730448.9850000001</v>
      </c>
      <c r="V45" s="535"/>
      <c r="W45" s="535"/>
      <c r="X45" s="659"/>
      <c r="Y45" s="535"/>
      <c r="Z45" s="535"/>
      <c r="AA45" s="457">
        <f t="shared" ref="AA45:AA49" si="10">P45-U45+W45+Y45+Z45</f>
        <v>6226208.0149999997</v>
      </c>
      <c r="AB45" s="101">
        <f t="shared" si="8"/>
        <v>31</v>
      </c>
      <c r="AC45" s="102"/>
      <c r="AD45" s="127" t="s">
        <v>115</v>
      </c>
      <c r="AE45" s="120" t="str">
        <f>INDEX([4]T01!$G$14:$G$346,MATCH(B45,[4]T01!$D$14:$D$346,0))</f>
        <v>TTTV</v>
      </c>
      <c r="AF45" s="42"/>
      <c r="AG45" s="42"/>
      <c r="AH45" s="42"/>
      <c r="AI45" s="42"/>
      <c r="AJ45" s="42"/>
      <c r="AK45" s="42"/>
      <c r="AL45" s="42"/>
      <c r="AM45" s="42"/>
      <c r="AN45" s="42"/>
      <c r="AO45" s="42"/>
      <c r="AP45" s="42"/>
      <c r="AQ45" s="42"/>
      <c r="AR45" s="42"/>
      <c r="AS45" s="42"/>
    </row>
    <row r="46" spans="1:45" s="516" customFormat="1" ht="43.5" customHeight="1">
      <c r="A46" s="688">
        <f>_xlfn.AGGREGATE(4,7,A$14:A45)+1</f>
        <v>32</v>
      </c>
      <c r="B46" s="501" t="s">
        <v>165</v>
      </c>
      <c r="C46" s="112" t="s">
        <v>423</v>
      </c>
      <c r="D46" s="226"/>
      <c r="E46" s="209"/>
      <c r="F46" s="455" t="str">
        <f>INDEX([3]SACOM!$C$7:$C$335,MATCH(B46,[3]SACOM!$B$7:$B$335,0))</f>
        <v>060987245810</v>
      </c>
      <c r="G46" s="454" t="s">
        <v>242</v>
      </c>
      <c r="H46" s="532">
        <v>12</v>
      </c>
      <c r="I46" s="533">
        <v>11952831</v>
      </c>
      <c r="J46" s="662">
        <v>0.11</v>
      </c>
      <c r="K46" s="534">
        <f>I46*J46</f>
        <v>1314811.4099999999</v>
      </c>
      <c r="L46" s="533">
        <f t="shared" si="0"/>
        <v>13267642</v>
      </c>
      <c r="M46" s="533"/>
      <c r="N46" s="533">
        <f t="shared" si="1"/>
        <v>0</v>
      </c>
      <c r="O46" s="533"/>
      <c r="P46" s="533">
        <f t="shared" si="2"/>
        <v>13267642</v>
      </c>
      <c r="Q46" s="533">
        <f t="shared" si="3"/>
        <v>1061411.3600000001</v>
      </c>
      <c r="R46" s="535">
        <f t="shared" si="4"/>
        <v>199014.63</v>
      </c>
      <c r="S46" s="533">
        <f t="shared" si="5"/>
        <v>132676.42000000001</v>
      </c>
      <c r="T46" s="535"/>
      <c r="U46" s="535">
        <f t="shared" si="6"/>
        <v>1393102.4100000001</v>
      </c>
      <c r="V46" s="535"/>
      <c r="W46" s="535"/>
      <c r="X46" s="535"/>
      <c r="Y46" s="535"/>
      <c r="Z46" s="535"/>
      <c r="AA46" s="457">
        <f t="shared" si="10"/>
        <v>11874539.59</v>
      </c>
      <c r="AB46" s="101">
        <f t="shared" si="8"/>
        <v>32</v>
      </c>
      <c r="AC46" s="102"/>
      <c r="AD46" s="117"/>
      <c r="AE46" s="120" t="str">
        <f>INDEX([4]T01!$G$14:$G$346,MATCH(B46,[4]T01!$D$14:$D$346,0))</f>
        <v>TTĐT</v>
      </c>
      <c r="AF46" s="602"/>
      <c r="AG46" s="602"/>
      <c r="AH46" s="602"/>
      <c r="AI46" s="602"/>
      <c r="AJ46" s="602"/>
      <c r="AK46" s="602"/>
      <c r="AL46" s="602"/>
      <c r="AM46" s="602"/>
      <c r="AN46" s="602"/>
      <c r="AO46" s="602"/>
      <c r="AP46" s="602"/>
      <c r="AQ46" s="602"/>
      <c r="AR46" s="602"/>
      <c r="AS46" s="602"/>
    </row>
    <row r="47" spans="1:45" s="538" customFormat="1" ht="41.25" customHeight="1">
      <c r="A47" s="688">
        <f>_xlfn.AGGREGATE(4,7,A$14:A46)+1</f>
        <v>33</v>
      </c>
      <c r="B47" s="501" t="s">
        <v>348</v>
      </c>
      <c r="C47" s="112" t="s">
        <v>423</v>
      </c>
      <c r="D47" s="228"/>
      <c r="E47" s="209"/>
      <c r="F47" s="455" t="str">
        <f>INDEX([3]SACOM!$C$7:$C$335,MATCH(B47,[3]SACOM!$B$7:$B$335,0))</f>
        <v>060310749136</v>
      </c>
      <c r="G47" s="447" t="s">
        <v>245</v>
      </c>
      <c r="H47" s="532">
        <v>5</v>
      </c>
      <c r="I47" s="533">
        <v>6450935</v>
      </c>
      <c r="J47" s="655"/>
      <c r="K47" s="533"/>
      <c r="L47" s="533">
        <f t="shared" si="0"/>
        <v>6450935</v>
      </c>
      <c r="M47" s="533"/>
      <c r="N47" s="533">
        <f t="shared" si="1"/>
        <v>0</v>
      </c>
      <c r="O47" s="533"/>
      <c r="P47" s="533">
        <f t="shared" si="2"/>
        <v>6450935</v>
      </c>
      <c r="Q47" s="533">
        <f t="shared" si="3"/>
        <v>516074.8</v>
      </c>
      <c r="R47" s="535">
        <f t="shared" si="4"/>
        <v>96764.024999999994</v>
      </c>
      <c r="S47" s="533">
        <f t="shared" si="5"/>
        <v>64509.35</v>
      </c>
      <c r="T47" s="535"/>
      <c r="U47" s="535">
        <f t="shared" si="6"/>
        <v>677348.17499999993</v>
      </c>
      <c r="V47" s="535"/>
      <c r="W47" s="535"/>
      <c r="X47" s="536"/>
      <c r="Y47" s="535"/>
      <c r="Z47" s="535"/>
      <c r="AA47" s="457">
        <f t="shared" si="10"/>
        <v>5773586.8250000002</v>
      </c>
      <c r="AB47" s="101">
        <f t="shared" si="8"/>
        <v>33</v>
      </c>
      <c r="AC47" s="102"/>
      <c r="AD47" s="102"/>
      <c r="AE47" s="120" t="str">
        <f>INDEX([4]T01!$G$14:$G$346,MATCH(B47,[4]T01!$D$14:$D$346,0))</f>
        <v>TTĐT</v>
      </c>
      <c r="AF47" s="602"/>
      <c r="AG47" s="602"/>
      <c r="AH47" s="602"/>
      <c r="AI47" s="602"/>
      <c r="AJ47" s="602"/>
      <c r="AK47" s="602"/>
      <c r="AL47" s="602"/>
      <c r="AM47" s="602"/>
      <c r="AN47" s="602"/>
      <c r="AO47" s="602"/>
      <c r="AP47" s="602"/>
      <c r="AQ47" s="602"/>
      <c r="AR47" s="602"/>
      <c r="AS47" s="602"/>
    </row>
    <row r="48" spans="1:45" s="104" customFormat="1" ht="39" customHeight="1">
      <c r="A48" s="688">
        <f>_xlfn.AGGREGATE(4,7,A$14:A47)+1</f>
        <v>34</v>
      </c>
      <c r="B48" s="521" t="s">
        <v>420</v>
      </c>
      <c r="C48" s="549" t="s">
        <v>421</v>
      </c>
      <c r="D48" s="266"/>
      <c r="E48" s="417"/>
      <c r="F48" s="455" t="str">
        <f>INDEX([3]SACOM!$C$7:$C$335,MATCH(B48,[3]SACOM!$B$7:$B$335,0))</f>
        <v>060311078200</v>
      </c>
      <c r="G48" s="522" t="s">
        <v>245</v>
      </c>
      <c r="H48" s="663">
        <v>1</v>
      </c>
      <c r="I48" s="664">
        <v>5307200</v>
      </c>
      <c r="J48" s="655"/>
      <c r="K48" s="664"/>
      <c r="L48" s="664">
        <f t="shared" si="0"/>
        <v>5307200</v>
      </c>
      <c r="M48" s="664"/>
      <c r="N48" s="533">
        <f t="shared" si="1"/>
        <v>0</v>
      </c>
      <c r="O48" s="664"/>
      <c r="P48" s="664">
        <f t="shared" si="2"/>
        <v>5307200</v>
      </c>
      <c r="Q48" s="664">
        <f t="shared" si="3"/>
        <v>424576</v>
      </c>
      <c r="R48" s="666">
        <f t="shared" si="4"/>
        <v>79608</v>
      </c>
      <c r="S48" s="664">
        <f t="shared" si="5"/>
        <v>53072</v>
      </c>
      <c r="T48" s="666"/>
      <c r="U48" s="666">
        <f t="shared" si="6"/>
        <v>557256</v>
      </c>
      <c r="V48" s="666"/>
      <c r="W48" s="666"/>
      <c r="X48" s="667"/>
      <c r="Y48" s="666"/>
      <c r="Z48" s="666"/>
      <c r="AA48" s="528">
        <f t="shared" si="10"/>
        <v>4749944</v>
      </c>
      <c r="AB48" s="101">
        <f t="shared" si="8"/>
        <v>34</v>
      </c>
      <c r="AC48" s="120" t="s">
        <v>422</v>
      </c>
      <c r="AD48" s="120"/>
      <c r="AE48" s="120" t="str">
        <f>INDEX([4]T01!$G$14:$G$346,MATCH(B48,[4]T01!$D$14:$D$346,0))</f>
        <v>TTĐHDL</v>
      </c>
      <c r="AF48" s="42"/>
      <c r="AG48" s="42"/>
      <c r="AH48" s="42"/>
      <c r="AI48" s="42"/>
      <c r="AJ48" s="42"/>
      <c r="AK48" s="42"/>
      <c r="AL48" s="42"/>
      <c r="AM48" s="42"/>
      <c r="AN48" s="42"/>
      <c r="AO48" s="42"/>
      <c r="AP48" s="42"/>
      <c r="AQ48" s="42"/>
      <c r="AR48" s="42"/>
      <c r="AS48" s="42"/>
    </row>
    <row r="49" spans="1:45" s="104" customFormat="1" ht="33.75" customHeight="1">
      <c r="A49" s="688">
        <f>_xlfn.AGGREGATE(4,7,A$14:A48)+1</f>
        <v>35</v>
      </c>
      <c r="B49" s="521" t="s">
        <v>280</v>
      </c>
      <c r="C49" s="549" t="s">
        <v>281</v>
      </c>
      <c r="D49" s="266"/>
      <c r="E49" s="611"/>
      <c r="F49" s="673" t="str">
        <f>INDEX([3]SACOM!$C$7:$C$335,MATCH(B49,[3]SACOM!$B$7:$B$335,0))</f>
        <v>060263702789</v>
      </c>
      <c r="G49" s="522" t="s">
        <v>242</v>
      </c>
      <c r="H49" s="663">
        <v>11</v>
      </c>
      <c r="I49" s="664">
        <v>11170870</v>
      </c>
      <c r="J49" s="655"/>
      <c r="K49" s="664"/>
      <c r="L49" s="664">
        <f t="shared" si="0"/>
        <v>11170870</v>
      </c>
      <c r="M49" s="664"/>
      <c r="N49" s="664">
        <f t="shared" si="1"/>
        <v>0</v>
      </c>
      <c r="O49" s="664"/>
      <c r="P49" s="664">
        <f t="shared" si="2"/>
        <v>11170870</v>
      </c>
      <c r="Q49" s="664">
        <v>0</v>
      </c>
      <c r="R49" s="666">
        <v>0</v>
      </c>
      <c r="S49" s="664">
        <v>0</v>
      </c>
      <c r="T49" s="666"/>
      <c r="U49" s="666">
        <f t="shared" si="6"/>
        <v>0</v>
      </c>
      <c r="V49" s="666"/>
      <c r="W49" s="668"/>
      <c r="X49" s="668"/>
      <c r="Y49" s="668"/>
      <c r="Z49" s="668"/>
      <c r="AA49" s="528">
        <f t="shared" si="10"/>
        <v>11170870</v>
      </c>
      <c r="AB49" s="529">
        <f t="shared" si="8"/>
        <v>35</v>
      </c>
      <c r="AC49" s="634"/>
      <c r="AD49" s="255" t="s">
        <v>278</v>
      </c>
      <c r="AE49" s="120" t="str">
        <f>INDEX([4]T01!$G$14:$G$346,MATCH(B49,[4]T01!$D$14:$D$346,0))</f>
        <v>ĐL</v>
      </c>
      <c r="AF49" s="42"/>
      <c r="AG49" s="42"/>
      <c r="AH49" s="42"/>
      <c r="AI49" s="42"/>
      <c r="AJ49" s="42"/>
      <c r="AK49" s="42"/>
      <c r="AL49" s="42"/>
      <c r="AM49" s="42"/>
      <c r="AN49" s="42"/>
      <c r="AO49" s="42"/>
      <c r="AP49" s="42"/>
      <c r="AQ49" s="42"/>
      <c r="AR49" s="42"/>
      <c r="AS49" s="42"/>
    </row>
    <row r="50" spans="1:45" s="104" customFormat="1" ht="30.75" customHeight="1">
      <c r="A50" s="689"/>
      <c r="B50" s="640" t="s">
        <v>440</v>
      </c>
      <c r="C50" s="641"/>
      <c r="D50" s="641"/>
      <c r="E50" s="641"/>
      <c r="F50" s="641"/>
      <c r="G50" s="647"/>
      <c r="H50" s="669"/>
      <c r="I50" s="642">
        <f t="shared" ref="I50:AA50" si="11">SUM(I15:I49)</f>
        <v>242977954</v>
      </c>
      <c r="J50" s="642">
        <f t="shared" si="11"/>
        <v>0.11</v>
      </c>
      <c r="K50" s="642">
        <f t="shared" si="11"/>
        <v>1314811.4099999999</v>
      </c>
      <c r="L50" s="642">
        <f t="shared" si="11"/>
        <v>244292765</v>
      </c>
      <c r="M50" s="642">
        <f t="shared" si="11"/>
        <v>26</v>
      </c>
      <c r="N50" s="642">
        <f t="shared" si="11"/>
        <v>7964676</v>
      </c>
      <c r="O50" s="642">
        <f t="shared" si="11"/>
        <v>0</v>
      </c>
      <c r="P50" s="642">
        <f t="shared" si="11"/>
        <v>236328089</v>
      </c>
      <c r="Q50" s="642">
        <f t="shared" si="11"/>
        <v>18012577.520000007</v>
      </c>
      <c r="R50" s="642">
        <f t="shared" si="11"/>
        <v>3377358.2849999992</v>
      </c>
      <c r="S50" s="642">
        <f t="shared" si="11"/>
        <v>2251572.1900000009</v>
      </c>
      <c r="T50" s="642">
        <f t="shared" si="11"/>
        <v>0</v>
      </c>
      <c r="U50" s="642">
        <f t="shared" si="11"/>
        <v>23641507.995000001</v>
      </c>
      <c r="V50" s="642">
        <f t="shared" si="11"/>
        <v>0</v>
      </c>
      <c r="W50" s="642">
        <f t="shared" si="11"/>
        <v>0</v>
      </c>
      <c r="X50" s="642">
        <f t="shared" si="11"/>
        <v>0</v>
      </c>
      <c r="Y50" s="642">
        <f t="shared" si="11"/>
        <v>0</v>
      </c>
      <c r="Z50" s="642">
        <f t="shared" si="11"/>
        <v>0</v>
      </c>
      <c r="AA50" s="642">
        <f t="shared" si="11"/>
        <v>212686581.00499997</v>
      </c>
      <c r="AB50" s="648"/>
      <c r="AC50" s="649"/>
      <c r="AD50" s="634"/>
      <c r="AE50" s="120" t="e">
        <f>INDEX([4]T01!$G$14:$G$346,MATCH(B50,[4]T01!$D$14:$D$346,0))</f>
        <v>#N/A</v>
      </c>
      <c r="AF50" s="42"/>
      <c r="AG50" s="42"/>
      <c r="AH50" s="42"/>
      <c r="AI50" s="42"/>
      <c r="AJ50" s="42"/>
      <c r="AK50" s="42"/>
      <c r="AL50" s="42"/>
      <c r="AM50" s="42"/>
      <c r="AN50" s="42"/>
      <c r="AO50" s="42"/>
      <c r="AP50" s="42"/>
      <c r="AQ50" s="42"/>
      <c r="AR50" s="42"/>
      <c r="AS50" s="42"/>
    </row>
    <row r="51" spans="1:45" s="104" customFormat="1" ht="40.5" customHeight="1">
      <c r="A51" s="690" t="s">
        <v>443</v>
      </c>
      <c r="B51" s="640" t="s">
        <v>438</v>
      </c>
      <c r="C51" s="641"/>
      <c r="D51" s="641"/>
      <c r="E51" s="641"/>
      <c r="F51" s="641"/>
      <c r="G51" s="641"/>
      <c r="H51" s="641"/>
      <c r="I51" s="647"/>
      <c r="J51" s="636"/>
      <c r="K51" s="635"/>
      <c r="L51" s="635"/>
      <c r="M51" s="635"/>
      <c r="N51" s="635"/>
      <c r="O51" s="635"/>
      <c r="P51" s="635"/>
      <c r="Q51" s="635"/>
      <c r="R51" s="635"/>
      <c r="S51" s="635"/>
      <c r="T51" s="635"/>
      <c r="U51" s="635"/>
      <c r="V51" s="635"/>
      <c r="W51" s="637"/>
      <c r="X51" s="637"/>
      <c r="Y51" s="637"/>
      <c r="Z51" s="637"/>
      <c r="AA51" s="463"/>
      <c r="AB51" s="648"/>
      <c r="AC51" s="649"/>
      <c r="AD51" s="634"/>
      <c r="AE51" s="120" t="e">
        <f>INDEX([4]T01!$G$14:$G$346,MATCH(B51,[4]T01!$D$14:$D$346,0))</f>
        <v>#N/A</v>
      </c>
      <c r="AF51" s="42"/>
      <c r="AG51" s="42"/>
      <c r="AH51" s="42"/>
      <c r="AI51" s="42"/>
      <c r="AJ51" s="42"/>
      <c r="AK51" s="42"/>
      <c r="AL51" s="42"/>
      <c r="AM51" s="42"/>
      <c r="AN51" s="42"/>
      <c r="AO51" s="42"/>
      <c r="AP51" s="42"/>
      <c r="AQ51" s="42"/>
      <c r="AR51" s="42"/>
      <c r="AS51" s="42"/>
    </row>
    <row r="52" spans="1:45" s="104" customFormat="1" ht="34.5" customHeight="1">
      <c r="A52" s="688">
        <f>_xlfn.AGGREGATE(4,7,A$12:A49)+1</f>
        <v>36</v>
      </c>
      <c r="B52" s="674" t="s">
        <v>131</v>
      </c>
      <c r="C52" s="241" t="s">
        <v>357</v>
      </c>
      <c r="D52" s="242" t="str">
        <f>VLOOKUP(B52,[2]T3!$B$2:$D$328,3,FALSE)</f>
        <v>079083003027</v>
      </c>
      <c r="E52" s="551" t="s">
        <v>204</v>
      </c>
      <c r="F52" s="455" t="str">
        <f>INDEX([3]SACOM!$C$7:$C$335,MATCH(B52,[3]SACOM!$B$7:$B$335,0))</f>
        <v>060312106186</v>
      </c>
      <c r="G52" s="552" t="s">
        <v>246</v>
      </c>
      <c r="H52" s="653">
        <v>9</v>
      </c>
      <c r="I52" s="654">
        <v>7328179</v>
      </c>
      <c r="J52" s="655"/>
      <c r="K52" s="654"/>
      <c r="L52" s="654">
        <f t="shared" ref="L52:L80" si="12">ROUND(I52+K52,0)</f>
        <v>7328179</v>
      </c>
      <c r="M52" s="654"/>
      <c r="N52" s="654">
        <f>L52/26*M52</f>
        <v>0</v>
      </c>
      <c r="O52" s="654"/>
      <c r="P52" s="654">
        <f t="shared" ref="P52:P62" si="13">L52-N52+O52</f>
        <v>7328179</v>
      </c>
      <c r="Q52" s="654">
        <f t="shared" ref="Q52:Q56" si="14">L52*8%</f>
        <v>586254.32000000007</v>
      </c>
      <c r="R52" s="656">
        <f t="shared" ref="R52:R56" si="15">L52*1.5%</f>
        <v>109922.685</v>
      </c>
      <c r="S52" s="654">
        <f>L52*1%</f>
        <v>73281.790000000008</v>
      </c>
      <c r="T52" s="656"/>
      <c r="U52" s="656">
        <f t="shared" ref="U52:U62" si="16">SUM(Q52:T52)</f>
        <v>769458.79500000016</v>
      </c>
      <c r="V52" s="656"/>
      <c r="W52" s="656"/>
      <c r="X52" s="657"/>
      <c r="Y52" s="656"/>
      <c r="Z52" s="656"/>
      <c r="AA52" s="650">
        <f t="shared" ref="AA52:AA62" si="17">P52-U52+W52+Y52+Z52</f>
        <v>6558720.2050000001</v>
      </c>
      <c r="AB52" s="250">
        <f t="shared" ref="AB52:AB78" si="18">A52</f>
        <v>36</v>
      </c>
      <c r="AC52" s="251"/>
      <c r="AD52" s="120" t="s">
        <v>85</v>
      </c>
      <c r="AE52" s="120" t="str">
        <f>INDEX([4]T01!$G$14:$G$346,MATCH(B52,[4]T01!$D$14:$D$346,0))</f>
        <v>TCHCTH</v>
      </c>
    </row>
    <row r="53" spans="1:45" s="104" customFormat="1" ht="36.75" customHeight="1">
      <c r="A53" s="688">
        <f>_xlfn.AGGREGATE(4,7,A$12:A52)+1</f>
        <v>37</v>
      </c>
      <c r="B53" s="501" t="s">
        <v>251</v>
      </c>
      <c r="C53" s="112" t="s">
        <v>357</v>
      </c>
      <c r="D53" s="228"/>
      <c r="E53" s="209" t="str">
        <f>VLOOKUP(B53,[1]LuongBC_T01!$B$277:$C$292,2,FALSE)</f>
        <v>0016100006651008</v>
      </c>
      <c r="F53" s="455" t="str">
        <f>INDEX([3]SACOM!$C$7:$C$335,MATCH(B53,[3]SACOM!$B$7:$B$335,0))</f>
        <v xml:space="preserve">060310664912 </v>
      </c>
      <c r="G53" s="97" t="s">
        <v>246</v>
      </c>
      <c r="H53" s="532">
        <v>6</v>
      </c>
      <c r="I53" s="533">
        <v>6330357</v>
      </c>
      <c r="J53" s="655"/>
      <c r="K53" s="533"/>
      <c r="L53" s="533">
        <f t="shared" si="12"/>
        <v>6330357</v>
      </c>
      <c r="M53" s="533"/>
      <c r="N53" s="533">
        <f>L53/26*M53</f>
        <v>0</v>
      </c>
      <c r="O53" s="533"/>
      <c r="P53" s="533">
        <f t="shared" si="13"/>
        <v>6330357</v>
      </c>
      <c r="Q53" s="533">
        <f t="shared" si="14"/>
        <v>506428.56</v>
      </c>
      <c r="R53" s="535">
        <f t="shared" si="15"/>
        <v>94955.354999999996</v>
      </c>
      <c r="S53" s="533">
        <f>L53*1%</f>
        <v>63303.57</v>
      </c>
      <c r="T53" s="535"/>
      <c r="U53" s="535">
        <f t="shared" si="16"/>
        <v>664687.48499999999</v>
      </c>
      <c r="V53" s="535"/>
      <c r="W53" s="535"/>
      <c r="X53" s="536"/>
      <c r="Y53" s="535"/>
      <c r="Z53" s="535"/>
      <c r="AA53" s="457">
        <f t="shared" si="17"/>
        <v>5665669.5149999997</v>
      </c>
      <c r="AB53" s="101">
        <f t="shared" si="18"/>
        <v>37</v>
      </c>
      <c r="AC53" s="102"/>
      <c r="AD53" s="120"/>
      <c r="AE53" s="120" t="str">
        <f>INDEX([4]T01!$G$14:$G$346,MATCH(B53,[4]T01!$D$14:$D$346,0))</f>
        <v>TCHCTH</v>
      </c>
      <c r="AF53" s="42"/>
      <c r="AG53" s="42"/>
      <c r="AH53" s="42"/>
      <c r="AI53" s="42"/>
      <c r="AJ53" s="42"/>
      <c r="AK53" s="42"/>
      <c r="AL53" s="42"/>
      <c r="AM53" s="42"/>
      <c r="AN53" s="42"/>
      <c r="AO53" s="42"/>
      <c r="AP53" s="42"/>
      <c r="AQ53" s="42"/>
      <c r="AR53" s="42"/>
      <c r="AS53" s="42"/>
    </row>
    <row r="54" spans="1:45" s="104" customFormat="1" ht="35.25" customHeight="1">
      <c r="A54" s="688">
        <f>_xlfn.AGGREGATE(4,7,A$12:A53)+1</f>
        <v>38</v>
      </c>
      <c r="B54" s="501" t="s">
        <v>252</v>
      </c>
      <c r="C54" s="112" t="s">
        <v>357</v>
      </c>
      <c r="D54" s="228"/>
      <c r="E54" s="209" t="str">
        <f>VLOOKUP(B54,[1]LuongBC_T01!$B$277:$C$292,2,FALSE)</f>
        <v>0016100006666005</v>
      </c>
      <c r="F54" s="455" t="str">
        <f>INDEX([3]SACOM!$C$7:$C$335,MATCH(B54,[3]SACOM!$B$7:$B$335,0))</f>
        <v xml:space="preserve">060310832297 </v>
      </c>
      <c r="G54" s="97" t="s">
        <v>246</v>
      </c>
      <c r="H54" s="532">
        <v>6</v>
      </c>
      <c r="I54" s="533">
        <v>6330357</v>
      </c>
      <c r="J54" s="655"/>
      <c r="K54" s="533"/>
      <c r="L54" s="533">
        <f t="shared" si="12"/>
        <v>6330357</v>
      </c>
      <c r="M54" s="533"/>
      <c r="N54" s="533">
        <f t="shared" ref="N54:N56" si="19">L54/26*M54</f>
        <v>0</v>
      </c>
      <c r="O54" s="533"/>
      <c r="P54" s="533">
        <f t="shared" si="13"/>
        <v>6330357</v>
      </c>
      <c r="Q54" s="533">
        <f t="shared" si="14"/>
        <v>506428.56</v>
      </c>
      <c r="R54" s="535">
        <f t="shared" si="15"/>
        <v>94955.354999999996</v>
      </c>
      <c r="S54" s="533">
        <f t="shared" ref="S54:S56" si="20">L54*1%</f>
        <v>63303.57</v>
      </c>
      <c r="T54" s="535"/>
      <c r="U54" s="535">
        <f t="shared" si="16"/>
        <v>664687.48499999999</v>
      </c>
      <c r="V54" s="535"/>
      <c r="W54" s="535"/>
      <c r="X54" s="536"/>
      <c r="Y54" s="535"/>
      <c r="Z54" s="535"/>
      <c r="AA54" s="457">
        <f t="shared" si="17"/>
        <v>5665669.5149999997</v>
      </c>
      <c r="AB54" s="101">
        <f t="shared" si="18"/>
        <v>38</v>
      </c>
      <c r="AC54" s="102"/>
      <c r="AD54" s="120"/>
      <c r="AE54" s="120" t="str">
        <f>INDEX([4]T01!$G$14:$G$346,MATCH(B54,[4]T01!$D$14:$D$346,0))</f>
        <v>TCHCTH</v>
      </c>
      <c r="AF54" s="42"/>
      <c r="AG54" s="42"/>
      <c r="AH54" s="42"/>
      <c r="AI54" s="42"/>
      <c r="AJ54" s="42"/>
      <c r="AK54" s="42"/>
      <c r="AL54" s="42"/>
      <c r="AM54" s="42"/>
      <c r="AN54" s="42"/>
      <c r="AO54" s="42"/>
      <c r="AP54" s="42"/>
      <c r="AQ54" s="42"/>
      <c r="AR54" s="42"/>
      <c r="AS54" s="42"/>
    </row>
    <row r="55" spans="1:45" s="697" customFormat="1" ht="31.5" customHeight="1">
      <c r="A55" s="691">
        <f>_xlfn.AGGREGATE(4,7,A$12:A54)+1</f>
        <v>39</v>
      </c>
      <c r="B55" s="501" t="s">
        <v>226</v>
      </c>
      <c r="C55" s="112" t="s">
        <v>357</v>
      </c>
      <c r="D55" s="228" t="str">
        <f>VLOOKUP(B55,[2]T3!$B$2:$D$328,3,FALSE)</f>
        <v>024110707</v>
      </c>
      <c r="E55" s="209"/>
      <c r="F55" s="455" t="str">
        <f>INDEX([3]SACOM!$C$7:$C$335,MATCH(B55,[3]SACOM!$B$7:$B$335,0))</f>
        <v>060282190837</v>
      </c>
      <c r="G55" s="97" t="s">
        <v>246</v>
      </c>
      <c r="H55" s="532">
        <v>3</v>
      </c>
      <c r="I55" s="533">
        <v>5468400</v>
      </c>
      <c r="J55" s="655"/>
      <c r="K55" s="533"/>
      <c r="L55" s="533">
        <f t="shared" si="12"/>
        <v>5468400</v>
      </c>
      <c r="M55" s="533"/>
      <c r="N55" s="533">
        <f t="shared" si="19"/>
        <v>0</v>
      </c>
      <c r="O55" s="533"/>
      <c r="P55" s="533">
        <f t="shared" si="13"/>
        <v>5468400</v>
      </c>
      <c r="Q55" s="533">
        <f t="shared" si="14"/>
        <v>437472</v>
      </c>
      <c r="R55" s="535">
        <f t="shared" si="15"/>
        <v>82026</v>
      </c>
      <c r="S55" s="533">
        <f t="shared" si="20"/>
        <v>54684</v>
      </c>
      <c r="T55" s="535"/>
      <c r="U55" s="535">
        <f t="shared" si="16"/>
        <v>574182</v>
      </c>
      <c r="V55" s="535"/>
      <c r="W55" s="535"/>
      <c r="X55" s="536"/>
      <c r="Y55" s="535"/>
      <c r="Z55" s="535"/>
      <c r="AA55" s="457">
        <f t="shared" si="17"/>
        <v>4894218</v>
      </c>
      <c r="AB55" s="101">
        <f t="shared" si="18"/>
        <v>39</v>
      </c>
      <c r="AC55" s="102"/>
      <c r="AD55" s="102" t="s">
        <v>227</v>
      </c>
      <c r="AE55" s="120" t="str">
        <f>INDEX([4]T01!$G$14:$G$346,MATCH(B55,[4]T01!$D$14:$D$346,0))</f>
        <v>TCHCTH</v>
      </c>
    </row>
    <row r="56" spans="1:45" s="720" customFormat="1" ht="29.25" customHeight="1">
      <c r="A56" s="691">
        <f>_xlfn.AGGREGATE(4,7,A$12:A55)+1</f>
        <v>40</v>
      </c>
      <c r="B56" s="501" t="s">
        <v>343</v>
      </c>
      <c r="C56" s="112" t="s">
        <v>55</v>
      </c>
      <c r="D56" s="223"/>
      <c r="E56" s="223" t="str">
        <f>INDEX([3]SACOM!$C$7:$C$335,MATCH(B56,[3]SACOM!$B$7:$B$335,0))</f>
        <v xml:space="preserve">060310667083 </v>
      </c>
      <c r="F56" s="455" t="str">
        <f>INDEX([3]SACOM!$C$7:$C$335,MATCH(B56,[3]SACOM!$B$7:$B$335,0))</f>
        <v xml:space="preserve">060310667083 </v>
      </c>
      <c r="G56" s="447" t="s">
        <v>245</v>
      </c>
      <c r="H56" s="532">
        <v>12</v>
      </c>
      <c r="I56" s="533">
        <v>9077113</v>
      </c>
      <c r="J56" s="662">
        <v>0.06</v>
      </c>
      <c r="K56" s="533">
        <f>I56*J56</f>
        <v>544626.78</v>
      </c>
      <c r="L56" s="533">
        <f t="shared" si="12"/>
        <v>9621740</v>
      </c>
      <c r="M56" s="533"/>
      <c r="N56" s="533">
        <f t="shared" si="19"/>
        <v>0</v>
      </c>
      <c r="O56" s="533"/>
      <c r="P56" s="533">
        <f t="shared" si="13"/>
        <v>9621740</v>
      </c>
      <c r="Q56" s="533">
        <f t="shared" si="14"/>
        <v>769739.20000000007</v>
      </c>
      <c r="R56" s="535">
        <f t="shared" si="15"/>
        <v>144326.1</v>
      </c>
      <c r="S56" s="533">
        <f t="shared" si="20"/>
        <v>96217.400000000009</v>
      </c>
      <c r="T56" s="535"/>
      <c r="U56" s="535">
        <f t="shared" si="16"/>
        <v>1010282.7000000001</v>
      </c>
      <c r="V56" s="535"/>
      <c r="W56" s="535"/>
      <c r="X56" s="536"/>
      <c r="Y56" s="535"/>
      <c r="Z56" s="535"/>
      <c r="AA56" s="457">
        <f t="shared" si="17"/>
        <v>8611457.3000000007</v>
      </c>
      <c r="AB56" s="101">
        <f t="shared" si="18"/>
        <v>40</v>
      </c>
      <c r="AC56" s="102"/>
      <c r="AD56" s="102"/>
      <c r="AE56" s="120" t="str">
        <f>INDEX([4]T01!$G$14:$G$346,MATCH(B56,[4]T01!$D$14:$D$346,0))</f>
        <v>TCHCTH</v>
      </c>
    </row>
    <row r="57" spans="1:45" s="697" customFormat="1" ht="34.5" customHeight="1">
      <c r="A57" s="688">
        <f>_xlfn.AGGREGATE(4,7,A$12:A56)+1</f>
        <v>41</v>
      </c>
      <c r="B57" s="501" t="s">
        <v>250</v>
      </c>
      <c r="C57" s="112" t="s">
        <v>55</v>
      </c>
      <c r="D57" s="223" t="str">
        <f>VLOOKUP(B57,[1]LuongBC_T01!$B$277:$C$292,2,FALSE)</f>
        <v>0016100006668008</v>
      </c>
      <c r="E57" s="223" t="str">
        <f>INDEX([3]SACOM!$C$7:$C$335,MATCH(B57,[3]SACOM!$B$7:$B$335,0))</f>
        <v>060311132264</v>
      </c>
      <c r="F57" s="455" t="str">
        <f>INDEX([3]SACOM!$C$7:$C$335,MATCH(B57,[3]SACOM!$B$7:$B$335,0))</f>
        <v>060311132264</v>
      </c>
      <c r="G57" s="447" t="s">
        <v>246</v>
      </c>
      <c r="H57" s="532">
        <v>10</v>
      </c>
      <c r="I57" s="533">
        <v>7694588</v>
      </c>
      <c r="J57" s="655"/>
      <c r="K57" s="533"/>
      <c r="L57" s="533">
        <f t="shared" si="12"/>
        <v>7694588</v>
      </c>
      <c r="M57" s="533"/>
      <c r="N57" s="533">
        <f>L57/26*M57</f>
        <v>0</v>
      </c>
      <c r="O57" s="533"/>
      <c r="P57" s="533">
        <f t="shared" si="13"/>
        <v>7694588</v>
      </c>
      <c r="Q57" s="533">
        <f>L57*8%</f>
        <v>615567.04</v>
      </c>
      <c r="R57" s="535">
        <f>L57*1.5%</f>
        <v>115418.81999999999</v>
      </c>
      <c r="S57" s="533">
        <f>L57*1%</f>
        <v>76945.88</v>
      </c>
      <c r="T57" s="535"/>
      <c r="U57" s="535">
        <f t="shared" si="16"/>
        <v>807931.74</v>
      </c>
      <c r="V57" s="535"/>
      <c r="W57" s="535"/>
      <c r="X57" s="536"/>
      <c r="Y57" s="535"/>
      <c r="Z57" s="535"/>
      <c r="AA57" s="457">
        <f t="shared" si="17"/>
        <v>6886656.2599999998</v>
      </c>
      <c r="AB57" s="101">
        <f t="shared" si="18"/>
        <v>41</v>
      </c>
      <c r="AC57" s="102"/>
      <c r="AD57" s="696"/>
      <c r="AE57" s="120" t="str">
        <f>INDEX([4]T01!$G$14:$G$346,MATCH(B57,[4]T01!$D$14:$D$346,0))</f>
        <v>TCHCTH</v>
      </c>
    </row>
    <row r="58" spans="1:45" s="566" customFormat="1" ht="35.450000000000003" customHeight="1">
      <c r="A58" s="688">
        <f>_xlfn.AGGREGATE(4,7,A$12:A57)+1</f>
        <v>42</v>
      </c>
      <c r="B58" s="501" t="s">
        <v>243</v>
      </c>
      <c r="C58" s="112" t="s">
        <v>55</v>
      </c>
      <c r="D58" s="223"/>
      <c r="E58" s="223" t="str">
        <f>INDEX([3]SACOM!$C$7:$C$335,MATCH(B58,[3]SACOM!$B$7:$B$335,0))</f>
        <v>060310664343</v>
      </c>
      <c r="F58" s="455" t="str">
        <f>INDEX([3]SACOM!$C$7:$C$335,MATCH(B58,[3]SACOM!$B$7:$B$335,0))</f>
        <v>060310664343</v>
      </c>
      <c r="G58" s="447" t="s">
        <v>242</v>
      </c>
      <c r="H58" s="532">
        <v>3</v>
      </c>
      <c r="I58" s="533">
        <v>6501548</v>
      </c>
      <c r="J58" s="655"/>
      <c r="K58" s="533"/>
      <c r="L58" s="533">
        <f t="shared" si="12"/>
        <v>6501548</v>
      </c>
      <c r="M58" s="533"/>
      <c r="N58" s="533">
        <f>L58/26*M58</f>
        <v>0</v>
      </c>
      <c r="O58" s="533"/>
      <c r="P58" s="533">
        <f t="shared" si="13"/>
        <v>6501548</v>
      </c>
      <c r="Q58" s="533">
        <v>0</v>
      </c>
      <c r="R58" s="535">
        <v>0</v>
      </c>
      <c r="S58" s="533">
        <v>0</v>
      </c>
      <c r="T58" s="535"/>
      <c r="U58" s="535">
        <f t="shared" si="16"/>
        <v>0</v>
      </c>
      <c r="V58" s="535"/>
      <c r="W58" s="535"/>
      <c r="X58" s="535"/>
      <c r="Y58" s="535"/>
      <c r="Z58" s="535"/>
      <c r="AA58" s="457">
        <f t="shared" si="17"/>
        <v>6501548</v>
      </c>
      <c r="AB58" s="101">
        <f t="shared" si="18"/>
        <v>42</v>
      </c>
      <c r="AC58" s="118"/>
      <c r="AD58" s="367"/>
      <c r="AE58" s="120" t="str">
        <f>INDEX([4]T01!$G$14:$G$346,MATCH(B58,[4]T01!$D$14:$D$346,0))</f>
        <v>TCHCTH</v>
      </c>
      <c r="AF58" s="602"/>
      <c r="AG58" s="602"/>
      <c r="AH58" s="602"/>
      <c r="AI58" s="602"/>
      <c r="AJ58" s="602"/>
      <c r="AK58" s="602"/>
      <c r="AL58" s="602"/>
      <c r="AM58" s="602"/>
      <c r="AN58" s="602"/>
      <c r="AO58" s="602"/>
      <c r="AP58" s="602"/>
      <c r="AQ58" s="602"/>
      <c r="AR58" s="602"/>
      <c r="AS58" s="602"/>
    </row>
    <row r="59" spans="1:45" s="566" customFormat="1" ht="35.25" customHeight="1">
      <c r="A59" s="688">
        <f>_xlfn.AGGREGATE(4,7,A$12:A58)+1</f>
        <v>43</v>
      </c>
      <c r="B59" s="501" t="s">
        <v>249</v>
      </c>
      <c r="C59" s="112" t="s">
        <v>55</v>
      </c>
      <c r="D59" s="223" t="str">
        <f>VLOOKUP(B59,[1]LuongBC_T01!$B$277:$C$292,2,FALSE)</f>
        <v>0016100006650001</v>
      </c>
      <c r="E59" s="223" t="str">
        <f>INDEX([3]SACOM!$C$7:$C$335,MATCH(B59,[3]SACOM!$B$7:$B$335,0))</f>
        <v>060282740322</v>
      </c>
      <c r="F59" s="455" t="str">
        <f>INDEX([3]SACOM!$C$7:$C$335,MATCH(B59,[3]SACOM!$B$7:$B$335,0))</f>
        <v>060282740322</v>
      </c>
      <c r="G59" s="447" t="s">
        <v>246</v>
      </c>
      <c r="H59" s="532">
        <v>11</v>
      </c>
      <c r="I59" s="533">
        <v>8079317</v>
      </c>
      <c r="J59" s="655"/>
      <c r="K59" s="533"/>
      <c r="L59" s="533">
        <f t="shared" si="12"/>
        <v>8079317</v>
      </c>
      <c r="M59" s="533"/>
      <c r="N59" s="533">
        <f>L59/26*M59</f>
        <v>0</v>
      </c>
      <c r="O59" s="533"/>
      <c r="P59" s="533">
        <f t="shared" si="13"/>
        <v>8079317</v>
      </c>
      <c r="Q59" s="533">
        <f t="shared" ref="Q59:Q62" si="21">L59*8%</f>
        <v>646345.36</v>
      </c>
      <c r="R59" s="535">
        <f t="shared" ref="R59:R62" si="22">L59*1.5%</f>
        <v>121189.75499999999</v>
      </c>
      <c r="S59" s="533">
        <f t="shared" ref="S59:S62" si="23">L59*1%</f>
        <v>80793.17</v>
      </c>
      <c r="T59" s="535"/>
      <c r="U59" s="535">
        <f t="shared" si="16"/>
        <v>848328.28500000003</v>
      </c>
      <c r="V59" s="535"/>
      <c r="W59" s="535"/>
      <c r="X59" s="536"/>
      <c r="Y59" s="535"/>
      <c r="Z59" s="535"/>
      <c r="AA59" s="457">
        <f t="shared" si="17"/>
        <v>7230988.7149999999</v>
      </c>
      <c r="AB59" s="101">
        <f t="shared" si="18"/>
        <v>43</v>
      </c>
      <c r="AC59" s="102"/>
      <c r="AD59" s="599"/>
      <c r="AE59" s="120" t="str">
        <f>INDEX([4]T01!$G$14:$G$346,MATCH(B59,[4]T01!$D$14:$D$346,0))</f>
        <v>TCHCTH</v>
      </c>
      <c r="AF59" s="602"/>
      <c r="AG59" s="602"/>
      <c r="AH59" s="602"/>
      <c r="AI59" s="602"/>
      <c r="AJ59" s="602"/>
      <c r="AK59" s="602"/>
      <c r="AL59" s="602"/>
      <c r="AM59" s="602"/>
      <c r="AN59" s="602"/>
      <c r="AO59" s="602"/>
      <c r="AP59" s="602"/>
      <c r="AQ59" s="602"/>
      <c r="AR59" s="602"/>
      <c r="AS59" s="602"/>
    </row>
    <row r="60" spans="1:45" s="566" customFormat="1" ht="30" customHeight="1">
      <c r="A60" s="688">
        <f>_xlfn.AGGREGATE(4,7,A$12:A59)+1</f>
        <v>44</v>
      </c>
      <c r="B60" s="501" t="s">
        <v>306</v>
      </c>
      <c r="C60" s="112" t="s">
        <v>55</v>
      </c>
      <c r="D60" s="223"/>
      <c r="E60" s="223" t="str">
        <f>INDEX([3]SACOM!$C$7:$C$335,MATCH(B60,[3]SACOM!$B$7:$B$335,0))</f>
        <v xml:space="preserve">060310672796 </v>
      </c>
      <c r="F60" s="455" t="str">
        <f>INDEX([3]SACOM!$C$7:$C$335,MATCH(B60,[3]SACOM!$B$7:$B$335,0))</f>
        <v xml:space="preserve">060310672796 </v>
      </c>
      <c r="G60" s="447" t="s">
        <v>242</v>
      </c>
      <c r="H60" s="532">
        <v>2</v>
      </c>
      <c r="I60" s="533">
        <v>6076213</v>
      </c>
      <c r="J60" s="655"/>
      <c r="K60" s="533"/>
      <c r="L60" s="533">
        <f t="shared" si="12"/>
        <v>6076213</v>
      </c>
      <c r="M60" s="533"/>
      <c r="N60" s="533">
        <f t="shared" ref="N60:N62" si="24">L60/26*M60</f>
        <v>0</v>
      </c>
      <c r="O60" s="533"/>
      <c r="P60" s="533">
        <f t="shared" si="13"/>
        <v>6076213</v>
      </c>
      <c r="Q60" s="533">
        <f t="shared" si="21"/>
        <v>486097.04000000004</v>
      </c>
      <c r="R60" s="535">
        <f t="shared" si="22"/>
        <v>91143.194999999992</v>
      </c>
      <c r="S60" s="533">
        <f t="shared" si="23"/>
        <v>60762.130000000005</v>
      </c>
      <c r="T60" s="535"/>
      <c r="U60" s="535">
        <f t="shared" si="16"/>
        <v>638002.36499999999</v>
      </c>
      <c r="V60" s="535"/>
      <c r="W60" s="659"/>
      <c r="X60" s="659"/>
      <c r="Y60" s="659"/>
      <c r="Z60" s="659"/>
      <c r="AA60" s="457">
        <f t="shared" si="17"/>
        <v>5438210.6349999998</v>
      </c>
      <c r="AB60" s="101">
        <f t="shared" si="18"/>
        <v>44</v>
      </c>
      <c r="AC60" s="255"/>
      <c r="AD60" s="255" t="s">
        <v>308</v>
      </c>
      <c r="AE60" s="120" t="str">
        <f>INDEX([4]T01!$G$14:$G$346,MATCH(B60,[4]T01!$D$14:$D$346,0))</f>
        <v>TCHCTH</v>
      </c>
      <c r="AF60" s="602"/>
      <c r="AG60" s="602"/>
      <c r="AH60" s="602"/>
      <c r="AI60" s="602"/>
      <c r="AJ60" s="602"/>
      <c r="AK60" s="602"/>
      <c r="AL60" s="602"/>
      <c r="AM60" s="602"/>
      <c r="AN60" s="602"/>
      <c r="AO60" s="602"/>
      <c r="AP60" s="602"/>
      <c r="AQ60" s="602"/>
      <c r="AR60" s="602"/>
      <c r="AS60" s="602"/>
    </row>
    <row r="61" spans="1:45" s="566" customFormat="1" ht="30" customHeight="1">
      <c r="A61" s="688">
        <f>_xlfn.AGGREGATE(4,7,A$12:A60)+1</f>
        <v>45</v>
      </c>
      <c r="B61" s="501" t="s">
        <v>410</v>
      </c>
      <c r="C61" s="112" t="s">
        <v>55</v>
      </c>
      <c r="D61" s="223"/>
      <c r="E61" s="223" t="str">
        <f>INDEX([3]SACOM!$C$7:$C$335,MATCH(B61,[3]SACOM!$B$7:$B$335,0))</f>
        <v>060901910739</v>
      </c>
      <c r="F61" s="455" t="str">
        <f>INDEX([3]SACOM!$C$7:$C$335,MATCH(B61,[3]SACOM!$B$7:$B$335,0))</f>
        <v>060901910739</v>
      </c>
      <c r="G61" s="447" t="s">
        <v>246</v>
      </c>
      <c r="H61" s="532">
        <v>1</v>
      </c>
      <c r="I61" s="533">
        <v>4960000</v>
      </c>
      <c r="J61" s="655"/>
      <c r="K61" s="533"/>
      <c r="L61" s="533">
        <f t="shared" si="12"/>
        <v>4960000</v>
      </c>
      <c r="M61" s="533"/>
      <c r="N61" s="533">
        <f t="shared" si="24"/>
        <v>0</v>
      </c>
      <c r="O61" s="533"/>
      <c r="P61" s="533">
        <f t="shared" si="13"/>
        <v>4960000</v>
      </c>
      <c r="Q61" s="533">
        <f t="shared" si="21"/>
        <v>396800</v>
      </c>
      <c r="R61" s="535">
        <f t="shared" si="22"/>
        <v>74400</v>
      </c>
      <c r="S61" s="533">
        <f t="shared" si="23"/>
        <v>49600</v>
      </c>
      <c r="T61" s="535"/>
      <c r="U61" s="535">
        <f t="shared" si="16"/>
        <v>520800</v>
      </c>
      <c r="V61" s="535"/>
      <c r="W61" s="659"/>
      <c r="X61" s="659"/>
      <c r="Y61" s="659"/>
      <c r="Z61" s="659"/>
      <c r="AA61" s="457">
        <f t="shared" si="17"/>
        <v>4439200</v>
      </c>
      <c r="AB61" s="101">
        <f t="shared" si="18"/>
        <v>45</v>
      </c>
      <c r="AC61" s="255"/>
      <c r="AD61" s="255" t="s">
        <v>415</v>
      </c>
      <c r="AE61" s="120" t="str">
        <f>INDEX([4]T01!$G$14:$G$346,MATCH(B61,[4]T01!$D$14:$D$346,0))</f>
        <v>TCHCTH</v>
      </c>
      <c r="AF61" s="602"/>
      <c r="AG61" s="602"/>
      <c r="AH61" s="602"/>
      <c r="AI61" s="602"/>
      <c r="AJ61" s="602"/>
      <c r="AK61" s="602"/>
      <c r="AL61" s="602"/>
      <c r="AM61" s="602"/>
      <c r="AN61" s="602"/>
      <c r="AO61" s="602"/>
      <c r="AP61" s="602"/>
      <c r="AQ61" s="602"/>
      <c r="AR61" s="602"/>
      <c r="AS61" s="602"/>
    </row>
    <row r="62" spans="1:45" s="104" customFormat="1" ht="28.5" customHeight="1">
      <c r="A62" s="688">
        <f>_xlfn.AGGREGATE(4,7,A$12:A61)+1</f>
        <v>46</v>
      </c>
      <c r="B62" s="501" t="s">
        <v>419</v>
      </c>
      <c r="C62" s="112" t="s">
        <v>55</v>
      </c>
      <c r="D62" s="223"/>
      <c r="E62" s="223" t="str">
        <f>INDEX([3]SACOM!$C$7:$C$335,MATCH(B62,[3]SACOM!$B$7:$B$335,0))</f>
        <v>060311114691</v>
      </c>
      <c r="F62" s="455" t="str">
        <f>INDEX([3]SACOM!$C$7:$C$335,MATCH(B62,[3]SACOM!$B$7:$B$335,0))</f>
        <v>060311114691</v>
      </c>
      <c r="G62" s="447" t="s">
        <v>246</v>
      </c>
      <c r="H62" s="532">
        <v>1</v>
      </c>
      <c r="I62" s="533">
        <v>4960000</v>
      </c>
      <c r="J62" s="655"/>
      <c r="K62" s="533"/>
      <c r="L62" s="533">
        <f t="shared" si="12"/>
        <v>4960000</v>
      </c>
      <c r="M62" s="533"/>
      <c r="N62" s="533">
        <f t="shared" si="24"/>
        <v>0</v>
      </c>
      <c r="O62" s="533"/>
      <c r="P62" s="533">
        <f t="shared" si="13"/>
        <v>4960000</v>
      </c>
      <c r="Q62" s="533">
        <f t="shared" si="21"/>
        <v>396800</v>
      </c>
      <c r="R62" s="535">
        <f t="shared" si="22"/>
        <v>74400</v>
      </c>
      <c r="S62" s="533">
        <f t="shared" si="23"/>
        <v>49600</v>
      </c>
      <c r="T62" s="535"/>
      <c r="U62" s="535">
        <f t="shared" si="16"/>
        <v>520800</v>
      </c>
      <c r="V62" s="535"/>
      <c r="W62" s="659"/>
      <c r="X62" s="659"/>
      <c r="Y62" s="659"/>
      <c r="Z62" s="659"/>
      <c r="AA62" s="457">
        <f t="shared" si="17"/>
        <v>4439200</v>
      </c>
      <c r="AB62" s="101">
        <f t="shared" si="18"/>
        <v>46</v>
      </c>
      <c r="AC62" s="255"/>
      <c r="AD62" s="255" t="s">
        <v>418</v>
      </c>
      <c r="AE62" s="120" t="str">
        <f>INDEX([4]T01!$G$14:$G$346,MATCH(B62,[4]T01!$D$14:$D$346,0))</f>
        <v>TCHCTH</v>
      </c>
      <c r="AF62" s="42"/>
      <c r="AG62" s="42"/>
      <c r="AH62" s="42"/>
      <c r="AI62" s="42"/>
      <c r="AJ62" s="42"/>
      <c r="AK62" s="42"/>
      <c r="AL62" s="42"/>
      <c r="AM62" s="42"/>
      <c r="AN62" s="42"/>
      <c r="AO62" s="42"/>
      <c r="AP62" s="42"/>
      <c r="AQ62" s="42"/>
      <c r="AR62" s="42"/>
      <c r="AS62" s="42"/>
    </row>
    <row r="63" spans="1:45" s="104" customFormat="1" ht="36.75" customHeight="1">
      <c r="A63" s="688">
        <f>_xlfn.AGGREGATE(4,7,A$12:A62)+1</f>
        <v>47</v>
      </c>
      <c r="B63" s="501" t="s">
        <v>289</v>
      </c>
      <c r="C63" s="112" t="s">
        <v>355</v>
      </c>
      <c r="D63" s="266"/>
      <c r="E63" s="223" t="s">
        <v>323</v>
      </c>
      <c r="F63" s="455" t="str">
        <f>INDEX([3]SACOM!$C$7:$C$335,MATCH(B63,[3]SACOM!$B$7:$B$335,0))</f>
        <v xml:space="preserve">060310704809 </v>
      </c>
      <c r="G63" s="97" t="s">
        <v>246</v>
      </c>
      <c r="H63" s="532">
        <v>4</v>
      </c>
      <c r="I63" s="533">
        <v>5741820</v>
      </c>
      <c r="J63" s="655"/>
      <c r="K63" s="533"/>
      <c r="L63" s="664">
        <f t="shared" si="12"/>
        <v>5741820</v>
      </c>
      <c r="M63" s="533"/>
      <c r="N63" s="533">
        <f t="shared" ref="N63:N80" si="25">L63/26*M63</f>
        <v>0</v>
      </c>
      <c r="O63" s="533"/>
      <c r="P63" s="533">
        <f t="shared" ref="P63:P80" si="26">L63-N63+O63</f>
        <v>5741820</v>
      </c>
      <c r="Q63" s="533">
        <f t="shared" ref="Q63:Q80" si="27">L63*8%</f>
        <v>459345.60000000003</v>
      </c>
      <c r="R63" s="535">
        <f t="shared" ref="R63:R80" si="28">L63*1.5%</f>
        <v>86127.3</v>
      </c>
      <c r="S63" s="533">
        <f t="shared" ref="S63:S80" si="29">L63*1%</f>
        <v>57418.200000000004</v>
      </c>
      <c r="T63" s="535"/>
      <c r="U63" s="535">
        <f t="shared" ref="U63:U80" si="30">SUM(Q63:T63)</f>
        <v>602891.1</v>
      </c>
      <c r="V63" s="535"/>
      <c r="W63" s="659"/>
      <c r="X63" s="659"/>
      <c r="Y63" s="659"/>
      <c r="Z63" s="659"/>
      <c r="AA63" s="457">
        <f t="shared" ref="AA63:AA80" si="31">P63-U63+W63+Y63+Z63</f>
        <v>5138928.9000000004</v>
      </c>
      <c r="AB63" s="101">
        <f t="shared" si="18"/>
        <v>47</v>
      </c>
      <c r="AC63" s="102"/>
      <c r="AD63" s="255" t="s">
        <v>284</v>
      </c>
      <c r="AE63" s="120" t="str">
        <f>INDEX([4]T01!$G$14:$G$346,MATCH(B63,[4]T01!$D$14:$D$346,0))</f>
        <v>TCHCTH</v>
      </c>
    </row>
    <row r="64" spans="1:45" s="720" customFormat="1" ht="29.45" customHeight="1">
      <c r="A64" s="688">
        <f>_xlfn.AGGREGATE(4,7,A$12:A63)+1</f>
        <v>48</v>
      </c>
      <c r="B64" s="501" t="s">
        <v>286</v>
      </c>
      <c r="C64" s="112" t="s">
        <v>356</v>
      </c>
      <c r="D64" s="266"/>
      <c r="E64" s="223" t="s">
        <v>322</v>
      </c>
      <c r="F64" s="455" t="str">
        <f>INDEX([3]SACOM!$C$7:$C$335,MATCH(B64,[3]SACOM!$B$7:$B$335,0))</f>
        <v xml:space="preserve">060310665099 </v>
      </c>
      <c r="G64" s="97" t="s">
        <v>245</v>
      </c>
      <c r="H64" s="532">
        <v>3</v>
      </c>
      <c r="I64" s="533">
        <v>5851188</v>
      </c>
      <c r="J64" s="655"/>
      <c r="K64" s="533"/>
      <c r="L64" s="664">
        <f t="shared" si="12"/>
        <v>5851188</v>
      </c>
      <c r="M64" s="533"/>
      <c r="N64" s="533">
        <f t="shared" si="25"/>
        <v>0</v>
      </c>
      <c r="O64" s="533"/>
      <c r="P64" s="533">
        <f t="shared" si="26"/>
        <v>5851188</v>
      </c>
      <c r="Q64" s="533">
        <f t="shared" si="27"/>
        <v>468095.04000000004</v>
      </c>
      <c r="R64" s="535">
        <f t="shared" si="28"/>
        <v>87767.819999999992</v>
      </c>
      <c r="S64" s="533">
        <f t="shared" si="29"/>
        <v>58511.880000000005</v>
      </c>
      <c r="T64" s="535"/>
      <c r="U64" s="535">
        <f t="shared" si="30"/>
        <v>614374.74</v>
      </c>
      <c r="V64" s="535"/>
      <c r="W64" s="659"/>
      <c r="X64" s="659"/>
      <c r="Y64" s="659"/>
      <c r="Z64" s="659"/>
      <c r="AA64" s="457">
        <f t="shared" si="31"/>
        <v>5236813.26</v>
      </c>
      <c r="AB64" s="101">
        <f t="shared" si="18"/>
        <v>48</v>
      </c>
      <c r="AC64" s="102"/>
      <c r="AD64" s="255" t="s">
        <v>284</v>
      </c>
      <c r="AE64" s="120" t="str">
        <f>INDEX([4]T01!$G$14:$G$346,MATCH(B64,[4]T01!$D$14:$D$346,0))</f>
        <v>TCHCTH</v>
      </c>
    </row>
    <row r="65" spans="1:45" s="566" customFormat="1" ht="37.5" customHeight="1">
      <c r="A65" s="688">
        <f>_xlfn.AGGREGATE(4,7,A$12:A64)+1</f>
        <v>49</v>
      </c>
      <c r="B65" s="593" t="s">
        <v>431</v>
      </c>
      <c r="C65" s="112" t="s">
        <v>166</v>
      </c>
      <c r="D65" s="223" t="s">
        <v>202</v>
      </c>
      <c r="E65" s="223" t="str">
        <f>INDEX([3]SACOM!$C$7:$C$335,MATCH(B65,[3]SACOM!$B$7:$B$335,0))</f>
        <v>060310750274</v>
      </c>
      <c r="F65" s="455" t="str">
        <f>INDEX([3]SACOM!$C$7:$C$335,MATCH(B65,[3]SACOM!$B$7:$B$335,0))</f>
        <v>060310750274</v>
      </c>
      <c r="G65" s="454" t="s">
        <v>245</v>
      </c>
      <c r="H65" s="658">
        <v>6</v>
      </c>
      <c r="I65" s="533">
        <v>6773482</v>
      </c>
      <c r="J65" s="655"/>
      <c r="K65" s="533"/>
      <c r="L65" s="533">
        <f t="shared" si="12"/>
        <v>6773482</v>
      </c>
      <c r="M65" s="533"/>
      <c r="N65" s="533">
        <f t="shared" si="25"/>
        <v>0</v>
      </c>
      <c r="O65" s="533"/>
      <c r="P65" s="533">
        <f t="shared" si="26"/>
        <v>6773482</v>
      </c>
      <c r="Q65" s="533">
        <f t="shared" si="27"/>
        <v>541878.56000000006</v>
      </c>
      <c r="R65" s="535">
        <f t="shared" si="28"/>
        <v>101602.23</v>
      </c>
      <c r="S65" s="533">
        <f t="shared" si="29"/>
        <v>67734.820000000007</v>
      </c>
      <c r="T65" s="535"/>
      <c r="U65" s="535">
        <f t="shared" si="30"/>
        <v>711215.6100000001</v>
      </c>
      <c r="V65" s="535"/>
      <c r="W65" s="535"/>
      <c r="X65" s="535"/>
      <c r="Y65" s="535"/>
      <c r="Z65" s="535"/>
      <c r="AA65" s="457">
        <f t="shared" si="31"/>
        <v>6062266.3899999997</v>
      </c>
      <c r="AB65" s="101">
        <f t="shared" si="18"/>
        <v>49</v>
      </c>
      <c r="AC65" s="102"/>
      <c r="AD65" s="117">
        <f>3.33*1390000</f>
        <v>4628700</v>
      </c>
      <c r="AE65" s="120" t="str">
        <f>INDEX([4]T01!$G$14:$G$346,MATCH(B65,[4]T01!$D$14:$D$346,0))</f>
        <v>QTDV</v>
      </c>
      <c r="AF65" s="602"/>
      <c r="AG65" s="602"/>
      <c r="AH65" s="602"/>
      <c r="AI65" s="602"/>
      <c r="AJ65" s="602"/>
      <c r="AK65" s="602"/>
      <c r="AL65" s="602"/>
      <c r="AM65" s="602"/>
      <c r="AN65" s="602"/>
      <c r="AO65" s="602"/>
      <c r="AP65" s="602"/>
      <c r="AQ65" s="602"/>
      <c r="AR65" s="602"/>
      <c r="AS65" s="602"/>
    </row>
    <row r="66" spans="1:45" s="566" customFormat="1" ht="32.450000000000003" customHeight="1">
      <c r="A66" s="688">
        <f>_xlfn.AGGREGATE(4,7,A$12:A65)+1</f>
        <v>50</v>
      </c>
      <c r="B66" s="501" t="s">
        <v>256</v>
      </c>
      <c r="C66" s="112" t="s">
        <v>257</v>
      </c>
      <c r="D66" s="223" t="str">
        <f>VLOOKUP(B66,[1]LuongBC_T01!$B$277:$C$292,2,FALSE)</f>
        <v>0016100006675004</v>
      </c>
      <c r="E66" s="223" t="str">
        <f>INDEX([3]SACOM!$C$7:$C$335,MATCH(B66,[3]SACOM!$B$7:$B$335,0))</f>
        <v>060310749314</v>
      </c>
      <c r="F66" s="455" t="str">
        <f>INDEX([3]SACOM!$C$7:$C$335,MATCH(B66,[3]SACOM!$B$7:$B$335,0))</f>
        <v>060310749314</v>
      </c>
      <c r="G66" s="454" t="s">
        <v>245</v>
      </c>
      <c r="H66" s="658">
        <v>5</v>
      </c>
      <c r="I66" s="533">
        <v>6450935</v>
      </c>
      <c r="J66" s="655"/>
      <c r="K66" s="533"/>
      <c r="L66" s="533">
        <f t="shared" si="12"/>
        <v>6450935</v>
      </c>
      <c r="M66" s="533"/>
      <c r="N66" s="533">
        <f t="shared" si="25"/>
        <v>0</v>
      </c>
      <c r="O66" s="533"/>
      <c r="P66" s="533">
        <f t="shared" si="26"/>
        <v>6450935</v>
      </c>
      <c r="Q66" s="533">
        <f t="shared" si="27"/>
        <v>516074.8</v>
      </c>
      <c r="R66" s="535">
        <f t="shared" si="28"/>
        <v>96764.024999999994</v>
      </c>
      <c r="S66" s="533">
        <f t="shared" si="29"/>
        <v>64509.35</v>
      </c>
      <c r="T66" s="535"/>
      <c r="U66" s="535">
        <f t="shared" si="30"/>
        <v>677348.17499999993</v>
      </c>
      <c r="V66" s="535"/>
      <c r="W66" s="659"/>
      <c r="X66" s="659"/>
      <c r="Y66" s="659"/>
      <c r="Z66" s="659"/>
      <c r="AA66" s="457">
        <f t="shared" si="31"/>
        <v>5773586.8250000002</v>
      </c>
      <c r="AB66" s="101">
        <f t="shared" si="18"/>
        <v>50</v>
      </c>
      <c r="AC66" s="102"/>
      <c r="AD66" s="102"/>
      <c r="AE66" s="120" t="str">
        <f>INDEX([4]T01!$G$14:$G$346,MATCH(B66,[4]T01!$D$14:$D$346,0))</f>
        <v>QTDV</v>
      </c>
      <c r="AF66" s="602"/>
      <c r="AG66" s="602"/>
      <c r="AH66" s="602"/>
      <c r="AI66" s="602"/>
      <c r="AJ66" s="602"/>
      <c r="AK66" s="602"/>
      <c r="AL66" s="602"/>
      <c r="AM66" s="602"/>
      <c r="AN66" s="602"/>
      <c r="AO66" s="602"/>
      <c r="AP66" s="602"/>
      <c r="AQ66" s="602"/>
      <c r="AR66" s="602"/>
      <c r="AS66" s="602"/>
    </row>
    <row r="67" spans="1:45" s="566" customFormat="1" ht="29.25" customHeight="1">
      <c r="A67" s="688">
        <f>_xlfn.AGGREGATE(4,7,A$12:A66)+1</f>
        <v>51</v>
      </c>
      <c r="B67" s="501" t="s">
        <v>248</v>
      </c>
      <c r="C67" s="112" t="s">
        <v>8</v>
      </c>
      <c r="D67" s="223" t="str">
        <f>VLOOKUP(B67,[1]LuongBC_T01!$B$277:$C$292,2,FALSE)</f>
        <v>0016100006677007</v>
      </c>
      <c r="E67" s="223" t="str">
        <f>INDEX([3]SACOM!$C$7:$C$335,MATCH(B67,[3]SACOM!$B$7:$B$335,0))</f>
        <v>060310750797</v>
      </c>
      <c r="F67" s="455" t="str">
        <f>INDEX([3]SACOM!$C$7:$C$335,MATCH(B67,[3]SACOM!$B$7:$B$335,0))</f>
        <v>060310750797</v>
      </c>
      <c r="G67" s="454" t="s">
        <v>246</v>
      </c>
      <c r="H67" s="532">
        <v>12</v>
      </c>
      <c r="I67" s="533">
        <v>8483283</v>
      </c>
      <c r="J67" s="655"/>
      <c r="K67" s="533"/>
      <c r="L67" s="533">
        <f t="shared" si="12"/>
        <v>8483283</v>
      </c>
      <c r="M67" s="533"/>
      <c r="N67" s="533">
        <f t="shared" si="25"/>
        <v>0</v>
      </c>
      <c r="O67" s="533"/>
      <c r="P67" s="533">
        <f t="shared" si="26"/>
        <v>8483283</v>
      </c>
      <c r="Q67" s="533">
        <f t="shared" si="27"/>
        <v>678662.64</v>
      </c>
      <c r="R67" s="535">
        <f t="shared" si="28"/>
        <v>127249.245</v>
      </c>
      <c r="S67" s="533">
        <f t="shared" si="29"/>
        <v>84832.83</v>
      </c>
      <c r="T67" s="535"/>
      <c r="U67" s="535">
        <f t="shared" si="30"/>
        <v>890744.71499999997</v>
      </c>
      <c r="V67" s="536"/>
      <c r="W67" s="535"/>
      <c r="X67" s="535"/>
      <c r="Y67" s="535"/>
      <c r="Z67" s="535"/>
      <c r="AA67" s="457">
        <f t="shared" si="31"/>
        <v>7592538.2850000001</v>
      </c>
      <c r="AB67" s="101">
        <f t="shared" si="18"/>
        <v>51</v>
      </c>
      <c r="AC67" s="102"/>
      <c r="AD67" s="117"/>
      <c r="AE67" s="120" t="str">
        <f>INDEX([4]T01!$G$14:$G$346,MATCH(B67,[4]T01!$D$14:$D$346,0))</f>
        <v>QTDV</v>
      </c>
      <c r="AF67" s="602"/>
      <c r="AG67" s="602"/>
      <c r="AH67" s="602"/>
      <c r="AI67" s="602"/>
      <c r="AJ67" s="602"/>
      <c r="AK67" s="602"/>
      <c r="AL67" s="602"/>
      <c r="AM67" s="602"/>
      <c r="AN67" s="602"/>
      <c r="AO67" s="602"/>
      <c r="AP67" s="602"/>
      <c r="AQ67" s="602"/>
      <c r="AR67" s="602"/>
      <c r="AS67" s="602"/>
    </row>
    <row r="68" spans="1:45" s="104" customFormat="1" ht="39" customHeight="1">
      <c r="A68" s="688">
        <f>_xlfn.AGGREGATE(4,7,A$12:A67)+1</f>
        <v>52</v>
      </c>
      <c r="B68" s="501" t="s">
        <v>253</v>
      </c>
      <c r="C68" s="112" t="s">
        <v>8</v>
      </c>
      <c r="D68" s="223"/>
      <c r="E68" s="223" t="str">
        <f>INDEX([3]SACOM!$C$7:$C$335,MATCH(B68,[3]SACOM!$B$7:$B$335,0))</f>
        <v>060310748369</v>
      </c>
      <c r="F68" s="455" t="str">
        <f>INDEX([3]SACOM!$C$7:$C$335,MATCH(B68,[3]SACOM!$B$7:$B$335,0))</f>
        <v>060310748369</v>
      </c>
      <c r="G68" s="447" t="s">
        <v>246</v>
      </c>
      <c r="H68" s="532">
        <v>3</v>
      </c>
      <c r="I68" s="533">
        <v>5468400</v>
      </c>
      <c r="J68" s="655"/>
      <c r="K68" s="533"/>
      <c r="L68" s="533">
        <f t="shared" si="12"/>
        <v>5468400</v>
      </c>
      <c r="M68" s="533"/>
      <c r="N68" s="533">
        <f t="shared" si="25"/>
        <v>0</v>
      </c>
      <c r="O68" s="533"/>
      <c r="P68" s="533">
        <f t="shared" si="26"/>
        <v>5468400</v>
      </c>
      <c r="Q68" s="533">
        <f t="shared" si="27"/>
        <v>437472</v>
      </c>
      <c r="R68" s="535">
        <f t="shared" si="28"/>
        <v>82026</v>
      </c>
      <c r="S68" s="533">
        <f t="shared" si="29"/>
        <v>54684</v>
      </c>
      <c r="T68" s="535"/>
      <c r="U68" s="535">
        <f t="shared" si="30"/>
        <v>574182</v>
      </c>
      <c r="V68" s="535"/>
      <c r="W68" s="535"/>
      <c r="X68" s="536"/>
      <c r="Y68" s="535"/>
      <c r="Z68" s="535"/>
      <c r="AA68" s="457">
        <f t="shared" si="31"/>
        <v>4894218</v>
      </c>
      <c r="AB68" s="101">
        <f t="shared" si="18"/>
        <v>52</v>
      </c>
      <c r="AC68" s="102"/>
      <c r="AD68" s="102"/>
      <c r="AE68" s="120" t="str">
        <f>INDEX([4]T01!$G$14:$G$346,MATCH(B68,[4]T01!$D$14:$D$346,0))</f>
        <v>QTDV</v>
      </c>
    </row>
    <row r="69" spans="1:45" s="104" customFormat="1" ht="38.25" customHeight="1">
      <c r="A69" s="688">
        <f>_xlfn.AGGREGATE(4,7,A$12:A68)+1</f>
        <v>53</v>
      </c>
      <c r="B69" s="501" t="s">
        <v>276</v>
      </c>
      <c r="C69" s="112" t="s">
        <v>277</v>
      </c>
      <c r="D69" s="223"/>
      <c r="E69" s="223" t="str">
        <f>INDEX([3]SACOM!$C$7:$C$335,MATCH(B69,[3]SACOM!$B$7:$B$335,0))</f>
        <v>060310750339</v>
      </c>
      <c r="F69" s="455" t="str">
        <f>INDEX([3]SACOM!$C$7:$C$335,MATCH(B69,[3]SACOM!$B$7:$B$335,0))</f>
        <v>060310750339</v>
      </c>
      <c r="G69" s="447" t="s">
        <v>246</v>
      </c>
      <c r="H69" s="532">
        <v>3</v>
      </c>
      <c r="I69" s="533">
        <v>5468400</v>
      </c>
      <c r="J69" s="655"/>
      <c r="K69" s="533"/>
      <c r="L69" s="533">
        <f t="shared" si="12"/>
        <v>5468400</v>
      </c>
      <c r="M69" s="533"/>
      <c r="N69" s="533">
        <f t="shared" si="25"/>
        <v>0</v>
      </c>
      <c r="O69" s="533"/>
      <c r="P69" s="533">
        <f t="shared" si="26"/>
        <v>5468400</v>
      </c>
      <c r="Q69" s="533">
        <f t="shared" si="27"/>
        <v>437472</v>
      </c>
      <c r="R69" s="535">
        <f t="shared" si="28"/>
        <v>82026</v>
      </c>
      <c r="S69" s="533">
        <f t="shared" si="29"/>
        <v>54684</v>
      </c>
      <c r="T69" s="535"/>
      <c r="U69" s="535">
        <f t="shared" si="30"/>
        <v>574182</v>
      </c>
      <c r="V69" s="535"/>
      <c r="W69" s="659"/>
      <c r="X69" s="659"/>
      <c r="Y69" s="659"/>
      <c r="Z69" s="659"/>
      <c r="AA69" s="457">
        <f t="shared" si="31"/>
        <v>4894218</v>
      </c>
      <c r="AB69" s="101">
        <f t="shared" si="18"/>
        <v>53</v>
      </c>
      <c r="AC69" s="255"/>
      <c r="AD69" s="255" t="s">
        <v>278</v>
      </c>
      <c r="AE69" s="120" t="str">
        <f>INDEX([4]T01!$G$14:$G$346,MATCH(B69,[4]T01!$D$14:$D$346,0))</f>
        <v>QTDV</v>
      </c>
    </row>
    <row r="70" spans="1:45" s="104" customFormat="1" ht="39.75" customHeight="1">
      <c r="A70" s="688">
        <f>_xlfn.AGGREGATE(4,7,A$12:A69)+1</f>
        <v>54</v>
      </c>
      <c r="B70" s="501" t="s">
        <v>303</v>
      </c>
      <c r="C70" s="112" t="s">
        <v>304</v>
      </c>
      <c r="D70" s="223"/>
      <c r="E70" s="223" t="str">
        <f>INDEX([3]SACOM!$C$7:$C$335,MATCH(B70,[3]SACOM!$B$7:$B$335,0))</f>
        <v>060311534699</v>
      </c>
      <c r="F70" s="455" t="str">
        <f>INDEX([3]SACOM!$C$7:$C$335,MATCH(B70,[3]SACOM!$B$7:$B$335,0))</f>
        <v>060311534699</v>
      </c>
      <c r="G70" s="447" t="s">
        <v>246</v>
      </c>
      <c r="H70" s="532">
        <v>2</v>
      </c>
      <c r="I70" s="533">
        <v>5208000</v>
      </c>
      <c r="J70" s="655"/>
      <c r="K70" s="533"/>
      <c r="L70" s="533">
        <f t="shared" si="12"/>
        <v>5208000</v>
      </c>
      <c r="M70" s="533"/>
      <c r="N70" s="533">
        <f t="shared" si="25"/>
        <v>0</v>
      </c>
      <c r="O70" s="533"/>
      <c r="P70" s="533">
        <f t="shared" si="26"/>
        <v>5208000</v>
      </c>
      <c r="Q70" s="533">
        <f t="shared" si="27"/>
        <v>416640</v>
      </c>
      <c r="R70" s="535">
        <f t="shared" si="28"/>
        <v>78120</v>
      </c>
      <c r="S70" s="533">
        <f t="shared" si="29"/>
        <v>52080</v>
      </c>
      <c r="T70" s="535"/>
      <c r="U70" s="535">
        <f t="shared" si="30"/>
        <v>546840</v>
      </c>
      <c r="V70" s="535"/>
      <c r="W70" s="659"/>
      <c r="X70" s="659"/>
      <c r="Y70" s="659"/>
      <c r="Z70" s="659"/>
      <c r="AA70" s="457">
        <f t="shared" si="31"/>
        <v>4661160</v>
      </c>
      <c r="AB70" s="101">
        <f t="shared" si="18"/>
        <v>54</v>
      </c>
      <c r="AC70" s="102"/>
      <c r="AD70" s="255" t="s">
        <v>314</v>
      </c>
      <c r="AE70" s="120" t="str">
        <f>INDEX([4]T01!$G$14:$G$346,MATCH(B70,[4]T01!$D$14:$D$346,0))</f>
        <v>QTDV</v>
      </c>
      <c r="AF70" s="42"/>
      <c r="AG70" s="42"/>
      <c r="AH70" s="42"/>
      <c r="AI70" s="42"/>
      <c r="AJ70" s="42"/>
      <c r="AK70" s="42"/>
      <c r="AL70" s="42"/>
      <c r="AM70" s="42"/>
      <c r="AN70" s="42"/>
      <c r="AO70" s="42"/>
      <c r="AP70" s="42"/>
      <c r="AQ70" s="42"/>
      <c r="AR70" s="42"/>
      <c r="AS70" s="42"/>
    </row>
    <row r="71" spans="1:45" s="104" customFormat="1" ht="39.75" customHeight="1">
      <c r="A71" s="688">
        <f>_xlfn.AGGREGATE(4,7,A$12:A70)+1</f>
        <v>55</v>
      </c>
      <c r="B71" s="501" t="s">
        <v>305</v>
      </c>
      <c r="C71" s="112" t="s">
        <v>304</v>
      </c>
      <c r="D71" s="223"/>
      <c r="E71" s="223" t="str">
        <f>INDEX([3]SACOM!$C$7:$C$335,MATCH(B71,[3]SACOM!$B$7:$B$335,0))</f>
        <v>060310749349</v>
      </c>
      <c r="F71" s="455" t="str">
        <f>INDEX([3]SACOM!$C$7:$C$335,MATCH(B71,[3]SACOM!$B$7:$B$335,0))</f>
        <v>060310749349</v>
      </c>
      <c r="G71" s="447" t="s">
        <v>246</v>
      </c>
      <c r="H71" s="532">
        <v>2</v>
      </c>
      <c r="I71" s="533">
        <v>5208000</v>
      </c>
      <c r="J71" s="655"/>
      <c r="K71" s="533"/>
      <c r="L71" s="533">
        <f t="shared" si="12"/>
        <v>5208000</v>
      </c>
      <c r="M71" s="533"/>
      <c r="N71" s="533">
        <f t="shared" si="25"/>
        <v>0</v>
      </c>
      <c r="O71" s="533"/>
      <c r="P71" s="533">
        <f t="shared" si="26"/>
        <v>5208000</v>
      </c>
      <c r="Q71" s="533">
        <f t="shared" si="27"/>
        <v>416640</v>
      </c>
      <c r="R71" s="535">
        <f t="shared" si="28"/>
        <v>78120</v>
      </c>
      <c r="S71" s="533">
        <f t="shared" si="29"/>
        <v>52080</v>
      </c>
      <c r="T71" s="535"/>
      <c r="U71" s="535">
        <f t="shared" si="30"/>
        <v>546840</v>
      </c>
      <c r="V71" s="535"/>
      <c r="W71" s="659"/>
      <c r="X71" s="659"/>
      <c r="Y71" s="659"/>
      <c r="Z71" s="659"/>
      <c r="AA71" s="457">
        <f t="shared" si="31"/>
        <v>4661160</v>
      </c>
      <c r="AB71" s="101">
        <f t="shared" si="18"/>
        <v>55</v>
      </c>
      <c r="AC71" s="102"/>
      <c r="AD71" s="255" t="s">
        <v>315</v>
      </c>
      <c r="AE71" s="120" t="str">
        <f>INDEX([4]T01!$G$14:$G$346,MATCH(B71,[4]T01!$D$14:$D$346,0))</f>
        <v>QTDV</v>
      </c>
      <c r="AF71" s="42"/>
      <c r="AG71" s="42"/>
      <c r="AH71" s="42"/>
      <c r="AI71" s="42"/>
      <c r="AJ71" s="42"/>
      <c r="AK71" s="42"/>
      <c r="AL71" s="42"/>
      <c r="AM71" s="42"/>
      <c r="AN71" s="42"/>
      <c r="AO71" s="42"/>
      <c r="AP71" s="42"/>
      <c r="AQ71" s="42"/>
      <c r="AR71" s="42"/>
      <c r="AS71" s="42"/>
    </row>
    <row r="72" spans="1:45" s="104" customFormat="1" ht="34.9" customHeight="1">
      <c r="A72" s="688">
        <f>_xlfn.AGGREGATE(4,7,A$12:A71)+1</f>
        <v>56</v>
      </c>
      <c r="B72" s="501" t="s">
        <v>370</v>
      </c>
      <c r="C72" s="112" t="s">
        <v>371</v>
      </c>
      <c r="D72" s="223"/>
      <c r="E72" s="223" t="str">
        <f>INDEX([3]SACOM!$C$7:$C$335,MATCH(B72,[3]SACOM!$B$7:$B$335,0))</f>
        <v>060310747923</v>
      </c>
      <c r="F72" s="455" t="str">
        <f>INDEX([3]SACOM!$C$7:$C$335,MATCH(B72,[3]SACOM!$B$7:$B$335,0))</f>
        <v>060310747923</v>
      </c>
      <c r="G72" s="447" t="s">
        <v>246</v>
      </c>
      <c r="H72" s="532">
        <v>2</v>
      </c>
      <c r="I72" s="533">
        <v>5208000</v>
      </c>
      <c r="J72" s="655"/>
      <c r="K72" s="533"/>
      <c r="L72" s="533">
        <f t="shared" si="12"/>
        <v>5208000</v>
      </c>
      <c r="M72" s="533"/>
      <c r="N72" s="533">
        <f t="shared" si="25"/>
        <v>0</v>
      </c>
      <c r="O72" s="533"/>
      <c r="P72" s="533">
        <f t="shared" si="26"/>
        <v>5208000</v>
      </c>
      <c r="Q72" s="533">
        <f t="shared" si="27"/>
        <v>416640</v>
      </c>
      <c r="R72" s="535">
        <f t="shared" si="28"/>
        <v>78120</v>
      </c>
      <c r="S72" s="533">
        <f t="shared" si="29"/>
        <v>52080</v>
      </c>
      <c r="T72" s="535"/>
      <c r="U72" s="535">
        <f t="shared" si="30"/>
        <v>546840</v>
      </c>
      <c r="V72" s="535"/>
      <c r="W72" s="659"/>
      <c r="X72" s="659"/>
      <c r="Y72" s="659"/>
      <c r="Z72" s="659"/>
      <c r="AA72" s="457">
        <f t="shared" si="31"/>
        <v>4661160</v>
      </c>
      <c r="AB72" s="101">
        <f t="shared" si="18"/>
        <v>56</v>
      </c>
      <c r="AC72" s="255" t="s">
        <v>529</v>
      </c>
      <c r="AD72" s="255" t="s">
        <v>401</v>
      </c>
      <c r="AE72" s="120" t="str">
        <f>INDEX([4]T01!$G$14:$G$346,MATCH(B72,[4]T01!$D$14:$D$346,0))</f>
        <v>QTDV</v>
      </c>
    </row>
    <row r="73" spans="1:45" s="104" customFormat="1" ht="36.75" customHeight="1">
      <c r="A73" s="688">
        <f>_xlfn.AGGREGATE(4,7,A$12:A72)+1</f>
        <v>57</v>
      </c>
      <c r="B73" s="501" t="s">
        <v>404</v>
      </c>
      <c r="C73" s="112" t="s">
        <v>304</v>
      </c>
      <c r="D73" s="223"/>
      <c r="E73" s="223" t="str">
        <f>INDEX([3]SACOM!$C$7:$C$335,MATCH(B73,[3]SACOM!$B$7:$B$335,0))</f>
        <v>060311210605</v>
      </c>
      <c r="F73" s="455" t="str">
        <f>INDEX([3]SACOM!$C$7:$C$335,MATCH(B73,[3]SACOM!$B$7:$B$335,0))</f>
        <v>060311210605</v>
      </c>
      <c r="G73" s="447" t="s">
        <v>246</v>
      </c>
      <c r="H73" s="532">
        <v>1</v>
      </c>
      <c r="I73" s="533">
        <v>4960000</v>
      </c>
      <c r="J73" s="655"/>
      <c r="K73" s="533"/>
      <c r="L73" s="533">
        <f t="shared" si="12"/>
        <v>4960000</v>
      </c>
      <c r="M73" s="533"/>
      <c r="N73" s="533">
        <f t="shared" si="25"/>
        <v>0</v>
      </c>
      <c r="O73" s="533"/>
      <c r="P73" s="533">
        <f t="shared" si="26"/>
        <v>4960000</v>
      </c>
      <c r="Q73" s="533">
        <f t="shared" si="27"/>
        <v>396800</v>
      </c>
      <c r="R73" s="535">
        <f t="shared" si="28"/>
        <v>74400</v>
      </c>
      <c r="S73" s="533">
        <f t="shared" si="29"/>
        <v>49600</v>
      </c>
      <c r="T73" s="535"/>
      <c r="U73" s="535">
        <f t="shared" si="30"/>
        <v>520800</v>
      </c>
      <c r="V73" s="535"/>
      <c r="W73" s="659"/>
      <c r="X73" s="659"/>
      <c r="Y73" s="659"/>
      <c r="Z73" s="659"/>
      <c r="AA73" s="457">
        <f t="shared" si="31"/>
        <v>4439200</v>
      </c>
      <c r="AB73" s="101">
        <f t="shared" si="18"/>
        <v>57</v>
      </c>
      <c r="AC73" s="255"/>
      <c r="AD73" s="255" t="s">
        <v>405</v>
      </c>
      <c r="AE73" s="120" t="str">
        <f>INDEX([4]T01!$G$14:$G$346,MATCH(B73,[4]T01!$D$14:$D$346,0))</f>
        <v>QTDV</v>
      </c>
      <c r="AF73" s="42"/>
      <c r="AG73" s="42"/>
      <c r="AH73" s="42"/>
      <c r="AI73" s="42"/>
      <c r="AJ73" s="42"/>
      <c r="AK73" s="42"/>
      <c r="AL73" s="42"/>
      <c r="AM73" s="42"/>
      <c r="AN73" s="42"/>
      <c r="AO73" s="42"/>
      <c r="AP73" s="42"/>
      <c r="AQ73" s="42"/>
      <c r="AR73" s="42"/>
      <c r="AS73" s="42"/>
    </row>
    <row r="74" spans="1:45" s="104" customFormat="1" ht="29.25" customHeight="1">
      <c r="A74" s="688">
        <f>_xlfn.AGGREGATE(4,7,A$12:A73)+1</f>
        <v>58</v>
      </c>
      <c r="B74" s="501" t="s">
        <v>319</v>
      </c>
      <c r="C74" s="112" t="s">
        <v>277</v>
      </c>
      <c r="D74" s="513" t="s">
        <v>332</v>
      </c>
      <c r="E74" s="336" t="s">
        <v>331</v>
      </c>
      <c r="F74" s="455" t="str">
        <f>INDEX([3]SACOM!$C$7:$C$335,MATCH(B74,[3]SACOM!$B$7:$B$335,0))</f>
        <v>060310750096</v>
      </c>
      <c r="G74" s="447" t="s">
        <v>246</v>
      </c>
      <c r="H74" s="532">
        <v>2</v>
      </c>
      <c r="I74" s="533">
        <v>5208000</v>
      </c>
      <c r="J74" s="655"/>
      <c r="K74" s="533"/>
      <c r="L74" s="664">
        <f t="shared" si="12"/>
        <v>5208000</v>
      </c>
      <c r="M74" s="533"/>
      <c r="N74" s="533">
        <f t="shared" si="25"/>
        <v>0</v>
      </c>
      <c r="O74" s="533"/>
      <c r="P74" s="533">
        <f t="shared" si="26"/>
        <v>5208000</v>
      </c>
      <c r="Q74" s="533">
        <f t="shared" si="27"/>
        <v>416640</v>
      </c>
      <c r="R74" s="535">
        <f t="shared" si="28"/>
        <v>78120</v>
      </c>
      <c r="S74" s="533">
        <f t="shared" si="29"/>
        <v>52080</v>
      </c>
      <c r="T74" s="535"/>
      <c r="U74" s="535">
        <f t="shared" si="30"/>
        <v>546840</v>
      </c>
      <c r="V74" s="535"/>
      <c r="W74" s="659"/>
      <c r="X74" s="659"/>
      <c r="Y74" s="659"/>
      <c r="Z74" s="659"/>
      <c r="AA74" s="457">
        <f t="shared" si="31"/>
        <v>4661160</v>
      </c>
      <c r="AB74" s="101">
        <f t="shared" si="18"/>
        <v>58</v>
      </c>
      <c r="AC74" s="102"/>
      <c r="AD74" s="255" t="s">
        <v>320</v>
      </c>
      <c r="AE74" s="120" t="str">
        <f>INDEX([4]T01!$G$14:$G$346,MATCH(B74,[4]T01!$D$14:$D$346,0))</f>
        <v>QTDV</v>
      </c>
      <c r="AF74" s="42"/>
      <c r="AG74" s="42"/>
      <c r="AH74" s="42"/>
      <c r="AI74" s="42"/>
      <c r="AJ74" s="42"/>
      <c r="AK74" s="42"/>
      <c r="AL74" s="42"/>
      <c r="AM74" s="42"/>
      <c r="AN74" s="42"/>
      <c r="AO74" s="42"/>
      <c r="AP74" s="42"/>
      <c r="AQ74" s="42"/>
      <c r="AR74" s="42"/>
      <c r="AS74" s="42"/>
    </row>
    <row r="75" spans="1:45" s="566" customFormat="1" ht="31.5" customHeight="1">
      <c r="A75" s="688">
        <f>_xlfn.AGGREGATE(4,7,A$12:A74)+1</f>
        <v>59</v>
      </c>
      <c r="B75" s="501" t="s">
        <v>321</v>
      </c>
      <c r="C75" s="112" t="s">
        <v>277</v>
      </c>
      <c r="D75" s="513" t="s">
        <v>333</v>
      </c>
      <c r="E75" s="336" t="s">
        <v>334</v>
      </c>
      <c r="F75" s="455" t="str">
        <f>INDEX([3]SACOM!$C$7:$C$335,MATCH(B75,[3]SACOM!$B$7:$B$335,0))</f>
        <v>060310749268</v>
      </c>
      <c r="G75" s="447" t="s">
        <v>246</v>
      </c>
      <c r="H75" s="532">
        <v>2</v>
      </c>
      <c r="I75" s="533">
        <v>5208000</v>
      </c>
      <c r="J75" s="655"/>
      <c r="K75" s="533"/>
      <c r="L75" s="664">
        <f t="shared" si="12"/>
        <v>5208000</v>
      </c>
      <c r="M75" s="533"/>
      <c r="N75" s="533">
        <f t="shared" si="25"/>
        <v>0</v>
      </c>
      <c r="O75" s="533"/>
      <c r="P75" s="533">
        <f t="shared" si="26"/>
        <v>5208000</v>
      </c>
      <c r="Q75" s="533">
        <f t="shared" si="27"/>
        <v>416640</v>
      </c>
      <c r="R75" s="535">
        <f t="shared" si="28"/>
        <v>78120</v>
      </c>
      <c r="S75" s="533">
        <f t="shared" si="29"/>
        <v>52080</v>
      </c>
      <c r="T75" s="535"/>
      <c r="U75" s="535">
        <f t="shared" si="30"/>
        <v>546840</v>
      </c>
      <c r="V75" s="535"/>
      <c r="W75" s="659"/>
      <c r="X75" s="659"/>
      <c r="Y75" s="659"/>
      <c r="Z75" s="659"/>
      <c r="AA75" s="457">
        <f t="shared" si="31"/>
        <v>4661160</v>
      </c>
      <c r="AB75" s="101">
        <f t="shared" si="18"/>
        <v>59</v>
      </c>
      <c r="AC75" s="102"/>
      <c r="AD75" s="255" t="s">
        <v>320</v>
      </c>
      <c r="AE75" s="120" t="str">
        <f>INDEX([4]T01!$G$14:$G$346,MATCH(B75,[4]T01!$D$14:$D$346,0))</f>
        <v>QTDV</v>
      </c>
      <c r="AF75" s="602"/>
      <c r="AG75" s="602"/>
      <c r="AH75" s="602"/>
      <c r="AI75" s="602"/>
      <c r="AJ75" s="602"/>
      <c r="AK75" s="602"/>
      <c r="AL75" s="602"/>
      <c r="AM75" s="602"/>
      <c r="AN75" s="602"/>
      <c r="AO75" s="602"/>
      <c r="AP75" s="602"/>
      <c r="AQ75" s="602"/>
      <c r="AR75" s="602"/>
      <c r="AS75" s="602"/>
    </row>
    <row r="76" spans="1:45" s="711" customFormat="1" ht="35.25" customHeight="1">
      <c r="A76" s="688">
        <f>_xlfn.AGGREGATE(4,7,A$12:A75)+1</f>
        <v>60</v>
      </c>
      <c r="B76" s="701" t="s">
        <v>530</v>
      </c>
      <c r="C76" s="702" t="s">
        <v>274</v>
      </c>
      <c r="D76" s="531"/>
      <c r="E76" s="703"/>
      <c r="F76" s="712"/>
      <c r="G76" s="447" t="s">
        <v>245</v>
      </c>
      <c r="H76" s="532">
        <v>1</v>
      </c>
      <c r="I76" s="533">
        <v>5307200</v>
      </c>
      <c r="J76" s="655"/>
      <c r="K76" s="704"/>
      <c r="L76" s="533">
        <f t="shared" si="12"/>
        <v>5307200</v>
      </c>
      <c r="M76" s="704"/>
      <c r="N76" s="533">
        <f>L76/26*M76</f>
        <v>0</v>
      </c>
      <c r="O76" s="704"/>
      <c r="P76" s="533">
        <f>L76-N76+O76</f>
        <v>5307200</v>
      </c>
      <c r="Q76" s="533">
        <f>L76*8%</f>
        <v>424576</v>
      </c>
      <c r="R76" s="535">
        <f>L76*1.5%</f>
        <v>79608</v>
      </c>
      <c r="S76" s="533">
        <f>L76*1%</f>
        <v>53072</v>
      </c>
      <c r="T76" s="705"/>
      <c r="U76" s="535">
        <f>SUM(Q76:T76)</f>
        <v>557256</v>
      </c>
      <c r="V76" s="705"/>
      <c r="W76" s="535"/>
      <c r="X76" s="536"/>
      <c r="Y76" s="535"/>
      <c r="Z76" s="535"/>
      <c r="AA76" s="457">
        <f>P76-U76+W76+Y76+Z76</f>
        <v>4749944</v>
      </c>
      <c r="AB76" s="537">
        <f t="shared" si="18"/>
        <v>60</v>
      </c>
      <c r="AC76" s="706"/>
      <c r="AD76" s="706" t="s">
        <v>531</v>
      </c>
      <c r="AE76" s="120" t="s">
        <v>463</v>
      </c>
      <c r="AF76" s="698"/>
      <c r="AG76" s="698"/>
      <c r="AH76" s="699"/>
      <c r="AI76" s="700"/>
    </row>
    <row r="77" spans="1:45" s="697" customFormat="1" ht="39" customHeight="1">
      <c r="A77" s="688">
        <f>_xlfn.AGGREGATE(4,7,A$12:A76)+1</f>
        <v>61</v>
      </c>
      <c r="B77" s="501" t="s">
        <v>254</v>
      </c>
      <c r="C77" s="112" t="s">
        <v>255</v>
      </c>
      <c r="D77" s="223"/>
      <c r="E77" s="223" t="str">
        <f>INDEX([3]SACOM!$C$7:$C$335,MATCH(B77,[3]SACOM!$B$7:$B$335,0))</f>
        <v>060310682015</v>
      </c>
      <c r="F77" s="455" t="str">
        <f>INDEX([3]SACOM!$C$7:$C$335,MATCH(B77,[3]SACOM!$B$7:$B$335,0))</f>
        <v>060310682015</v>
      </c>
      <c r="G77" s="454" t="s">
        <v>245</v>
      </c>
      <c r="H77" s="658">
        <v>8</v>
      </c>
      <c r="I77" s="533">
        <v>7467763</v>
      </c>
      <c r="J77" s="655"/>
      <c r="K77" s="533"/>
      <c r="L77" s="533">
        <f t="shared" si="12"/>
        <v>7467763</v>
      </c>
      <c r="M77" s="533"/>
      <c r="N77" s="533">
        <f>L77/26*M77</f>
        <v>0</v>
      </c>
      <c r="O77" s="533"/>
      <c r="P77" s="533">
        <f>L77-N77+O77</f>
        <v>7467763</v>
      </c>
      <c r="Q77" s="533">
        <f>L77*8%</f>
        <v>597421.04</v>
      </c>
      <c r="R77" s="535">
        <f>L77*1.5%</f>
        <v>112016.44499999999</v>
      </c>
      <c r="S77" s="533">
        <f>L77*1%</f>
        <v>74677.63</v>
      </c>
      <c r="T77" s="535"/>
      <c r="U77" s="535">
        <f>SUM(Q77:T77)</f>
        <v>784115.11499999999</v>
      </c>
      <c r="V77" s="535"/>
      <c r="W77" s="659"/>
      <c r="X77" s="659"/>
      <c r="Y77" s="659"/>
      <c r="Z77" s="659">
        <v>852000</v>
      </c>
      <c r="AA77" s="457">
        <f>P77-U77+W77+Y77+Z77</f>
        <v>7535647.8849999998</v>
      </c>
      <c r="AB77" s="101">
        <f t="shared" si="18"/>
        <v>61</v>
      </c>
      <c r="AC77" s="102"/>
      <c r="AD77" s="102"/>
      <c r="AE77" s="120" t="str">
        <f>INDEX([4]T01!$G$14:$G$346,MATCH(B77,[4]T01!$D$14:$D$346,0))</f>
        <v>TTYT</v>
      </c>
    </row>
    <row r="78" spans="1:45" s="720" customFormat="1" ht="39" customHeight="1">
      <c r="A78" s="688">
        <f>_xlfn.AGGREGATE(4,7,A$12:A77)+1</f>
        <v>62</v>
      </c>
      <c r="B78" s="701" t="s">
        <v>533</v>
      </c>
      <c r="C78" s="718" t="s">
        <v>371</v>
      </c>
      <c r="D78" s="611"/>
      <c r="E78" s="703"/>
      <c r="F78" s="712"/>
      <c r="G78" s="725" t="s">
        <v>245</v>
      </c>
      <c r="H78" s="724">
        <v>1</v>
      </c>
      <c r="I78" s="704">
        <v>5307200</v>
      </c>
      <c r="J78" s="655"/>
      <c r="K78" s="704"/>
      <c r="L78" s="533">
        <f t="shared" si="12"/>
        <v>5307200</v>
      </c>
      <c r="M78" s="704"/>
      <c r="N78" s="533">
        <f>L78/26*M78</f>
        <v>0</v>
      </c>
      <c r="O78" s="704"/>
      <c r="P78" s="533">
        <f>L78-N78+O78</f>
        <v>5307200</v>
      </c>
      <c r="Q78" s="533">
        <f>L78*8%</f>
        <v>424576</v>
      </c>
      <c r="R78" s="535">
        <f>L78*1.5%</f>
        <v>79608</v>
      </c>
      <c r="S78" s="533">
        <f>L78*1%</f>
        <v>53072</v>
      </c>
      <c r="T78" s="705"/>
      <c r="U78" s="535">
        <f>SUM(Q78:T78)</f>
        <v>557256</v>
      </c>
      <c r="V78" s="705"/>
      <c r="W78" s="668"/>
      <c r="X78" s="668"/>
      <c r="Y78" s="668"/>
      <c r="Z78" s="668"/>
      <c r="AA78" s="457">
        <f>P78-U78+W78+Y78+Z78</f>
        <v>4749944</v>
      </c>
      <c r="AB78" s="101">
        <f t="shared" si="18"/>
        <v>62</v>
      </c>
      <c r="AC78" s="120" t="s">
        <v>534</v>
      </c>
      <c r="AD78" s="120" t="s">
        <v>534</v>
      </c>
      <c r="AE78" s="719" t="s">
        <v>463</v>
      </c>
    </row>
    <row r="79" spans="1:45" s="720" customFormat="1" ht="39" customHeight="1">
      <c r="A79" s="713">
        <f>_xlfn.AGGREGATE(4,7,A$12:A78)+1</f>
        <v>63</v>
      </c>
      <c r="B79" s="726" t="s">
        <v>535</v>
      </c>
      <c r="C79" s="727" t="s">
        <v>187</v>
      </c>
      <c r="D79" s="728"/>
      <c r="E79" s="729"/>
      <c r="F79" s="730"/>
      <c r="G79" s="731" t="s">
        <v>245</v>
      </c>
      <c r="H79" s="732">
        <v>1</v>
      </c>
      <c r="I79" s="733">
        <v>5307200</v>
      </c>
      <c r="J79" s="734"/>
      <c r="K79" s="717"/>
      <c r="L79" s="714">
        <f t="shared" si="12"/>
        <v>5307200</v>
      </c>
      <c r="M79" s="717"/>
      <c r="N79" s="714">
        <f>L79/26*M79</f>
        <v>0</v>
      </c>
      <c r="O79" s="717"/>
      <c r="P79" s="714">
        <f>L79-N79+O79</f>
        <v>5307200</v>
      </c>
      <c r="Q79" s="714">
        <f>L79*8%</f>
        <v>424576</v>
      </c>
      <c r="R79" s="715">
        <f>L79*1.5%</f>
        <v>79608</v>
      </c>
      <c r="S79" s="714">
        <f>L79*1%</f>
        <v>53072</v>
      </c>
      <c r="T79" s="735"/>
      <c r="U79" s="715">
        <f>SUM(Q79:T79)</f>
        <v>557256</v>
      </c>
      <c r="V79" s="735"/>
      <c r="W79" s="736"/>
      <c r="X79" s="736"/>
      <c r="Y79" s="736"/>
      <c r="Z79" s="736"/>
      <c r="AA79" s="716">
        <f>P79-U79+W79+Y79+Z79</f>
        <v>4749944</v>
      </c>
      <c r="AB79" s="737"/>
      <c r="AC79" s="738" t="s">
        <v>536</v>
      </c>
      <c r="AD79" s="120" t="s">
        <v>536</v>
      </c>
      <c r="AE79" s="120" t="s">
        <v>453</v>
      </c>
    </row>
    <row r="80" spans="1:45" s="644" customFormat="1" ht="40.5" customHeight="1">
      <c r="A80" s="688">
        <f>_xlfn.AGGREGATE(4,7,A$12:A79)+1</f>
        <v>64</v>
      </c>
      <c r="B80" s="521" t="s">
        <v>412</v>
      </c>
      <c r="C80" s="549" t="s">
        <v>423</v>
      </c>
      <c r="D80" s="417"/>
      <c r="E80" s="611" t="str">
        <f>INDEX([3]SACOM!$C$7:$C$335,MATCH(B80,[3]SACOM!$B$7:$B$335,0))</f>
        <v>060310750916</v>
      </c>
      <c r="F80" s="455" t="str">
        <f>INDEX([3]SACOM!$C$7:$C$335,MATCH(B80,[3]SACOM!$B$7:$B$335,0))</f>
        <v>060310750916</v>
      </c>
      <c r="G80" s="522" t="s">
        <v>246</v>
      </c>
      <c r="H80" s="663">
        <v>1</v>
      </c>
      <c r="I80" s="664">
        <v>4960000</v>
      </c>
      <c r="J80" s="655"/>
      <c r="K80" s="664"/>
      <c r="L80" s="664">
        <f t="shared" si="12"/>
        <v>4960000</v>
      </c>
      <c r="M80" s="664"/>
      <c r="N80" s="664">
        <f t="shared" si="25"/>
        <v>0</v>
      </c>
      <c r="O80" s="664"/>
      <c r="P80" s="664">
        <f t="shared" si="26"/>
        <v>4960000</v>
      </c>
      <c r="Q80" s="664">
        <f t="shared" si="27"/>
        <v>396800</v>
      </c>
      <c r="R80" s="666">
        <f t="shared" si="28"/>
        <v>74400</v>
      </c>
      <c r="S80" s="664">
        <f t="shared" si="29"/>
        <v>49600</v>
      </c>
      <c r="T80" s="666"/>
      <c r="U80" s="666">
        <f t="shared" si="30"/>
        <v>520800</v>
      </c>
      <c r="V80" s="666"/>
      <c r="W80" s="666"/>
      <c r="X80" s="667"/>
      <c r="Y80" s="666"/>
      <c r="Z80" s="666"/>
      <c r="AA80" s="528">
        <f t="shared" si="31"/>
        <v>4439200</v>
      </c>
      <c r="AB80" s="529"/>
      <c r="AC80" s="120"/>
      <c r="AD80" s="120" t="s">
        <v>411</v>
      </c>
      <c r="AE80" s="120" t="str">
        <f>INDEX([4]T01!$G$14:$G$346,MATCH(B80,[4]T01!$D$14:$D$346,0))</f>
        <v>TTĐT</v>
      </c>
      <c r="AF80" s="682"/>
      <c r="AG80" s="682"/>
      <c r="AH80" s="682"/>
      <c r="AI80" s="682"/>
      <c r="AJ80" s="682"/>
      <c r="AK80" s="682"/>
      <c r="AL80" s="682"/>
      <c r="AM80" s="682"/>
      <c r="AN80" s="682"/>
      <c r="AO80" s="682"/>
      <c r="AP80" s="682"/>
      <c r="AQ80" s="682"/>
      <c r="AR80" s="682"/>
      <c r="AS80" s="682"/>
    </row>
    <row r="81" spans="1:45" ht="33" customHeight="1">
      <c r="A81" s="690"/>
      <c r="B81" s="638" t="s">
        <v>441</v>
      </c>
      <c r="C81" s="639"/>
      <c r="D81" s="639"/>
      <c r="E81" s="639"/>
      <c r="F81" s="639"/>
      <c r="G81" s="639"/>
      <c r="H81" s="639"/>
      <c r="I81" s="463">
        <f t="shared" ref="I81:R81" si="32">SUM(I52:I80)</f>
        <v>176392943</v>
      </c>
      <c r="J81" s="463">
        <f t="shared" si="32"/>
        <v>0.06</v>
      </c>
      <c r="K81" s="463">
        <f t="shared" si="32"/>
        <v>544626.78</v>
      </c>
      <c r="L81" s="463">
        <f t="shared" si="32"/>
        <v>176937570</v>
      </c>
      <c r="M81" s="463">
        <f t="shared" si="32"/>
        <v>0</v>
      </c>
      <c r="N81" s="463">
        <f t="shared" si="32"/>
        <v>0</v>
      </c>
      <c r="O81" s="463">
        <f t="shared" si="32"/>
        <v>0</v>
      </c>
      <c r="P81" s="463">
        <f t="shared" si="32"/>
        <v>176937570</v>
      </c>
      <c r="Q81" s="463">
        <f t="shared" si="32"/>
        <v>13634881.759999998</v>
      </c>
      <c r="R81" s="463">
        <f t="shared" si="32"/>
        <v>2556540.3299999996</v>
      </c>
      <c r="S81" s="463">
        <f t="shared" ref="S81:AA81" si="33">SUM(S52:S80)</f>
        <v>1704360.2199999997</v>
      </c>
      <c r="T81" s="463">
        <f t="shared" si="33"/>
        <v>0</v>
      </c>
      <c r="U81" s="463">
        <f t="shared" si="33"/>
        <v>17895782.310000002</v>
      </c>
      <c r="V81" s="463">
        <f t="shared" si="33"/>
        <v>0</v>
      </c>
      <c r="W81" s="463">
        <f t="shared" si="33"/>
        <v>0</v>
      </c>
      <c r="X81" s="463">
        <f t="shared" si="33"/>
        <v>0</v>
      </c>
      <c r="Y81" s="463">
        <f t="shared" si="33"/>
        <v>0</v>
      </c>
      <c r="Z81" s="463">
        <f t="shared" si="33"/>
        <v>852000</v>
      </c>
      <c r="AA81" s="463">
        <f t="shared" si="33"/>
        <v>159893787.69</v>
      </c>
      <c r="AB81" s="645"/>
      <c r="AC81" s="646"/>
      <c r="AD81" s="643"/>
      <c r="AE81" s="643"/>
    </row>
    <row r="82" spans="1:45" ht="44.25" customHeight="1">
      <c r="A82" s="600" t="s">
        <v>444</v>
      </c>
      <c r="B82" s="670" t="s">
        <v>442</v>
      </c>
      <c r="C82" s="671"/>
      <c r="D82" s="671"/>
      <c r="E82" s="671"/>
      <c r="F82" s="671"/>
      <c r="G82" s="671"/>
      <c r="H82" s="672"/>
      <c r="I82" s="460">
        <f t="shared" ref="I82:Z82" si="34">I81+I50</f>
        <v>419370897</v>
      </c>
      <c r="J82" s="460">
        <f t="shared" si="34"/>
        <v>0.16999999999999998</v>
      </c>
      <c r="K82" s="460">
        <f t="shared" si="34"/>
        <v>1859438.19</v>
      </c>
      <c r="L82" s="460">
        <f t="shared" si="34"/>
        <v>421230335</v>
      </c>
      <c r="M82" s="460">
        <f t="shared" si="34"/>
        <v>26</v>
      </c>
      <c r="N82" s="460">
        <f t="shared" si="34"/>
        <v>7964676</v>
      </c>
      <c r="O82" s="460">
        <f t="shared" si="34"/>
        <v>0</v>
      </c>
      <c r="P82" s="460">
        <f t="shared" si="34"/>
        <v>413265659</v>
      </c>
      <c r="Q82" s="460">
        <f>Q81+Q50+1</f>
        <v>31647460.280000005</v>
      </c>
      <c r="R82" s="460">
        <f>R81+R50-1</f>
        <v>5933897.6149999984</v>
      </c>
      <c r="S82" s="460">
        <f>S81+S50</f>
        <v>3955932.4100000006</v>
      </c>
      <c r="T82" s="460">
        <f t="shared" si="34"/>
        <v>0</v>
      </c>
      <c r="U82" s="460">
        <f>U81+U50</f>
        <v>41537290.305000007</v>
      </c>
      <c r="V82" s="460">
        <f t="shared" si="34"/>
        <v>0</v>
      </c>
      <c r="W82" s="460">
        <f t="shared" si="34"/>
        <v>0</v>
      </c>
      <c r="X82" s="460">
        <f t="shared" si="34"/>
        <v>0</v>
      </c>
      <c r="Y82" s="460">
        <f t="shared" si="34"/>
        <v>0</v>
      </c>
      <c r="Z82" s="460">
        <f t="shared" si="34"/>
        <v>852000</v>
      </c>
      <c r="AA82" s="460">
        <f>AA81+AA50</f>
        <v>372580368.69499993</v>
      </c>
      <c r="AB82" s="90"/>
      <c r="AC82" s="91"/>
      <c r="AD82" s="92"/>
      <c r="AE82" s="92"/>
    </row>
    <row r="83" spans="1:45" s="42" customFormat="1" ht="22.5" hidden="1" customHeight="1">
      <c r="A83" s="722"/>
      <c r="B83" s="521"/>
      <c r="C83" s="549"/>
      <c r="D83" s="162"/>
      <c r="E83" s="723"/>
      <c r="F83" s="724"/>
      <c r="G83" s="47"/>
      <c r="H83" s="721"/>
      <c r="I83" s="664"/>
      <c r="J83" s="665"/>
      <c r="K83" s="664"/>
      <c r="L83" s="664"/>
      <c r="M83" s="664"/>
      <c r="N83" s="664"/>
      <c r="O83" s="664"/>
      <c r="P83" s="664"/>
      <c r="Q83" s="664"/>
      <c r="R83" s="666"/>
      <c r="S83" s="664"/>
      <c r="T83" s="666"/>
      <c r="U83" s="666"/>
      <c r="V83" s="666"/>
      <c r="W83" s="344"/>
      <c r="X83" s="344"/>
      <c r="Y83" s="344"/>
      <c r="Z83" s="344"/>
      <c r="AA83" s="528">
        <f>SUBTOTAL(9,AA15:AA82)</f>
        <v>1117741106.0849998</v>
      </c>
      <c r="AB83" s="529"/>
      <c r="AC83" s="120"/>
      <c r="AD83" s="120"/>
      <c r="AE83" s="120"/>
    </row>
    <row r="84" spans="1:45" s="680" customFormat="1" ht="10.5" customHeight="1">
      <c r="A84" s="466"/>
      <c r="B84" s="467"/>
      <c r="C84" s="468"/>
      <c r="D84" s="468"/>
      <c r="E84" s="469"/>
      <c r="F84" s="469"/>
      <c r="G84" s="470"/>
      <c r="H84" s="471"/>
      <c r="I84" s="467"/>
      <c r="J84" s="471"/>
      <c r="K84" s="467"/>
      <c r="L84" s="467"/>
      <c r="M84" s="467"/>
      <c r="N84" s="467"/>
      <c r="O84" s="467"/>
      <c r="P84" s="467"/>
      <c r="Q84" s="472"/>
      <c r="R84" s="472"/>
      <c r="S84" s="472"/>
      <c r="T84" s="467"/>
      <c r="U84" s="472"/>
      <c r="V84" s="467"/>
      <c r="W84" s="467"/>
      <c r="X84" s="467"/>
      <c r="Y84" s="467"/>
      <c r="Z84" s="467"/>
      <c r="AA84" s="472"/>
      <c r="AB84" s="473"/>
      <c r="AC84" s="431"/>
      <c r="AD84" s="431"/>
      <c r="AE84" s="431"/>
    </row>
    <row r="85" spans="1:45" s="42" customFormat="1" ht="21.75" customHeight="1">
      <c r="A85" s="86"/>
      <c r="B85" s="675" t="s">
        <v>12</v>
      </c>
      <c r="C85" s="676" t="s">
        <v>550</v>
      </c>
      <c r="D85" s="676"/>
      <c r="E85" s="474"/>
      <c r="F85" s="474"/>
      <c r="G85" s="474"/>
      <c r="H85" s="474"/>
      <c r="I85" s="474"/>
      <c r="J85" s="677"/>
      <c r="K85" s="474"/>
      <c r="L85" s="474"/>
      <c r="M85" s="474"/>
      <c r="N85" s="474"/>
      <c r="O85" s="474"/>
      <c r="P85" s="474"/>
      <c r="Q85" s="474"/>
      <c r="R85" s="474"/>
      <c r="S85" s="678"/>
      <c r="T85" s="678"/>
      <c r="U85" s="678"/>
      <c r="V85" s="678"/>
      <c r="W85" s="678"/>
      <c r="X85" s="678"/>
      <c r="Y85" s="678"/>
      <c r="Z85" s="678"/>
      <c r="AA85" s="678"/>
      <c r="AB85" s="676"/>
      <c r="AC85" s="679"/>
      <c r="AD85" s="679"/>
      <c r="AE85" s="679"/>
    </row>
    <row r="86" spans="1:45" s="291" customFormat="1" ht="12" customHeight="1">
      <c r="A86" s="428"/>
      <c r="B86" s="560"/>
      <c r="C86" s="478"/>
      <c r="D86" s="478"/>
      <c r="E86" s="479"/>
      <c r="F86" s="479"/>
      <c r="G86" s="480"/>
      <c r="H86" s="480"/>
      <c r="I86" s="481"/>
      <c r="J86" s="481"/>
      <c r="K86" s="481"/>
      <c r="L86" s="481"/>
      <c r="M86" s="481"/>
      <c r="N86" s="481"/>
      <c r="O86" s="481"/>
      <c r="P86" s="481"/>
      <c r="Q86" s="481"/>
      <c r="R86" s="481"/>
      <c r="S86" s="481"/>
      <c r="T86" s="481"/>
      <c r="U86" s="481"/>
      <c r="V86" s="481"/>
      <c r="W86" s="481"/>
      <c r="X86" s="481"/>
      <c r="Y86" s="481"/>
      <c r="Z86" s="481"/>
      <c r="AA86" s="481"/>
      <c r="AB86" s="811"/>
      <c r="AC86" s="811"/>
      <c r="AD86" s="481"/>
      <c r="AE86" s="608"/>
      <c r="AF86" s="605"/>
      <c r="AG86" s="605"/>
      <c r="AH86" s="605"/>
      <c r="AI86" s="605"/>
      <c r="AJ86" s="605"/>
      <c r="AK86" s="605"/>
      <c r="AL86" s="605"/>
      <c r="AM86" s="605"/>
      <c r="AN86" s="605"/>
      <c r="AO86" s="605"/>
      <c r="AP86" s="605"/>
      <c r="AQ86" s="605"/>
      <c r="AR86" s="605"/>
      <c r="AS86" s="605"/>
    </row>
    <row r="87" spans="1:45" s="291" customFormat="1" ht="15.75" customHeight="1">
      <c r="B87" s="557"/>
      <c r="C87" s="488"/>
      <c r="D87" s="488"/>
      <c r="E87" s="489"/>
      <c r="F87" s="489"/>
      <c r="J87" s="490"/>
      <c r="S87" s="805" t="s">
        <v>549</v>
      </c>
      <c r="T87" s="805"/>
      <c r="U87" s="805"/>
      <c r="V87" s="805"/>
      <c r="W87" s="805"/>
      <c r="X87" s="805"/>
      <c r="Y87" s="805"/>
      <c r="Z87" s="805"/>
      <c r="AA87" s="805"/>
      <c r="AB87" s="805"/>
      <c r="AC87" s="805"/>
      <c r="AD87" s="806"/>
      <c r="AE87" s="607"/>
      <c r="AF87" s="605"/>
      <c r="AG87" s="605"/>
      <c r="AH87" s="605"/>
      <c r="AI87" s="605"/>
      <c r="AJ87" s="605"/>
      <c r="AK87" s="605"/>
      <c r="AL87" s="605"/>
      <c r="AM87" s="605"/>
      <c r="AN87" s="605"/>
      <c r="AO87" s="605"/>
      <c r="AP87" s="605"/>
      <c r="AQ87" s="605"/>
      <c r="AR87" s="605"/>
      <c r="AS87" s="605"/>
    </row>
    <row r="88" spans="1:45" s="291" customFormat="1" ht="15.75" customHeight="1">
      <c r="A88" s="803" t="s">
        <v>13</v>
      </c>
      <c r="B88" s="803"/>
      <c r="C88" s="803"/>
      <c r="D88" s="803"/>
      <c r="E88" s="803"/>
      <c r="F88" s="803"/>
      <c r="G88" s="803"/>
      <c r="H88" s="803"/>
      <c r="I88" s="803" t="s">
        <v>182</v>
      </c>
      <c r="J88" s="803"/>
      <c r="K88" s="803"/>
      <c r="L88" s="803"/>
      <c r="M88" s="803"/>
      <c r="N88" s="803"/>
      <c r="O88" s="803"/>
      <c r="P88" s="803"/>
      <c r="Q88" s="803"/>
      <c r="R88" s="803"/>
      <c r="S88" s="803" t="s">
        <v>14</v>
      </c>
      <c r="T88" s="803"/>
      <c r="U88" s="803"/>
      <c r="V88" s="803"/>
      <c r="W88" s="803"/>
      <c r="X88" s="803"/>
      <c r="Y88" s="803"/>
      <c r="Z88" s="803"/>
      <c r="AA88" s="803"/>
      <c r="AB88" s="803"/>
      <c r="AC88" s="803"/>
      <c r="AD88" s="807"/>
      <c r="AE88" s="607"/>
      <c r="AF88" s="605"/>
      <c r="AG88" s="605"/>
      <c r="AH88" s="605"/>
      <c r="AI88" s="605"/>
      <c r="AJ88" s="605"/>
      <c r="AK88" s="605"/>
      <c r="AL88" s="605"/>
      <c r="AM88" s="605"/>
      <c r="AN88" s="605"/>
      <c r="AO88" s="605"/>
      <c r="AP88" s="605"/>
      <c r="AQ88" s="605"/>
      <c r="AR88" s="605"/>
      <c r="AS88" s="605"/>
    </row>
    <row r="89" spans="1:45" s="291" customFormat="1" ht="15.75" customHeight="1">
      <c r="B89" s="559"/>
      <c r="C89" s="488"/>
      <c r="D89" s="488"/>
      <c r="E89" s="489"/>
      <c r="F89" s="489"/>
      <c r="I89" s="490"/>
      <c r="J89" s="490"/>
      <c r="K89" s="490"/>
      <c r="L89" s="490"/>
      <c r="M89" s="490"/>
      <c r="N89" s="490"/>
      <c r="O89" s="490"/>
      <c r="P89" s="490"/>
      <c r="Q89" s="493"/>
      <c r="R89" s="490"/>
      <c r="S89" s="490"/>
      <c r="T89" s="490"/>
      <c r="U89" s="490"/>
      <c r="V89" s="490"/>
      <c r="AB89" s="800"/>
      <c r="AC89" s="800"/>
      <c r="AD89" s="490"/>
      <c r="AE89" s="606"/>
      <c r="AF89" s="495"/>
      <c r="AG89" s="605"/>
      <c r="AH89" s="605"/>
      <c r="AI89" s="605"/>
      <c r="AJ89" s="605"/>
      <c r="AK89" s="605"/>
      <c r="AL89" s="605"/>
      <c r="AM89" s="605"/>
      <c r="AN89" s="605"/>
      <c r="AO89" s="605"/>
      <c r="AP89" s="605"/>
      <c r="AQ89" s="605"/>
      <c r="AR89" s="605"/>
      <c r="AS89" s="605"/>
    </row>
    <row r="90" spans="1:45" s="291" customFormat="1" ht="15.75" customHeight="1">
      <c r="B90" s="557"/>
      <c r="C90" s="488"/>
      <c r="D90" s="488"/>
      <c r="E90" s="489"/>
      <c r="F90" s="489"/>
      <c r="I90" s="490"/>
      <c r="J90" s="490"/>
      <c r="K90" s="490"/>
      <c r="L90" s="490"/>
      <c r="M90" s="490"/>
      <c r="N90" s="490"/>
      <c r="O90" s="490"/>
      <c r="P90" s="490"/>
      <c r="Q90" s="490"/>
      <c r="S90" s="494"/>
      <c r="T90" s="494"/>
      <c r="U90" s="494"/>
      <c r="V90" s="494"/>
      <c r="W90" s="494"/>
      <c r="X90" s="494"/>
      <c r="Y90" s="494"/>
      <c r="Z90" s="494"/>
      <c r="AA90" s="494"/>
      <c r="AB90" s="494"/>
      <c r="AC90" s="494"/>
      <c r="AD90" s="494"/>
      <c r="AE90" s="494"/>
      <c r="AF90" s="495"/>
      <c r="AG90" s="605"/>
      <c r="AH90" s="605"/>
      <c r="AI90" s="605"/>
      <c r="AJ90" s="605"/>
      <c r="AK90" s="605"/>
      <c r="AL90" s="605"/>
      <c r="AM90" s="605"/>
      <c r="AN90" s="605"/>
      <c r="AO90" s="605"/>
      <c r="AP90" s="605"/>
      <c r="AQ90" s="605"/>
      <c r="AR90" s="605"/>
      <c r="AS90" s="605"/>
    </row>
    <row r="91" spans="1:45" s="291" customFormat="1" ht="9.75" customHeight="1">
      <c r="C91" s="488"/>
      <c r="D91" s="488"/>
      <c r="E91" s="489"/>
      <c r="F91" s="489"/>
      <c r="I91" s="490"/>
      <c r="J91" s="490"/>
      <c r="K91" s="490"/>
      <c r="L91" s="490"/>
      <c r="M91" s="490"/>
      <c r="N91" s="490"/>
      <c r="O91" s="490"/>
      <c r="P91" s="490"/>
      <c r="Q91" s="490"/>
      <c r="R91" s="490"/>
      <c r="S91" s="490"/>
      <c r="T91" s="490"/>
      <c r="U91" s="490"/>
      <c r="V91" s="490"/>
      <c r="AC91" s="495"/>
      <c r="AD91" s="495"/>
      <c r="AE91" s="495"/>
      <c r="AF91" s="605"/>
      <c r="AG91" s="605"/>
      <c r="AH91" s="605"/>
      <c r="AI91" s="605"/>
      <c r="AJ91" s="605"/>
      <c r="AK91" s="605"/>
      <c r="AL91" s="605"/>
      <c r="AM91" s="605"/>
      <c r="AN91" s="605"/>
      <c r="AO91" s="605"/>
      <c r="AP91" s="605"/>
      <c r="AQ91" s="605"/>
      <c r="AR91" s="605"/>
      <c r="AS91" s="605"/>
    </row>
    <row r="92" spans="1:45" s="291" customFormat="1" ht="15.75" customHeight="1">
      <c r="B92" s="557"/>
      <c r="C92" s="488"/>
      <c r="D92" s="488"/>
      <c r="E92" s="489"/>
      <c r="F92" s="489"/>
      <c r="I92" s="490"/>
      <c r="J92" s="490"/>
      <c r="K92" s="490"/>
      <c r="L92" s="490"/>
      <c r="M92" s="490"/>
      <c r="N92" s="490"/>
      <c r="O92" s="490"/>
      <c r="P92" s="490"/>
      <c r="Q92" s="490"/>
      <c r="R92" s="490"/>
      <c r="S92" s="490"/>
      <c r="T92" s="490"/>
      <c r="U92" s="490"/>
      <c r="V92" s="490"/>
      <c r="AB92" s="800"/>
      <c r="AC92" s="800"/>
      <c r="AD92" s="490"/>
      <c r="AE92" s="606"/>
      <c r="AF92" s="605"/>
      <c r="AG92" s="605"/>
      <c r="AH92" s="605"/>
      <c r="AI92" s="605"/>
      <c r="AJ92" s="605"/>
      <c r="AK92" s="605"/>
      <c r="AL92" s="605"/>
      <c r="AM92" s="605"/>
      <c r="AN92" s="605"/>
      <c r="AO92" s="605"/>
      <c r="AP92" s="605"/>
      <c r="AQ92" s="605"/>
      <c r="AR92" s="605"/>
      <c r="AS92" s="605"/>
    </row>
    <row r="93" spans="1:45" s="291" customFormat="1" ht="15.75" customHeight="1">
      <c r="B93" s="557"/>
      <c r="C93" s="488"/>
      <c r="D93" s="488"/>
      <c r="E93" s="489"/>
      <c r="F93" s="489"/>
      <c r="I93" s="490"/>
      <c r="J93" s="490"/>
      <c r="K93" s="490"/>
      <c r="L93" s="490"/>
      <c r="M93" s="490"/>
      <c r="N93" s="490"/>
      <c r="O93" s="490"/>
      <c r="P93" s="490"/>
      <c r="Q93" s="490"/>
      <c r="R93" s="490"/>
      <c r="S93" s="490"/>
      <c r="T93" s="490"/>
      <c r="U93" s="490"/>
      <c r="V93" s="490"/>
      <c r="AB93" s="800"/>
      <c r="AC93" s="800"/>
      <c r="AD93" s="490"/>
      <c r="AE93" s="606"/>
      <c r="AF93" s="605"/>
      <c r="AG93" s="605"/>
      <c r="AH93" s="605"/>
      <c r="AI93" s="605"/>
      <c r="AJ93" s="605"/>
      <c r="AK93" s="605"/>
      <c r="AL93" s="605"/>
      <c r="AM93" s="605"/>
      <c r="AN93" s="605"/>
      <c r="AO93" s="605"/>
      <c r="AP93" s="605"/>
      <c r="AQ93" s="605"/>
      <c r="AR93" s="605"/>
      <c r="AS93" s="605"/>
    </row>
    <row r="94" spans="1:45" s="291" customFormat="1" ht="15.75" customHeight="1">
      <c r="B94" s="557"/>
      <c r="C94" s="488"/>
      <c r="D94" s="488"/>
      <c r="E94" s="489"/>
      <c r="F94" s="489"/>
      <c r="I94" s="490"/>
      <c r="J94" s="490"/>
      <c r="K94" s="490"/>
      <c r="L94" s="490"/>
      <c r="M94" s="490"/>
      <c r="N94" s="490"/>
      <c r="O94" s="490"/>
      <c r="P94" s="490"/>
      <c r="Q94" s="490"/>
      <c r="R94" s="490"/>
      <c r="S94" s="490"/>
      <c r="T94" s="490"/>
      <c r="U94" s="490"/>
      <c r="V94" s="490"/>
      <c r="AB94" s="800"/>
      <c r="AC94" s="800"/>
      <c r="AD94" s="490"/>
      <c r="AE94" s="606"/>
      <c r="AF94" s="605"/>
      <c r="AG94" s="605"/>
      <c r="AH94" s="605"/>
      <c r="AI94" s="605"/>
      <c r="AJ94" s="605"/>
      <c r="AK94" s="605"/>
      <c r="AL94" s="605"/>
      <c r="AM94" s="605"/>
      <c r="AN94" s="605"/>
      <c r="AO94" s="605"/>
      <c r="AP94" s="605"/>
      <c r="AQ94" s="605"/>
      <c r="AR94" s="605"/>
      <c r="AS94" s="605"/>
    </row>
    <row r="95" spans="1:45" s="42" customFormat="1" ht="15.75">
      <c r="A95" s="803" t="s">
        <v>225</v>
      </c>
      <c r="B95" s="803"/>
      <c r="C95" s="803"/>
      <c r="D95" s="803"/>
      <c r="E95" s="803"/>
      <c r="F95" s="803"/>
      <c r="G95" s="803"/>
      <c r="H95" s="803"/>
      <c r="I95" s="803" t="s">
        <v>122</v>
      </c>
      <c r="J95" s="803"/>
      <c r="K95" s="803"/>
      <c r="L95" s="803"/>
      <c r="M95" s="803"/>
      <c r="N95" s="803"/>
      <c r="O95" s="803"/>
      <c r="P95" s="803"/>
      <c r="Q95" s="803"/>
      <c r="R95" s="803"/>
      <c r="S95" s="803" t="s">
        <v>119</v>
      </c>
      <c r="T95" s="803"/>
      <c r="U95" s="803"/>
      <c r="V95" s="803"/>
      <c r="W95" s="803"/>
      <c r="X95" s="803"/>
      <c r="Y95" s="803"/>
      <c r="Z95" s="803"/>
      <c r="AA95" s="803"/>
      <c r="AB95" s="803"/>
      <c r="AC95" s="803"/>
      <c r="AD95" s="492"/>
      <c r="AE95" s="601"/>
    </row>
    <row r="96" spans="1:45" s="42" customFormat="1">
      <c r="A96" s="482"/>
      <c r="B96" s="483"/>
      <c r="C96" s="484"/>
      <c r="D96" s="484"/>
      <c r="E96" s="485"/>
      <c r="F96" s="485"/>
      <c r="G96" s="483"/>
      <c r="H96" s="483"/>
      <c r="I96" s="483"/>
      <c r="J96" s="486"/>
      <c r="K96" s="483"/>
      <c r="L96" s="483"/>
      <c r="M96" s="483"/>
      <c r="N96" s="483"/>
      <c r="O96" s="483"/>
      <c r="P96" s="483"/>
      <c r="Q96" s="483"/>
      <c r="R96" s="483"/>
      <c r="S96" s="483"/>
      <c r="T96" s="483"/>
      <c r="U96" s="483"/>
      <c r="V96" s="483"/>
      <c r="W96" s="483"/>
      <c r="X96" s="483"/>
      <c r="Y96" s="483"/>
      <c r="Z96" s="483"/>
      <c r="AA96" s="483"/>
      <c r="AB96" s="797"/>
      <c r="AC96" s="797"/>
      <c r="AD96" s="486"/>
      <c r="AE96" s="604"/>
    </row>
    <row r="97" spans="1:31" s="42" customFormat="1">
      <c r="A97" s="428"/>
      <c r="B97" s="558"/>
      <c r="C97" s="487"/>
      <c r="D97" s="487"/>
      <c r="E97" s="474"/>
      <c r="F97" s="474"/>
      <c r="G97" s="475"/>
      <c r="H97" s="475"/>
      <c r="I97" s="475"/>
      <c r="J97" s="476"/>
      <c r="K97" s="475"/>
      <c r="L97" s="475"/>
      <c r="M97" s="475"/>
      <c r="N97" s="475"/>
      <c r="O97" s="475"/>
      <c r="P97" s="475"/>
      <c r="Q97" s="475"/>
      <c r="R97" s="475"/>
      <c r="S97" s="475"/>
      <c r="T97" s="475"/>
      <c r="U97" s="475"/>
      <c r="V97" s="475"/>
      <c r="W97" s="475"/>
      <c r="X97" s="475"/>
      <c r="Y97" s="475"/>
      <c r="Z97" s="475"/>
      <c r="AA97" s="475"/>
      <c r="AB97" s="799"/>
      <c r="AC97" s="799"/>
      <c r="AD97" s="476"/>
      <c r="AE97" s="603"/>
    </row>
    <row r="98" spans="1:31">
      <c r="A98" s="428"/>
      <c r="B98" s="558"/>
      <c r="C98" s="487"/>
      <c r="D98" s="487"/>
      <c r="E98" s="474"/>
      <c r="F98" s="474"/>
      <c r="G98" s="475"/>
      <c r="H98" s="475"/>
      <c r="I98" s="475"/>
      <c r="J98" s="476"/>
      <c r="K98" s="475"/>
      <c r="L98" s="475"/>
      <c r="M98" s="475"/>
      <c r="N98" s="475"/>
      <c r="O98" s="475"/>
      <c r="P98" s="475"/>
      <c r="Q98" s="475"/>
      <c r="R98" s="475"/>
      <c r="S98" s="475"/>
      <c r="T98" s="475"/>
      <c r="U98" s="475"/>
      <c r="V98" s="475"/>
      <c r="W98" s="475"/>
      <c r="X98" s="475"/>
      <c r="Y98" s="475"/>
      <c r="Z98" s="475"/>
      <c r="AA98" s="475"/>
      <c r="AB98" s="799"/>
      <c r="AC98" s="799"/>
      <c r="AD98" s="476"/>
      <c r="AE98" s="603"/>
    </row>
    <row r="99" spans="1:31">
      <c r="A99" s="5"/>
      <c r="B99" s="556"/>
      <c r="AB99" s="748"/>
      <c r="AC99" s="748"/>
      <c r="AD99" s="45"/>
      <c r="AE99" s="595"/>
    </row>
    <row r="100" spans="1:31">
      <c r="A100" s="5"/>
      <c r="B100" s="556"/>
      <c r="AB100" s="748"/>
      <c r="AC100" s="748"/>
      <c r="AD100" s="45"/>
      <c r="AE100" s="595"/>
    </row>
    <row r="101" spans="1:31">
      <c r="A101" s="5"/>
      <c r="B101" s="556"/>
      <c r="AB101" s="748"/>
      <c r="AC101" s="748"/>
      <c r="AD101" s="45"/>
      <c r="AE101" s="595"/>
    </row>
    <row r="102" spans="1:31">
      <c r="A102" s="5"/>
      <c r="B102" s="556"/>
      <c r="AB102" s="748"/>
      <c r="AC102" s="748"/>
      <c r="AD102" s="45"/>
      <c r="AE102" s="595"/>
    </row>
    <row r="103" spans="1:31">
      <c r="A103" s="5"/>
      <c r="B103" s="556"/>
      <c r="AB103" s="748"/>
      <c r="AC103" s="748"/>
      <c r="AD103" s="45"/>
      <c r="AE103" s="595"/>
    </row>
    <row r="104" spans="1:31">
      <c r="A104" s="5"/>
      <c r="B104" s="556"/>
      <c r="AB104" s="748"/>
      <c r="AC104" s="748"/>
      <c r="AD104" s="45"/>
      <c r="AE104" s="595"/>
    </row>
    <row r="105" spans="1:31">
      <c r="A105" s="5"/>
      <c r="B105" s="556"/>
      <c r="AB105" s="748"/>
      <c r="AC105" s="748"/>
      <c r="AD105" s="45"/>
      <c r="AE105" s="595"/>
    </row>
    <row r="106" spans="1:31">
      <c r="A106" s="5"/>
      <c r="B106" s="556"/>
      <c r="AB106" s="748"/>
      <c r="AC106" s="748"/>
      <c r="AD106" s="45"/>
      <c r="AE106" s="595"/>
    </row>
    <row r="107" spans="1:31">
      <c r="A107" s="5"/>
      <c r="B107" s="556"/>
      <c r="AB107" s="748"/>
      <c r="AC107" s="748"/>
      <c r="AD107" s="45"/>
      <c r="AE107" s="595"/>
    </row>
    <row r="108" spans="1:31">
      <c r="A108" s="5"/>
      <c r="B108" s="556"/>
      <c r="AB108" s="748"/>
      <c r="AC108" s="748"/>
      <c r="AD108" s="45"/>
      <c r="AE108" s="595"/>
    </row>
    <row r="109" spans="1:31">
      <c r="A109" s="5"/>
      <c r="B109" s="556"/>
      <c r="AB109" s="748"/>
      <c r="AC109" s="748"/>
      <c r="AD109" s="45"/>
      <c r="AE109" s="595"/>
    </row>
    <row r="110" spans="1:31">
      <c r="A110" s="5"/>
      <c r="B110" s="556"/>
      <c r="AB110" s="748"/>
      <c r="AC110" s="748"/>
      <c r="AD110" s="45"/>
      <c r="AE110" s="595"/>
    </row>
    <row r="111" spans="1:31">
      <c r="A111" s="5"/>
      <c r="B111" s="556"/>
      <c r="AB111" s="748"/>
      <c r="AC111" s="748"/>
      <c r="AD111" s="45"/>
      <c r="AE111" s="595"/>
    </row>
    <row r="112" spans="1:31">
      <c r="A112" s="5"/>
      <c r="B112" s="556"/>
      <c r="AB112" s="748"/>
      <c r="AC112" s="748"/>
      <c r="AD112" s="45"/>
      <c r="AE112" s="595"/>
    </row>
    <row r="113" spans="1:31">
      <c r="A113" s="5"/>
      <c r="B113" s="556"/>
      <c r="AB113" s="748"/>
      <c r="AC113" s="748"/>
      <c r="AD113" s="45"/>
      <c r="AE113" s="595"/>
    </row>
  </sheetData>
  <mergeCells count="63">
    <mergeCell ref="A95:H95"/>
    <mergeCell ref="AB112:AC112"/>
    <mergeCell ref="AB113:AC113"/>
    <mergeCell ref="AB110:AC110"/>
    <mergeCell ref="AB111:AC111"/>
    <mergeCell ref="AB108:AC108"/>
    <mergeCell ref="AB109:AC109"/>
    <mergeCell ref="AB106:AC106"/>
    <mergeCell ref="AB107:AC107"/>
    <mergeCell ref="AB105:AC105"/>
    <mergeCell ref="AB104:AC104"/>
    <mergeCell ref="AB103:AC103"/>
    <mergeCell ref="AB102:AC102"/>
    <mergeCell ref="AB101:AC101"/>
    <mergeCell ref="AB100:AC100"/>
    <mergeCell ref="AB99:AC99"/>
    <mergeCell ref="AB98:AC98"/>
    <mergeCell ref="AB97:AC97"/>
    <mergeCell ref="AB96:AC96"/>
    <mergeCell ref="S95:AC95"/>
    <mergeCell ref="I95:R95"/>
    <mergeCell ref="AA10:AA11"/>
    <mergeCell ref="L10:L11"/>
    <mergeCell ref="H10:H11"/>
    <mergeCell ref="I10:I11"/>
    <mergeCell ref="AB10:AC11"/>
    <mergeCell ref="Z10:Z11"/>
    <mergeCell ref="AB92:AC92"/>
    <mergeCell ref="AB93:AC93"/>
    <mergeCell ref="AB89:AC89"/>
    <mergeCell ref="AB94:AC94"/>
    <mergeCell ref="I88:R88"/>
    <mergeCell ref="AD87:AD88"/>
    <mergeCell ref="S87:AC87"/>
    <mergeCell ref="S88:AC88"/>
    <mergeCell ref="A88:H88"/>
    <mergeCell ref="AB12:AC12"/>
    <mergeCell ref="AB86:AC86"/>
    <mergeCell ref="A10:A11"/>
    <mergeCell ref="B10:B11"/>
    <mergeCell ref="V10:W10"/>
    <mergeCell ref="X10:Y10"/>
    <mergeCell ref="Q10:U10"/>
    <mergeCell ref="M10:M11"/>
    <mergeCell ref="O10:O11"/>
    <mergeCell ref="D10:D11"/>
    <mergeCell ref="F10:F11"/>
    <mergeCell ref="N10:N11"/>
    <mergeCell ref="J10:J11"/>
    <mergeCell ref="K10:K11"/>
    <mergeCell ref="G10:G11"/>
    <mergeCell ref="C10:C11"/>
    <mergeCell ref="E10:E11"/>
    <mergeCell ref="P10:P11"/>
    <mergeCell ref="A1:H1"/>
    <mergeCell ref="A2:H2"/>
    <mergeCell ref="A5:AC5"/>
    <mergeCell ref="C8:H8"/>
    <mergeCell ref="AB3:AC3"/>
    <mergeCell ref="C7:H7"/>
    <mergeCell ref="Q3:AA3"/>
    <mergeCell ref="C6:H6"/>
    <mergeCell ref="A4:AC4"/>
  </mergeCells>
  <phoneticPr fontId="17" type="noConversion"/>
  <dataValidations count="1">
    <dataValidation type="list" allowBlank="1" showInputMessage="1" showErrorMessage="1" sqref="AH14 AH39">
      <formula1>#REF!</formula1>
    </dataValidation>
  </dataValidation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tableParts count="1">
    <tablePart r:id="rId4"/>
  </tableParts>
  <extLst>
    <ext xmlns:x15="http://schemas.microsoft.com/office/spreadsheetml/2010/11/main" uri="{3A4CF648-6AED-40f4-86FF-DC5316D8AED3}">
      <x14:slicerList xmlns:x14="http://schemas.microsoft.com/office/spreadsheetml/2009/9/main">
        <x14:slicer r:id="rId5"/>
      </x14:slicerList>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L35"/>
  <sheetViews>
    <sheetView zoomScale="110" zoomScaleNormal="110" workbookViewId="0">
      <selection activeCell="K18" sqref="K18"/>
    </sheetView>
  </sheetViews>
  <sheetFormatPr defaultRowHeight="15.75"/>
  <cols>
    <col min="1" max="1" width="4" customWidth="1"/>
    <col min="2" max="2" width="16.375" customWidth="1"/>
    <col min="3" max="3" width="19.25" customWidth="1"/>
    <col min="4" max="4" width="11.25" customWidth="1"/>
    <col min="5" max="5" width="6.875" customWidth="1"/>
    <col min="6" max="6" width="10" customWidth="1"/>
    <col min="7" max="7" width="6.75" customWidth="1"/>
    <col min="8" max="8" width="7.125" customWidth="1"/>
    <col min="9" max="9" width="9.5" customWidth="1"/>
    <col min="10" max="10" width="6.875" customWidth="1"/>
    <col min="11" max="11" width="35.875" customWidth="1"/>
  </cols>
  <sheetData>
    <row r="1" spans="1:12">
      <c r="A1" s="749" t="s">
        <v>79</v>
      </c>
      <c r="B1" s="749"/>
      <c r="C1" s="749"/>
      <c r="D1" s="749"/>
      <c r="E1" s="17"/>
      <c r="F1" s="751" t="s">
        <v>52</v>
      </c>
      <c r="G1" s="751"/>
      <c r="H1" s="751"/>
      <c r="I1" s="751"/>
      <c r="J1" s="751"/>
      <c r="K1" s="751"/>
      <c r="L1" s="5"/>
    </row>
    <row r="2" spans="1:12">
      <c r="A2" s="751" t="s">
        <v>184</v>
      </c>
      <c r="B2" s="751"/>
      <c r="C2" s="751"/>
      <c r="D2" s="751"/>
      <c r="E2" s="18"/>
      <c r="F2" s="822" t="s">
        <v>0</v>
      </c>
      <c r="G2" s="822"/>
      <c r="H2" s="822"/>
      <c r="I2" s="822"/>
      <c r="J2" s="822"/>
      <c r="K2" s="822"/>
      <c r="L2" s="5"/>
    </row>
    <row r="3" spans="1:12" ht="18.75" customHeight="1">
      <c r="A3" s="4"/>
      <c r="B3" s="4"/>
      <c r="C3" s="4"/>
      <c r="D3" s="4"/>
      <c r="E3" s="5"/>
      <c r="F3" s="4"/>
      <c r="G3" s="4"/>
      <c r="H3" s="4"/>
      <c r="I3" s="4"/>
      <c r="J3" s="4"/>
      <c r="K3" s="11"/>
      <c r="L3" s="5"/>
    </row>
    <row r="4" spans="1:12" ht="20.25" customHeight="1">
      <c r="A4" s="820" t="s">
        <v>547</v>
      </c>
      <c r="B4" s="820"/>
      <c r="C4" s="820"/>
      <c r="D4" s="820"/>
      <c r="E4" s="820"/>
      <c r="F4" s="820"/>
      <c r="G4" s="820"/>
      <c r="H4" s="820"/>
      <c r="I4" s="820"/>
      <c r="J4" s="820"/>
      <c r="K4" s="820"/>
      <c r="L4" s="818"/>
    </row>
    <row r="5" spans="1:12" ht="19.5" customHeight="1">
      <c r="A5" s="820" t="s">
        <v>445</v>
      </c>
      <c r="B5" s="820"/>
      <c r="C5" s="820"/>
      <c r="D5" s="820"/>
      <c r="E5" s="820"/>
      <c r="F5" s="820"/>
      <c r="G5" s="820"/>
      <c r="H5" s="820"/>
      <c r="I5" s="820"/>
      <c r="J5" s="820"/>
      <c r="K5" s="820"/>
      <c r="L5" s="818"/>
    </row>
    <row r="6" spans="1:12" ht="21.75" customHeight="1">
      <c r="A6" s="25"/>
      <c r="B6" s="25"/>
      <c r="C6" s="25"/>
      <c r="D6" s="25"/>
      <c r="E6" s="25"/>
      <c r="F6" s="25"/>
      <c r="G6" s="25"/>
      <c r="H6" s="25"/>
      <c r="I6" s="25"/>
      <c r="J6" s="25"/>
      <c r="K6" s="26"/>
      <c r="L6" s="5"/>
    </row>
    <row r="7" spans="1:12" s="38" customFormat="1" ht="18" customHeight="1">
      <c r="A7" s="819" t="s">
        <v>53</v>
      </c>
      <c r="B7" s="819" t="s">
        <v>50</v>
      </c>
      <c r="C7" s="819" t="s">
        <v>54</v>
      </c>
      <c r="D7" s="819" t="s">
        <v>4</v>
      </c>
      <c r="E7" s="819" t="s">
        <v>539</v>
      </c>
      <c r="F7" s="819"/>
      <c r="G7" s="819"/>
      <c r="H7" s="819" t="s">
        <v>548</v>
      </c>
      <c r="I7" s="819"/>
      <c r="J7" s="819"/>
      <c r="K7" s="821" t="s">
        <v>48</v>
      </c>
      <c r="L7" s="37"/>
    </row>
    <row r="8" spans="1:12" s="38" customFormat="1" ht="22.5" customHeight="1">
      <c r="A8" s="819"/>
      <c r="B8" s="819"/>
      <c r="C8" s="819"/>
      <c r="D8" s="819"/>
      <c r="E8" s="73" t="s">
        <v>41</v>
      </c>
      <c r="F8" s="74" t="s">
        <v>179</v>
      </c>
      <c r="G8" s="74" t="s">
        <v>178</v>
      </c>
      <c r="H8" s="73" t="s">
        <v>41</v>
      </c>
      <c r="I8" s="74" t="s">
        <v>179</v>
      </c>
      <c r="J8" s="74" t="s">
        <v>273</v>
      </c>
      <c r="K8" s="821"/>
      <c r="L8" s="39"/>
    </row>
    <row r="9" spans="1:12" s="78" customFormat="1" ht="65.25" customHeight="1">
      <c r="A9" s="221" t="s">
        <v>32</v>
      </c>
      <c r="B9" s="222" t="s">
        <v>135</v>
      </c>
      <c r="C9" s="210" t="s">
        <v>532</v>
      </c>
      <c r="D9" s="210" t="s">
        <v>375</v>
      </c>
      <c r="E9" s="221" t="s">
        <v>33</v>
      </c>
      <c r="F9" s="257">
        <v>7964676</v>
      </c>
      <c r="G9" s="210"/>
      <c r="H9" s="221" t="s">
        <v>33</v>
      </c>
      <c r="I9" s="257">
        <v>0</v>
      </c>
      <c r="J9" s="210"/>
      <c r="K9" s="225" t="s">
        <v>537</v>
      </c>
      <c r="L9" s="39"/>
    </row>
    <row r="10" spans="1:12" s="78" customFormat="1" ht="69.75" customHeight="1">
      <c r="A10" s="221" t="s">
        <v>33</v>
      </c>
      <c r="B10" s="222" t="s">
        <v>290</v>
      </c>
      <c r="C10" s="210" t="s">
        <v>545</v>
      </c>
      <c r="D10" s="210" t="s">
        <v>375</v>
      </c>
      <c r="E10" s="221" t="s">
        <v>40</v>
      </c>
      <c r="F10" s="256">
        <v>6076213</v>
      </c>
      <c r="G10" s="210"/>
      <c r="H10" s="221"/>
      <c r="I10" s="257"/>
      <c r="J10" s="210"/>
      <c r="K10" s="225" t="s">
        <v>546</v>
      </c>
      <c r="L10" s="39"/>
    </row>
    <row r="11" spans="1:12" s="442" customFormat="1" ht="10.5" customHeight="1">
      <c r="A11" s="695"/>
      <c r="B11" s="825"/>
      <c r="C11" s="825"/>
      <c r="D11" s="825"/>
      <c r="E11" s="825"/>
      <c r="F11" s="825"/>
      <c r="G11" s="825"/>
      <c r="H11" s="438"/>
      <c r="I11" s="439"/>
      <c r="J11" s="437"/>
      <c r="K11" s="440"/>
      <c r="L11" s="441"/>
    </row>
    <row r="12" spans="1:12" s="446" customFormat="1" ht="16.5" customHeight="1">
      <c r="A12" s="695"/>
      <c r="B12" s="824"/>
      <c r="C12" s="824"/>
      <c r="D12" s="824"/>
      <c r="E12" s="824"/>
      <c r="F12" s="443"/>
      <c r="G12" s="444"/>
      <c r="H12" s="823" t="s">
        <v>549</v>
      </c>
      <c r="I12" s="823"/>
      <c r="J12" s="823"/>
      <c r="K12" s="823"/>
      <c r="L12" s="445"/>
    </row>
    <row r="13" spans="1:12" ht="18" customHeight="1">
      <c r="A13" s="816" t="s">
        <v>57</v>
      </c>
      <c r="B13" s="816"/>
      <c r="C13" s="816"/>
      <c r="D13" s="816" t="s">
        <v>182</v>
      </c>
      <c r="E13" s="816"/>
      <c r="F13" s="816"/>
      <c r="G13" s="816"/>
      <c r="H13" s="816" t="s">
        <v>80</v>
      </c>
      <c r="I13" s="816"/>
      <c r="J13" s="816"/>
      <c r="K13" s="816"/>
      <c r="L13" s="2"/>
    </row>
    <row r="14" spans="1:12" ht="13.5" customHeight="1">
      <c r="A14" s="6"/>
      <c r="B14" s="14"/>
      <c r="C14" s="14"/>
      <c r="D14" s="14"/>
      <c r="E14" s="14"/>
      <c r="F14" s="14"/>
      <c r="G14" s="14"/>
      <c r="H14" s="14"/>
      <c r="I14" s="14"/>
      <c r="J14" s="14"/>
      <c r="K14" s="40"/>
      <c r="L14" s="8"/>
    </row>
    <row r="15" spans="1:12" ht="15.75" customHeight="1">
      <c r="A15" s="14"/>
      <c r="B15" s="14"/>
      <c r="C15" s="14"/>
      <c r="D15" s="14"/>
      <c r="E15" s="14"/>
      <c r="F15" s="14"/>
      <c r="G15" s="14"/>
      <c r="H15" s="14"/>
      <c r="I15" s="14"/>
      <c r="J15" s="14"/>
      <c r="K15" s="40"/>
      <c r="L15" s="5"/>
    </row>
    <row r="16" spans="1:12" ht="16.5" customHeight="1">
      <c r="A16" s="14"/>
      <c r="B16" s="14"/>
      <c r="C16" s="14"/>
      <c r="D16" s="14"/>
      <c r="E16" s="14"/>
      <c r="F16" s="14"/>
      <c r="G16" s="14"/>
      <c r="H16" s="14"/>
      <c r="I16" s="14"/>
      <c r="J16" s="14"/>
      <c r="K16" s="40"/>
      <c r="L16" s="5"/>
    </row>
    <row r="17" spans="1:12" ht="12" customHeight="1">
      <c r="A17" s="14"/>
      <c r="B17" s="14"/>
      <c r="C17" s="14"/>
      <c r="D17" s="14"/>
      <c r="E17" s="14"/>
      <c r="F17" s="14"/>
      <c r="G17" s="14"/>
      <c r="H17" s="14"/>
      <c r="I17" s="14"/>
      <c r="J17" s="14"/>
      <c r="K17" s="40"/>
      <c r="L17" s="5"/>
    </row>
    <row r="18" spans="1:12" ht="17.25" customHeight="1">
      <c r="A18" s="14"/>
      <c r="B18" s="14"/>
      <c r="C18" s="14"/>
      <c r="D18" s="14"/>
      <c r="E18" s="14"/>
      <c r="F18" s="14"/>
      <c r="G18" s="14"/>
      <c r="H18" s="14"/>
      <c r="I18" s="14"/>
      <c r="J18" s="14"/>
      <c r="K18" s="40"/>
      <c r="L18" s="5"/>
    </row>
    <row r="19" spans="1:12" s="57" customFormat="1">
      <c r="A19" s="816" t="s">
        <v>225</v>
      </c>
      <c r="B19" s="816"/>
      <c r="C19" s="816"/>
      <c r="D19" s="816" t="s">
        <v>122</v>
      </c>
      <c r="E19" s="816"/>
      <c r="F19" s="816"/>
      <c r="G19" s="816"/>
      <c r="H19" s="816" t="s">
        <v>119</v>
      </c>
      <c r="I19" s="816"/>
      <c r="J19" s="816"/>
      <c r="K19" s="816"/>
      <c r="L19" s="12"/>
    </row>
    <row r="20" spans="1:12" s="57" customFormat="1">
      <c r="A20" s="9"/>
      <c r="B20" s="9"/>
      <c r="C20" s="9"/>
      <c r="D20" s="9"/>
      <c r="E20" s="9"/>
      <c r="F20" s="9"/>
      <c r="G20" s="9"/>
      <c r="H20" s="9"/>
      <c r="I20" s="9"/>
      <c r="J20" s="9"/>
      <c r="K20" s="9"/>
      <c r="L20" s="12"/>
    </row>
    <row r="21" spans="1:12" s="57" customFormat="1">
      <c r="A21" s="9"/>
      <c r="B21" s="9"/>
      <c r="C21" s="9"/>
      <c r="D21" s="9"/>
      <c r="E21" s="9"/>
      <c r="F21" s="9"/>
      <c r="G21" s="9"/>
      <c r="H21" s="9"/>
      <c r="I21" s="9"/>
      <c r="J21" s="9"/>
      <c r="K21" s="9"/>
      <c r="L21" s="12"/>
    </row>
    <row r="22" spans="1:12" s="57" customFormat="1">
      <c r="A22" s="9"/>
      <c r="B22" s="9"/>
      <c r="C22" s="9"/>
      <c r="D22" s="9"/>
      <c r="E22" s="9"/>
      <c r="F22" s="9"/>
      <c r="G22" s="9"/>
      <c r="H22" s="9"/>
      <c r="I22" s="9"/>
      <c r="J22" s="9"/>
      <c r="K22" s="9"/>
      <c r="L22" s="12"/>
    </row>
    <row r="23" spans="1:12" s="57" customFormat="1">
      <c r="A23" s="9"/>
      <c r="B23" s="9"/>
      <c r="C23" s="9"/>
      <c r="D23" s="9"/>
      <c r="E23" s="9"/>
      <c r="F23" s="9"/>
      <c r="G23" s="9"/>
      <c r="H23" s="9"/>
      <c r="I23" s="9"/>
      <c r="J23" s="9"/>
      <c r="K23" s="9"/>
      <c r="L23" s="12"/>
    </row>
    <row r="24" spans="1:12" s="57" customFormat="1">
      <c r="A24" s="9"/>
      <c r="B24" s="9"/>
      <c r="C24" s="9"/>
      <c r="D24" s="9"/>
      <c r="E24" s="9"/>
      <c r="F24" s="9"/>
      <c r="G24" s="9"/>
      <c r="H24" s="9"/>
      <c r="I24" s="9"/>
      <c r="J24" s="9"/>
      <c r="K24" s="9"/>
      <c r="L24" s="12"/>
    </row>
    <row r="25" spans="1:12" s="57" customFormat="1">
      <c r="A25" s="9"/>
      <c r="B25" s="9"/>
      <c r="C25" s="9"/>
      <c r="D25" s="9"/>
      <c r="E25" s="9"/>
      <c r="F25" s="9"/>
      <c r="G25" s="9"/>
      <c r="H25" s="9"/>
      <c r="I25" s="9"/>
      <c r="J25" s="9"/>
      <c r="K25" s="9"/>
      <c r="L25" s="12"/>
    </row>
    <row r="26" spans="1:12" ht="16.5" customHeight="1">
      <c r="A26" s="817"/>
      <c r="B26" s="817"/>
      <c r="C26" s="817"/>
      <c r="D26" s="817"/>
      <c r="E26" s="817"/>
      <c r="F26" s="817"/>
      <c r="G26" s="817"/>
      <c r="H26" s="817"/>
      <c r="I26" s="14"/>
      <c r="J26" s="14"/>
      <c r="K26" s="14"/>
      <c r="L26" s="5"/>
    </row>
    <row r="27" spans="1:12">
      <c r="A27" s="8"/>
      <c r="B27" s="751"/>
      <c r="C27" s="751"/>
      <c r="D27" s="751"/>
      <c r="E27" s="751"/>
      <c r="F27" s="751"/>
      <c r="G27" s="751"/>
      <c r="H27" s="751"/>
      <c r="I27" s="5"/>
      <c r="J27" s="5"/>
      <c r="K27" s="2"/>
      <c r="L27" s="5"/>
    </row>
    <row r="28" spans="1:12">
      <c r="A28" s="5"/>
      <c r="B28" s="5"/>
      <c r="C28" s="5"/>
      <c r="D28" s="5"/>
      <c r="E28" s="5"/>
      <c r="F28" s="27"/>
      <c r="G28" s="27"/>
      <c r="H28" s="5"/>
      <c r="I28" s="5"/>
      <c r="J28" s="5"/>
      <c r="K28" s="2"/>
      <c r="L28" s="5"/>
    </row>
    <row r="29" spans="1:12">
      <c r="A29" s="5"/>
      <c r="B29" s="5"/>
      <c r="C29" s="5"/>
      <c r="D29" s="5"/>
      <c r="E29" s="5"/>
      <c r="F29" s="27"/>
      <c r="G29" s="27"/>
      <c r="H29" s="5"/>
      <c r="I29" s="5"/>
      <c r="J29" s="5"/>
      <c r="K29" s="2"/>
      <c r="L29" s="5"/>
    </row>
    <row r="30" spans="1:12">
      <c r="A30" s="5"/>
      <c r="B30" s="5"/>
      <c r="C30" s="5"/>
      <c r="D30" s="5"/>
      <c r="E30" s="5"/>
      <c r="F30" s="27"/>
      <c r="G30" s="27"/>
      <c r="H30" s="5"/>
      <c r="I30" s="5"/>
      <c r="J30" s="5"/>
      <c r="K30" s="2"/>
      <c r="L30" s="5"/>
    </row>
    <row r="31" spans="1:12">
      <c r="A31" s="5"/>
      <c r="B31" s="5"/>
      <c r="C31" s="5"/>
      <c r="D31" s="5"/>
      <c r="E31" s="5"/>
      <c r="F31" s="27"/>
      <c r="G31" s="27"/>
      <c r="H31" s="5"/>
      <c r="I31" s="5"/>
      <c r="J31" s="5"/>
      <c r="K31" s="2"/>
      <c r="L31" s="5"/>
    </row>
    <row r="32" spans="1:12">
      <c r="A32" s="5"/>
      <c r="B32" s="5"/>
      <c r="C32" s="5"/>
      <c r="D32" s="5"/>
      <c r="E32" s="5"/>
      <c r="F32" s="27"/>
      <c r="G32" s="27"/>
      <c r="H32" s="5"/>
      <c r="I32" s="5"/>
      <c r="J32" s="5"/>
      <c r="K32" s="2"/>
      <c r="L32" s="5"/>
    </row>
    <row r="33" spans="1:12">
      <c r="A33" s="28"/>
      <c r="B33" s="28"/>
      <c r="C33" s="28"/>
      <c r="D33" s="28"/>
      <c r="E33" s="28"/>
      <c r="F33" s="29"/>
      <c r="G33" s="29"/>
      <c r="H33" s="28"/>
      <c r="I33" s="28"/>
      <c r="J33" s="28"/>
      <c r="K33" s="28"/>
      <c r="L33" s="28"/>
    </row>
    <row r="34" spans="1:12">
      <c r="A34" s="14"/>
    </row>
    <row r="35" spans="1:12" ht="17.25">
      <c r="A35" s="1"/>
    </row>
  </sheetData>
  <mergeCells count="25">
    <mergeCell ref="F1:K1"/>
    <mergeCell ref="F2:K2"/>
    <mergeCell ref="A13:C13"/>
    <mergeCell ref="A7:A8"/>
    <mergeCell ref="H12:K12"/>
    <mergeCell ref="H13:K13"/>
    <mergeCell ref="A1:D1"/>
    <mergeCell ref="A2:D2"/>
    <mergeCell ref="B12:E12"/>
    <mergeCell ref="B11:G11"/>
    <mergeCell ref="L4:L5"/>
    <mergeCell ref="B7:B8"/>
    <mergeCell ref="C7:C8"/>
    <mergeCell ref="D7:D8"/>
    <mergeCell ref="A4:K4"/>
    <mergeCell ref="A5:K5"/>
    <mergeCell ref="K7:K8"/>
    <mergeCell ref="E7:G7"/>
    <mergeCell ref="H7:J7"/>
    <mergeCell ref="H19:K19"/>
    <mergeCell ref="D13:G13"/>
    <mergeCell ref="D19:G19"/>
    <mergeCell ref="A26:H26"/>
    <mergeCell ref="B27:H27"/>
    <mergeCell ref="A19:C19"/>
  </mergeCells>
  <phoneticPr fontId="17" type="noConversion"/>
  <printOptions horizontalCentered="1"/>
  <pageMargins left="0.25" right="0.16" top="0.4" bottom="0.2" header="0.11" footer="0.16"/>
  <pageSetup paperSize="9" orientation="landscape" r:id="rId1"/>
  <headerFooter alignWithMargins="0">
    <oddHeader xml:space="preserve">&amp;C
</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topLeftCell="A4" workbookViewId="0">
      <selection activeCell="E15" sqref="E15"/>
    </sheetView>
  </sheetViews>
  <sheetFormatPr defaultRowHeight="15.75"/>
  <cols>
    <col min="1" max="1" width="4.75" customWidth="1"/>
    <col min="2" max="2" width="6.875" customWidth="1"/>
    <col min="3" max="3" width="17.75" customWidth="1"/>
    <col min="4" max="4" width="21.875" customWidth="1"/>
    <col min="5" max="5" width="37.5" customWidth="1"/>
    <col min="6" max="6" width="8.375" bestFit="1" customWidth="1"/>
    <col min="7" max="7" width="10.125" bestFit="1" customWidth="1"/>
    <col min="8" max="8" width="10.25" bestFit="1" customWidth="1"/>
  </cols>
  <sheetData>
    <row r="1" spans="1:9">
      <c r="A1" s="826" t="s">
        <v>240</v>
      </c>
      <c r="B1" s="826"/>
      <c r="C1" s="826"/>
      <c r="D1" s="826"/>
    </row>
    <row r="2" spans="1:9">
      <c r="A2" s="751" t="s">
        <v>185</v>
      </c>
      <c r="B2" s="751"/>
      <c r="C2" s="751"/>
      <c r="D2" s="751"/>
      <c r="E2" s="8"/>
    </row>
    <row r="3" spans="1:9">
      <c r="A3" s="749"/>
      <c r="B3" s="749"/>
      <c r="C3" s="749"/>
      <c r="D3" s="4"/>
      <c r="E3" s="24"/>
    </row>
    <row r="4" spans="1:9" ht="16.5">
      <c r="A4" s="827" t="s">
        <v>192</v>
      </c>
      <c r="B4" s="827"/>
      <c r="C4" s="827"/>
      <c r="D4" s="827"/>
      <c r="E4" s="827"/>
    </row>
    <row r="5" spans="1:9" ht="16.5">
      <c r="A5" s="827" t="s">
        <v>354</v>
      </c>
      <c r="B5" s="827"/>
      <c r="C5" s="827"/>
      <c r="D5" s="827"/>
      <c r="E5" s="827"/>
    </row>
    <row r="6" spans="1:9" ht="18" customHeight="1">
      <c r="A6" s="5"/>
      <c r="B6" s="5" t="s">
        <v>180</v>
      </c>
      <c r="C6" s="5"/>
      <c r="D6" s="11"/>
      <c r="E6" s="10"/>
    </row>
    <row r="7" spans="1:9" s="220" customFormat="1" ht="21.75" customHeight="1">
      <c r="A7" s="219" t="s">
        <v>193</v>
      </c>
      <c r="B7" s="819" t="s">
        <v>194</v>
      </c>
      <c r="C7" s="819"/>
      <c r="D7" s="213" t="s">
        <v>351</v>
      </c>
      <c r="E7" s="20" t="s">
        <v>48</v>
      </c>
    </row>
    <row r="8" spans="1:9" ht="19.5" hidden="1" customHeight="1">
      <c r="A8" s="172"/>
      <c r="B8" s="173"/>
      <c r="C8" s="212">
        <v>1</v>
      </c>
      <c r="D8" s="179">
        <v>0</v>
      </c>
      <c r="E8" s="171"/>
      <c r="F8" s="176"/>
      <c r="G8" s="178"/>
      <c r="H8" s="177"/>
      <c r="I8" s="175"/>
    </row>
    <row r="9" spans="1:9" ht="19.5" hidden="1" customHeight="1">
      <c r="A9" s="172"/>
      <c r="B9" s="173"/>
      <c r="C9" s="212">
        <v>2.62</v>
      </c>
      <c r="D9" s="179">
        <v>0</v>
      </c>
      <c r="E9" s="171"/>
      <c r="F9" s="176"/>
      <c r="G9" s="178"/>
      <c r="H9" s="177"/>
      <c r="I9" s="175"/>
    </row>
    <row r="10" spans="1:9" ht="19.5" hidden="1" customHeight="1">
      <c r="A10" s="172"/>
      <c r="B10" s="173"/>
      <c r="C10" s="211">
        <v>2.2599999999999998</v>
      </c>
      <c r="D10" s="179">
        <v>0</v>
      </c>
      <c r="E10" s="171"/>
      <c r="F10" s="176"/>
      <c r="G10" s="178"/>
      <c r="H10" s="177"/>
      <c r="I10" s="175"/>
    </row>
    <row r="11" spans="1:9" ht="4.5" customHeight="1">
      <c r="A11" s="180"/>
      <c r="B11" s="181"/>
      <c r="C11" s="182"/>
      <c r="D11" s="167"/>
      <c r="E11" s="183"/>
    </row>
    <row r="12" spans="1:9" s="217" customFormat="1" ht="35.25" customHeight="1">
      <c r="A12" s="214">
        <v>1</v>
      </c>
      <c r="B12" s="832" t="s">
        <v>241</v>
      </c>
      <c r="C12" s="833"/>
      <c r="D12" s="215"/>
      <c r="E12" s="216"/>
      <c r="H12" s="218"/>
    </row>
    <row r="13" spans="1:9" ht="23.25" customHeight="1">
      <c r="A13" s="168"/>
      <c r="B13" s="169" t="s">
        <v>195</v>
      </c>
      <c r="C13" s="170"/>
      <c r="D13" s="184">
        <f>6036046</f>
        <v>6036046</v>
      </c>
      <c r="E13" s="185"/>
      <c r="H13" s="178"/>
    </row>
    <row r="14" spans="1:9" ht="23.25" customHeight="1">
      <c r="A14" s="172"/>
      <c r="B14" s="173" t="s">
        <v>196</v>
      </c>
      <c r="C14" s="174"/>
      <c r="D14" s="186">
        <f>D13*25.5/100</f>
        <v>1539191.73</v>
      </c>
      <c r="E14" s="187" t="s">
        <v>275</v>
      </c>
    </row>
    <row r="15" spans="1:9" ht="23.25" customHeight="1">
      <c r="A15" s="172"/>
      <c r="B15" s="173" t="s">
        <v>197</v>
      </c>
      <c r="C15" s="174"/>
      <c r="D15" s="186">
        <f>D13*4.5%</f>
        <v>271622.07</v>
      </c>
      <c r="E15" s="171"/>
    </row>
    <row r="16" spans="1:9" ht="23.25" customHeight="1">
      <c r="A16" s="190"/>
      <c r="B16" s="262" t="s">
        <v>198</v>
      </c>
      <c r="C16" s="263"/>
      <c r="D16" s="191">
        <f>D13*2/100-1</f>
        <v>120719.92</v>
      </c>
      <c r="E16" s="264"/>
      <c r="H16" s="188"/>
      <c r="I16" s="188"/>
    </row>
    <row r="17" spans="1:9" ht="23.25" customHeight="1">
      <c r="A17" s="156"/>
      <c r="B17" s="830" t="s">
        <v>199</v>
      </c>
      <c r="C17" s="831"/>
      <c r="D17" s="192">
        <f>SUM(D14:D16)</f>
        <v>1931533.72</v>
      </c>
      <c r="E17" s="265"/>
      <c r="G17" s="189"/>
      <c r="H17" s="175"/>
      <c r="I17" s="175"/>
    </row>
    <row r="18" spans="1:9" ht="6.75" customHeight="1">
      <c r="A18" s="180"/>
      <c r="B18" s="260"/>
      <c r="C18" s="182"/>
      <c r="D18" s="167"/>
      <c r="E18" s="261"/>
      <c r="G18" s="175"/>
      <c r="H18" s="175"/>
      <c r="I18" s="175"/>
    </row>
    <row r="19" spans="1:9" ht="5.25" customHeight="1">
      <c r="A19" s="12"/>
      <c r="B19" s="193"/>
      <c r="C19" s="193"/>
      <c r="D19" s="194"/>
      <c r="E19" s="195"/>
    </row>
    <row r="20" spans="1:9">
      <c r="A20" s="14"/>
      <c r="B20" s="196" t="s">
        <v>200</v>
      </c>
      <c r="C20" s="197" t="s">
        <v>317</v>
      </c>
      <c r="D20" s="197"/>
      <c r="E20" s="197"/>
    </row>
    <row r="21" spans="1:9" ht="14.25" customHeight="1">
      <c r="A21" s="14"/>
      <c r="B21" s="158"/>
      <c r="C21" s="158"/>
      <c r="D21" s="11"/>
      <c r="E21" s="33"/>
    </row>
    <row r="22" spans="1:9">
      <c r="A22" s="14"/>
      <c r="B22" s="158"/>
      <c r="C22" s="158"/>
      <c r="D22" s="828" t="s">
        <v>353</v>
      </c>
      <c r="E22" s="828"/>
    </row>
    <row r="23" spans="1:9" s="199" customFormat="1" ht="14.25">
      <c r="A23" s="829" t="s">
        <v>201</v>
      </c>
      <c r="B23" s="829"/>
      <c r="C23" s="829"/>
      <c r="D23" s="198" t="s">
        <v>182</v>
      </c>
      <c r="E23" s="198" t="s">
        <v>80</v>
      </c>
    </row>
    <row r="24" spans="1:9" ht="18.75" customHeight="1">
      <c r="A24" s="14"/>
      <c r="B24" s="14"/>
      <c r="C24" s="14"/>
      <c r="D24" s="9"/>
      <c r="E24" s="200"/>
    </row>
    <row r="25" spans="1:9" ht="14.25" customHeight="1">
      <c r="A25" s="14"/>
      <c r="B25" s="14"/>
      <c r="C25" s="14"/>
      <c r="D25" s="13"/>
      <c r="E25" s="200"/>
    </row>
    <row r="26" spans="1:9" ht="18.75" customHeight="1">
      <c r="A26" s="14"/>
      <c r="B26" s="14"/>
      <c r="C26" s="14"/>
      <c r="D26" s="13"/>
      <c r="E26" s="200"/>
    </row>
    <row r="27" spans="1:9" ht="12.75" customHeight="1">
      <c r="A27" s="14"/>
      <c r="B27" s="14"/>
      <c r="C27" s="14"/>
      <c r="D27" s="13"/>
      <c r="E27" s="200"/>
    </row>
    <row r="28" spans="1:9" ht="18.75" customHeight="1">
      <c r="A28" s="14"/>
      <c r="B28" s="14"/>
      <c r="C28" s="14"/>
      <c r="D28" s="13"/>
      <c r="E28" s="200"/>
    </row>
    <row r="29" spans="1:9">
      <c r="A29" s="816" t="s">
        <v>225</v>
      </c>
      <c r="B29" s="816"/>
      <c r="C29" s="816"/>
      <c r="D29" s="9" t="s">
        <v>122</v>
      </c>
      <c r="E29" s="9" t="s">
        <v>119</v>
      </c>
    </row>
    <row r="30" spans="1:9">
      <c r="A30" s="201" t="str">
        <f ca="1">CELL("filename")</f>
        <v xml:space="preserve">E:\DULIEUMAYCU\Quynh chung\Quynh Exel\2024\Luong\Tu co\[Luong T09-2024 (TC).xlsx]CN </v>
      </c>
      <c r="B30" s="201"/>
      <c r="C30" s="201"/>
      <c r="D30" s="201"/>
    </row>
  </sheetData>
  <mergeCells count="11">
    <mergeCell ref="D22:E22"/>
    <mergeCell ref="A23:C23"/>
    <mergeCell ref="A29:C29"/>
    <mergeCell ref="B17:C17"/>
    <mergeCell ref="B12:C12"/>
    <mergeCell ref="B7:C7"/>
    <mergeCell ref="A1:D1"/>
    <mergeCell ref="A2:D2"/>
    <mergeCell ref="A3:C3"/>
    <mergeCell ref="A4:E4"/>
    <mergeCell ref="A5:E5"/>
  </mergeCells>
  <pageMargins left="0.47" right="0.2" top="0.5" bottom="0.32" header="0.2" footer="0.2"/>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25"/>
  <sheetViews>
    <sheetView workbookViewId="0">
      <selection activeCell="J14" sqref="J14"/>
    </sheetView>
  </sheetViews>
  <sheetFormatPr defaultRowHeight="15.75"/>
  <cols>
    <col min="1" max="1" width="5.375" customWidth="1"/>
    <col min="2" max="2" width="14.625" customWidth="1"/>
    <col min="3" max="3" width="9.875" customWidth="1"/>
    <col min="4" max="4" width="9.5" customWidth="1"/>
    <col min="5" max="5" width="10.625" customWidth="1"/>
    <col min="6" max="6" width="7" customWidth="1"/>
    <col min="7" max="7" width="5.75" customWidth="1"/>
    <col min="8" max="8" width="11.375" customWidth="1"/>
    <col min="9" max="9" width="14.75" hidden="1" customWidth="1"/>
    <col min="10" max="10" width="7.125" customWidth="1"/>
    <col min="11" max="11" width="15" customWidth="1"/>
    <col min="12" max="12" width="9.25" customWidth="1"/>
    <col min="13" max="13" width="24.375" customWidth="1"/>
    <col min="14" max="14" width="12.25" customWidth="1"/>
    <col min="15" max="15" width="10" bestFit="1" customWidth="1"/>
  </cols>
  <sheetData>
    <row r="1" spans="1:15" ht="17.25">
      <c r="A1" s="826" t="s">
        <v>78</v>
      </c>
      <c r="B1" s="826"/>
      <c r="C1" s="826"/>
      <c r="D1" s="826"/>
      <c r="E1" s="751" t="s">
        <v>18</v>
      </c>
      <c r="F1" s="751"/>
      <c r="G1" s="751"/>
      <c r="H1" s="751"/>
      <c r="I1" s="751"/>
      <c r="J1" s="751"/>
      <c r="K1" s="751"/>
      <c r="L1" s="751"/>
      <c r="M1" s="751"/>
      <c r="N1" s="3"/>
    </row>
    <row r="2" spans="1:15" ht="17.25">
      <c r="A2" s="822" t="s">
        <v>186</v>
      </c>
      <c r="B2" s="822"/>
      <c r="C2" s="822"/>
      <c r="D2" s="822"/>
      <c r="E2" s="822" t="s">
        <v>19</v>
      </c>
      <c r="F2" s="822"/>
      <c r="G2" s="822"/>
      <c r="H2" s="822"/>
      <c r="I2" s="822"/>
      <c r="J2" s="822"/>
      <c r="K2" s="822"/>
      <c r="L2" s="822"/>
      <c r="M2" s="822"/>
      <c r="N2" s="3"/>
    </row>
    <row r="3" spans="1:15" ht="7.5" customHeight="1">
      <c r="A3" s="2"/>
      <c r="B3" s="2"/>
      <c r="C3" s="2"/>
      <c r="D3" s="2"/>
      <c r="E3" s="2"/>
      <c r="F3" s="2"/>
      <c r="G3" s="2"/>
      <c r="H3" s="2"/>
      <c r="I3" s="11"/>
      <c r="J3" s="11"/>
      <c r="K3" s="11"/>
      <c r="L3" s="11"/>
      <c r="M3" s="2"/>
      <c r="N3" s="3"/>
    </row>
    <row r="4" spans="1:15" ht="18.75">
      <c r="A4" s="795" t="s">
        <v>190</v>
      </c>
      <c r="B4" s="795"/>
      <c r="C4" s="795"/>
      <c r="D4" s="795"/>
      <c r="E4" s="795"/>
      <c r="F4" s="795"/>
      <c r="G4" s="795"/>
      <c r="H4" s="795"/>
      <c r="I4" s="795"/>
      <c r="J4" s="795"/>
      <c r="K4" s="795"/>
      <c r="L4" s="795"/>
      <c r="M4" s="795"/>
      <c r="N4" s="3"/>
    </row>
    <row r="5" spans="1:15" ht="18.75">
      <c r="A5" s="795" t="s">
        <v>541</v>
      </c>
      <c r="B5" s="795"/>
      <c r="C5" s="795"/>
      <c r="D5" s="795"/>
      <c r="E5" s="795"/>
      <c r="F5" s="795"/>
      <c r="G5" s="795"/>
      <c r="H5" s="795"/>
      <c r="I5" s="795"/>
      <c r="J5" s="795"/>
      <c r="K5" s="795"/>
      <c r="L5" s="795"/>
      <c r="M5" s="795"/>
      <c r="N5" s="3"/>
      <c r="O5" s="14"/>
    </row>
    <row r="6" spans="1:15" ht="13.5" customHeight="1">
      <c r="A6" s="9"/>
      <c r="B6" s="9"/>
      <c r="C6" s="9"/>
      <c r="D6" s="9"/>
      <c r="E6" s="9"/>
      <c r="F6" s="9"/>
      <c r="G6" s="9"/>
      <c r="H6" s="9"/>
      <c r="I6" s="9"/>
      <c r="J6" s="9"/>
      <c r="K6" s="9"/>
      <c r="L6" s="9"/>
      <c r="M6" s="2"/>
      <c r="N6" s="3"/>
    </row>
    <row r="7" spans="1:15" ht="16.5" customHeight="1">
      <c r="A7" s="9"/>
      <c r="B7" s="9"/>
      <c r="C7" s="9"/>
      <c r="D7" s="9"/>
      <c r="E7" s="9"/>
      <c r="F7" s="9"/>
      <c r="G7" s="9"/>
      <c r="H7" s="9"/>
      <c r="I7" s="9"/>
      <c r="J7" s="17" t="s">
        <v>228</v>
      </c>
      <c r="K7" s="17"/>
      <c r="L7" s="17"/>
      <c r="M7" s="17"/>
      <c r="N7" s="2"/>
    </row>
    <row r="8" spans="1:15">
      <c r="A8" s="13"/>
      <c r="B8" s="59"/>
      <c r="C8" s="13"/>
      <c r="D8" s="13"/>
      <c r="E8" s="13"/>
      <c r="F8" s="13"/>
      <c r="G8" s="13"/>
      <c r="H8" s="13"/>
      <c r="I8" s="13"/>
      <c r="J8" s="17" t="s">
        <v>16</v>
      </c>
      <c r="K8" s="17"/>
      <c r="L8" s="17"/>
      <c r="M8" s="17"/>
      <c r="N8" s="2"/>
    </row>
    <row r="9" spans="1:15">
      <c r="A9" s="2"/>
      <c r="B9" s="2"/>
      <c r="C9" s="2"/>
      <c r="D9" s="81">
        <v>1210000</v>
      </c>
      <c r="E9" s="2"/>
      <c r="F9" s="2"/>
      <c r="G9" s="2"/>
      <c r="H9" s="2"/>
      <c r="I9" s="11"/>
      <c r="J9" s="752" t="s">
        <v>1</v>
      </c>
      <c r="K9" s="752"/>
      <c r="L9" s="2"/>
      <c r="M9" s="2"/>
      <c r="N9" s="10"/>
    </row>
    <row r="10" spans="1:15" ht="4.5" customHeight="1">
      <c r="A10" s="2"/>
      <c r="B10" s="2"/>
      <c r="C10" s="2"/>
      <c r="D10" s="2"/>
      <c r="E10" s="2"/>
      <c r="F10" s="2"/>
      <c r="G10" s="2"/>
      <c r="H10" s="2"/>
      <c r="I10" s="11"/>
      <c r="J10" s="11"/>
      <c r="K10" s="12"/>
      <c r="L10" s="2"/>
      <c r="M10" s="2"/>
      <c r="N10" s="10"/>
    </row>
    <row r="11" spans="1:15" s="5" customFormat="1" ht="49.5" customHeight="1">
      <c r="A11" s="20" t="s">
        <v>2</v>
      </c>
      <c r="B11" s="21" t="s">
        <v>20</v>
      </c>
      <c r="C11" s="22" t="s">
        <v>21</v>
      </c>
      <c r="D11" s="22" t="s">
        <v>62</v>
      </c>
      <c r="E11" s="20" t="s">
        <v>4</v>
      </c>
      <c r="F11" s="20" t="s">
        <v>282</v>
      </c>
      <c r="G11" s="20" t="s">
        <v>294</v>
      </c>
      <c r="H11" s="20" t="s">
        <v>70</v>
      </c>
      <c r="I11" s="166" t="s">
        <v>61</v>
      </c>
      <c r="J11" s="20" t="s">
        <v>403</v>
      </c>
      <c r="K11" s="20" t="s">
        <v>71</v>
      </c>
      <c r="L11" s="20" t="s">
        <v>22</v>
      </c>
      <c r="M11" s="20" t="s">
        <v>48</v>
      </c>
      <c r="N11" s="23"/>
      <c r="O11" s="23"/>
    </row>
    <row r="12" spans="1:15" s="36" customFormat="1" ht="13.5" customHeight="1">
      <c r="A12" s="34" t="s">
        <v>46</v>
      </c>
      <c r="B12" s="837" t="s">
        <v>42</v>
      </c>
      <c r="C12" s="838"/>
      <c r="D12" s="76" t="s">
        <v>43</v>
      </c>
      <c r="E12" s="34" t="s">
        <v>44</v>
      </c>
      <c r="F12" s="34" t="s">
        <v>74</v>
      </c>
      <c r="G12" s="34"/>
      <c r="H12" s="268" t="s">
        <v>47</v>
      </c>
      <c r="I12" s="34" t="s">
        <v>47</v>
      </c>
      <c r="J12" s="34" t="s">
        <v>45</v>
      </c>
      <c r="K12" s="34" t="s">
        <v>407</v>
      </c>
      <c r="L12" s="34" t="s">
        <v>76</v>
      </c>
      <c r="M12" s="34" t="s">
        <v>158</v>
      </c>
      <c r="N12" s="35"/>
      <c r="O12" s="35"/>
    </row>
    <row r="13" spans="1:15" s="5" customFormat="1" ht="45" customHeight="1">
      <c r="A13" s="368" t="s">
        <v>32</v>
      </c>
      <c r="B13" s="372"/>
      <c r="C13" s="373"/>
      <c r="D13" s="374"/>
      <c r="E13" s="371" t="s">
        <v>375</v>
      </c>
      <c r="F13" s="369" t="s">
        <v>245</v>
      </c>
      <c r="G13" s="370">
        <v>1</v>
      </c>
      <c r="H13" s="122">
        <v>5307200</v>
      </c>
      <c r="I13" s="123"/>
      <c r="J13" s="422"/>
      <c r="K13" s="124">
        <f>H13/26*J13*85%</f>
        <v>0</v>
      </c>
      <c r="L13" s="121"/>
      <c r="M13" s="125" t="s">
        <v>542</v>
      </c>
      <c r="N13" s="23"/>
      <c r="O13" s="224"/>
    </row>
    <row r="14" spans="1:15" s="5" customFormat="1" ht="31.5" customHeight="1">
      <c r="A14" s="20"/>
      <c r="B14" s="835" t="s">
        <v>49</v>
      </c>
      <c r="C14" s="836"/>
      <c r="D14" s="22"/>
      <c r="E14" s="20"/>
      <c r="F14" s="154"/>
      <c r="G14" s="154">
        <f>SUM(G13:G13)</f>
        <v>1</v>
      </c>
      <c r="H14" s="329">
        <f>SUM(H13:H13)</f>
        <v>5307200</v>
      </c>
      <c r="I14" s="32" t="e">
        <f>SUM(#REF!)</f>
        <v>#REF!</v>
      </c>
      <c r="J14" s="330">
        <f>SUM(J13:J13)</f>
        <v>0</v>
      </c>
      <c r="K14" s="126">
        <f>SUM(K13:K13)</f>
        <v>0</v>
      </c>
      <c r="L14" s="31"/>
      <c r="M14" s="31"/>
      <c r="N14" s="23"/>
      <c r="O14" s="224"/>
    </row>
    <row r="15" spans="1:15" s="5" customFormat="1" ht="5.25" customHeight="1">
      <c r="I15" s="4"/>
      <c r="J15" s="4"/>
      <c r="K15" s="4"/>
      <c r="N15" s="7"/>
    </row>
    <row r="16" spans="1:15" s="5" customFormat="1" ht="18" customHeight="1">
      <c r="B16" s="41" t="s">
        <v>121</v>
      </c>
      <c r="C16" s="752" t="s">
        <v>543</v>
      </c>
      <c r="D16" s="752"/>
      <c r="E16" s="752"/>
      <c r="F16" s="752"/>
      <c r="G16" s="752"/>
      <c r="H16" s="752"/>
      <c r="I16" s="752"/>
      <c r="J16" s="752"/>
      <c r="K16" s="752"/>
      <c r="L16" s="752"/>
      <c r="M16" s="12"/>
    </row>
    <row r="17" spans="1:14" s="5" customFormat="1" ht="8.25" customHeight="1">
      <c r="B17" s="12"/>
      <c r="C17" s="12"/>
      <c r="D17" s="12"/>
      <c r="E17" s="12"/>
      <c r="F17" s="12"/>
      <c r="G17" s="12"/>
      <c r="H17" s="12"/>
      <c r="I17" s="8"/>
      <c r="J17" s="8"/>
      <c r="K17" s="8"/>
      <c r="L17" s="12"/>
      <c r="N17" s="7"/>
    </row>
    <row r="18" spans="1:14" s="5" customFormat="1">
      <c r="K18" s="834" t="s">
        <v>540</v>
      </c>
      <c r="L18" s="834"/>
      <c r="M18" s="834"/>
      <c r="N18" s="7"/>
    </row>
    <row r="19" spans="1:14" s="14" customFormat="1">
      <c r="A19" s="816" t="s">
        <v>13</v>
      </c>
      <c r="B19" s="816"/>
      <c r="C19" s="816"/>
      <c r="D19" s="816"/>
      <c r="E19" s="816"/>
      <c r="F19" s="816" t="s">
        <v>182</v>
      </c>
      <c r="G19" s="816"/>
      <c r="H19" s="816"/>
      <c r="I19" s="816"/>
      <c r="J19" s="816"/>
      <c r="K19" s="816" t="s">
        <v>14</v>
      </c>
      <c r="L19" s="816"/>
      <c r="M19" s="816"/>
      <c r="N19" s="33"/>
    </row>
    <row r="20" spans="1:14" s="5" customFormat="1" ht="22.5" customHeight="1">
      <c r="B20" s="4"/>
      <c r="I20" s="4"/>
      <c r="J20" s="4"/>
      <c r="K20" s="4"/>
      <c r="N20" s="7"/>
    </row>
    <row r="21" spans="1:14" ht="18.75" customHeight="1">
      <c r="A21" s="14"/>
      <c r="B21" s="14"/>
      <c r="C21" s="14"/>
      <c r="D21" s="14"/>
      <c r="E21" s="14"/>
      <c r="F21" s="14"/>
      <c r="G21" s="14"/>
      <c r="H21" s="14"/>
      <c r="I21" s="13"/>
      <c r="J21" s="13"/>
      <c r="K21" s="13"/>
      <c r="L21" s="14"/>
      <c r="M21" s="14"/>
      <c r="N21" s="10"/>
    </row>
    <row r="22" spans="1:14" ht="17.25" customHeight="1">
      <c r="A22" s="14"/>
      <c r="B22" s="14"/>
      <c r="C22" s="14"/>
      <c r="D22" s="14"/>
      <c r="E22" s="14"/>
      <c r="F22" s="14"/>
      <c r="G22" s="14"/>
      <c r="H22" s="14"/>
      <c r="I22" s="13"/>
      <c r="J22" s="13"/>
      <c r="K22" s="13"/>
      <c r="L22" s="14"/>
      <c r="M22" s="14"/>
      <c r="N22" s="10"/>
    </row>
    <row r="23" spans="1:14" ht="22.5" customHeight="1">
      <c r="A23" s="14"/>
      <c r="B23" s="14"/>
      <c r="C23" s="14"/>
      <c r="D23" s="14"/>
      <c r="E23" s="14"/>
      <c r="F23" s="14"/>
      <c r="G23" s="14"/>
      <c r="H23" s="14"/>
      <c r="I23" s="13"/>
      <c r="J23" s="13"/>
      <c r="K23" s="13"/>
      <c r="L23" s="14"/>
      <c r="M23" s="14"/>
      <c r="N23" s="10"/>
    </row>
    <row r="24" spans="1:14" s="158" customFormat="1">
      <c r="A24" s="816" t="s">
        <v>225</v>
      </c>
      <c r="B24" s="816"/>
      <c r="C24" s="816"/>
      <c r="D24" s="816"/>
      <c r="E24" s="816"/>
      <c r="F24" s="816" t="s">
        <v>122</v>
      </c>
      <c r="G24" s="816"/>
      <c r="H24" s="816"/>
      <c r="I24" s="816"/>
      <c r="J24" s="816"/>
      <c r="K24" s="816" t="s">
        <v>119</v>
      </c>
      <c r="L24" s="816"/>
      <c r="M24" s="816"/>
    </row>
    <row r="25" spans="1:14" ht="17.25">
      <c r="A25" s="1"/>
    </row>
  </sheetData>
  <mergeCells count="17">
    <mergeCell ref="A1:D1"/>
    <mergeCell ref="A2:D2"/>
    <mergeCell ref="E1:M1"/>
    <mergeCell ref="B14:C14"/>
    <mergeCell ref="B12:C12"/>
    <mergeCell ref="A4:M4"/>
    <mergeCell ref="A5:M5"/>
    <mergeCell ref="A24:E24"/>
    <mergeCell ref="F24:J24"/>
    <mergeCell ref="K24:M24"/>
    <mergeCell ref="E2:M2"/>
    <mergeCell ref="J9:K9"/>
    <mergeCell ref="A19:E19"/>
    <mergeCell ref="C16:L16"/>
    <mergeCell ref="K18:M18"/>
    <mergeCell ref="K19:M19"/>
    <mergeCell ref="F19:J19"/>
  </mergeCells>
  <phoneticPr fontId="17" type="noConversion"/>
  <pageMargins left="0.36" right="0.19" top="0.39" bottom="0.2" header="0.17" footer="0.17"/>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5"/>
  <sheetViews>
    <sheetView workbookViewId="0">
      <selection activeCell="I16" sqref="I16"/>
    </sheetView>
  </sheetViews>
  <sheetFormatPr defaultRowHeight="15"/>
  <cols>
    <col min="1" max="1" width="3.375" style="16" customWidth="1"/>
    <col min="2" max="2" width="15.375" style="44" customWidth="1"/>
    <col min="3" max="3" width="8.875" style="16" hidden="1" customWidth="1"/>
    <col min="4" max="4" width="11.25" style="165" customWidth="1"/>
    <col min="5" max="5" width="14.75" style="165" hidden="1" customWidth="1"/>
    <col min="6" max="6" width="17.125" style="205" hidden="1" customWidth="1"/>
    <col min="7" max="7" width="7.25" style="44" customWidth="1"/>
    <col min="8" max="8" width="6.625" style="44" customWidth="1"/>
    <col min="9" max="9" width="8.375" style="44" bestFit="1" customWidth="1"/>
    <col min="10" max="10" width="8.375" style="45" hidden="1" customWidth="1"/>
    <col min="11" max="12" width="8.375" style="44" customWidth="1"/>
    <col min="13" max="13" width="1.6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875" style="44" customWidth="1"/>
    <col min="23" max="23" width="5.625" style="44" customWidth="1"/>
    <col min="24" max="24" width="5.125" style="44" customWidth="1"/>
    <col min="25" max="25" width="6.125" style="44" customWidth="1"/>
    <col min="26" max="26" width="9.75" style="44" customWidth="1"/>
    <col min="27" max="27" width="2.5" style="44" customWidth="1"/>
    <col min="28" max="28" width="14.375" style="6" customWidth="1"/>
    <col min="29" max="29" width="20.25" style="6" customWidth="1"/>
    <col min="30" max="35" width="9" style="16"/>
    <col min="36" max="36" width="9" style="55"/>
    <col min="37" max="16384" width="9" style="16"/>
  </cols>
  <sheetData>
    <row r="1" spans="1:37" ht="16.5">
      <c r="A1" s="793" t="s">
        <v>78</v>
      </c>
      <c r="B1" s="793"/>
      <c r="C1" s="793"/>
      <c r="D1" s="793"/>
      <c r="E1" s="793"/>
      <c r="F1" s="793"/>
      <c r="G1" s="793"/>
      <c r="H1" s="793"/>
      <c r="I1" s="17"/>
      <c r="J1" s="8"/>
      <c r="K1" s="17"/>
      <c r="L1" s="17"/>
      <c r="M1" s="17"/>
      <c r="N1" s="17"/>
      <c r="O1" s="17"/>
      <c r="P1" s="17"/>
      <c r="Q1" s="17"/>
      <c r="R1" s="17"/>
      <c r="S1" s="17"/>
      <c r="T1" s="17"/>
      <c r="U1" s="17"/>
      <c r="V1" s="17"/>
      <c r="W1" s="17"/>
      <c r="X1" s="17"/>
      <c r="Y1" s="17"/>
      <c r="Z1" s="17"/>
      <c r="AA1" s="17"/>
      <c r="AB1" s="17"/>
      <c r="AC1" s="8"/>
      <c r="AD1" s="17"/>
      <c r="AE1" s="17"/>
      <c r="AF1" s="17"/>
      <c r="AG1" s="17"/>
      <c r="AH1" s="15"/>
    </row>
    <row r="2" spans="1:37" ht="16.5">
      <c r="A2" s="822" t="s">
        <v>185</v>
      </c>
      <c r="B2" s="822"/>
      <c r="C2" s="822"/>
      <c r="D2" s="822"/>
      <c r="E2" s="822"/>
      <c r="F2" s="822"/>
      <c r="G2" s="822"/>
      <c r="H2" s="822"/>
      <c r="I2" s="18"/>
      <c r="J2" s="24"/>
      <c r="K2" s="18"/>
      <c r="L2" s="18"/>
      <c r="M2" s="18"/>
      <c r="N2" s="18"/>
      <c r="O2" s="18"/>
      <c r="P2" s="18"/>
      <c r="Q2" s="18"/>
      <c r="R2" s="18"/>
      <c r="S2" s="18"/>
      <c r="T2" s="18"/>
      <c r="U2" s="18"/>
      <c r="V2" s="18"/>
      <c r="W2" s="18"/>
      <c r="X2" s="18"/>
      <c r="Y2" s="18"/>
      <c r="Z2" s="18"/>
      <c r="AA2" s="18"/>
      <c r="AB2" s="18"/>
      <c r="AC2" s="24"/>
      <c r="AD2" s="18"/>
      <c r="AE2" s="18"/>
      <c r="AF2" s="18"/>
      <c r="AG2" s="18"/>
      <c r="AH2" s="15"/>
    </row>
    <row r="3" spans="1:37" ht="20.25" customHeight="1">
      <c r="A3" s="4"/>
      <c r="B3" s="45"/>
      <c r="C3" s="749"/>
      <c r="D3" s="749"/>
      <c r="E3" s="4"/>
      <c r="F3" s="37"/>
      <c r="G3" s="4"/>
      <c r="H3" s="45"/>
      <c r="I3" s="45"/>
      <c r="K3" s="45"/>
      <c r="L3" s="45"/>
      <c r="M3" s="45"/>
      <c r="N3" s="45"/>
      <c r="O3" s="45"/>
      <c r="P3" s="45"/>
      <c r="Q3" s="748"/>
      <c r="R3" s="748"/>
      <c r="S3" s="748"/>
      <c r="T3" s="748"/>
      <c r="U3" s="748"/>
      <c r="V3" s="748"/>
      <c r="W3" s="748"/>
      <c r="X3" s="748"/>
      <c r="Y3" s="748"/>
      <c r="Z3" s="748"/>
      <c r="AA3" s="748"/>
      <c r="AB3" s="748"/>
      <c r="AC3" s="45"/>
      <c r="AD3" s="4"/>
      <c r="AE3" s="749"/>
      <c r="AF3" s="749"/>
      <c r="AG3" s="794"/>
      <c r="AH3" s="794"/>
    </row>
    <row r="4" spans="1:37" ht="22.5" customHeight="1">
      <c r="A4" s="795" t="s">
        <v>190</v>
      </c>
      <c r="B4" s="795"/>
      <c r="C4" s="795"/>
      <c r="D4" s="795"/>
      <c r="E4" s="795"/>
      <c r="F4" s="795"/>
      <c r="G4" s="795"/>
      <c r="H4" s="795"/>
      <c r="I4" s="795"/>
      <c r="J4" s="795"/>
      <c r="K4" s="795"/>
      <c r="L4" s="795"/>
      <c r="M4" s="795"/>
      <c r="N4" s="795"/>
      <c r="O4" s="795"/>
      <c r="P4" s="795"/>
      <c r="Q4" s="795"/>
      <c r="R4" s="795"/>
      <c r="S4" s="795"/>
      <c r="T4" s="795"/>
      <c r="U4" s="795"/>
      <c r="V4" s="795"/>
      <c r="W4" s="795"/>
      <c r="X4" s="795"/>
      <c r="Y4" s="795"/>
      <c r="Z4" s="795"/>
      <c r="AA4" s="795"/>
      <c r="AB4" s="795"/>
      <c r="AC4" s="72"/>
      <c r="AD4" s="17"/>
      <c r="AE4" s="17"/>
      <c r="AF4" s="17">
        <f>2.67*1150000*0.65</f>
        <v>1995825</v>
      </c>
      <c r="AG4" s="17"/>
      <c r="AH4" s="15"/>
    </row>
    <row r="5" spans="1:37" ht="22.5" customHeight="1">
      <c r="A5" s="795" t="s">
        <v>416</v>
      </c>
      <c r="B5" s="795"/>
      <c r="C5" s="795"/>
      <c r="D5" s="795"/>
      <c r="E5" s="795"/>
      <c r="F5" s="795"/>
      <c r="G5" s="795"/>
      <c r="H5" s="795"/>
      <c r="I5" s="795"/>
      <c r="J5" s="795"/>
      <c r="K5" s="795"/>
      <c r="L5" s="795"/>
      <c r="M5" s="795"/>
      <c r="N5" s="795"/>
      <c r="O5" s="795"/>
      <c r="P5" s="795"/>
      <c r="Q5" s="795"/>
      <c r="R5" s="795"/>
      <c r="S5" s="795"/>
      <c r="T5" s="795"/>
      <c r="U5" s="795"/>
      <c r="V5" s="795"/>
      <c r="W5" s="795"/>
      <c r="X5" s="795"/>
      <c r="Y5" s="795"/>
      <c r="Z5" s="795"/>
      <c r="AA5" s="795"/>
      <c r="AB5" s="795"/>
      <c r="AC5" s="72"/>
      <c r="AD5" s="17"/>
      <c r="AE5" s="17"/>
      <c r="AF5" s="17"/>
      <c r="AG5" s="17"/>
      <c r="AH5" s="15"/>
    </row>
    <row r="6" spans="1:37" ht="18" customHeight="1">
      <c r="A6" s="8"/>
      <c r="B6" s="50"/>
      <c r="C6" s="8" t="s">
        <v>86</v>
      </c>
      <c r="D6" s="761"/>
      <c r="E6" s="761"/>
      <c r="F6" s="761"/>
      <c r="G6" s="761"/>
      <c r="H6" s="761"/>
      <c r="Q6" s="48" t="s">
        <v>228</v>
      </c>
      <c r="R6" s="48"/>
      <c r="S6" s="48"/>
      <c r="T6" s="48"/>
      <c r="U6" s="48"/>
      <c r="V6" s="48"/>
      <c r="W6" s="48"/>
      <c r="X6" s="48"/>
      <c r="Y6" s="48"/>
      <c r="Z6" s="48"/>
      <c r="AA6" s="48"/>
      <c r="AB6" s="67"/>
      <c r="AC6" s="67"/>
      <c r="AD6" s="17" t="s">
        <v>17</v>
      </c>
      <c r="AE6" s="17"/>
      <c r="AF6" s="17">
        <f>3*1150000</f>
        <v>3450000</v>
      </c>
      <c r="AG6" s="17">
        <f>2.67*1150000</f>
        <v>3070500</v>
      </c>
      <c r="AH6" s="17"/>
    </row>
    <row r="7" spans="1:37">
      <c r="A7" s="8"/>
      <c r="B7" s="146">
        <v>1490000</v>
      </c>
      <c r="C7" s="77">
        <v>1150000</v>
      </c>
      <c r="D7" s="761"/>
      <c r="E7" s="761"/>
      <c r="F7" s="761"/>
      <c r="G7" s="761"/>
      <c r="H7" s="761"/>
      <c r="I7" s="48"/>
      <c r="J7" s="50"/>
      <c r="K7" s="48"/>
      <c r="L7" s="48"/>
      <c r="M7" s="48"/>
      <c r="N7" s="48"/>
      <c r="O7" s="48"/>
      <c r="P7" s="48"/>
      <c r="Q7" s="48" t="s">
        <v>16</v>
      </c>
      <c r="R7" s="48"/>
      <c r="S7" s="48"/>
      <c r="T7" s="48"/>
      <c r="U7" s="48"/>
      <c r="V7" s="48"/>
      <c r="W7" s="48"/>
      <c r="X7" s="48"/>
      <c r="Y7" s="48"/>
      <c r="Z7" s="48"/>
      <c r="AA7" s="48"/>
      <c r="AD7" s="17"/>
      <c r="AE7" s="17"/>
      <c r="AF7" s="17">
        <f>AF6*10.5%</f>
        <v>362250</v>
      </c>
      <c r="AG7" s="17">
        <f>AG6*10.5%</f>
        <v>322402.5</v>
      </c>
      <c r="AH7" s="17"/>
    </row>
    <row r="8" spans="1:37">
      <c r="A8" s="8"/>
      <c r="B8" s="50"/>
      <c r="C8" s="8"/>
      <c r="D8" s="788"/>
      <c r="E8" s="788"/>
      <c r="F8" s="788"/>
      <c r="G8" s="788"/>
      <c r="H8" s="788"/>
      <c r="I8" s="52"/>
      <c r="J8" s="46"/>
      <c r="K8" s="52"/>
      <c r="L8" s="52"/>
      <c r="M8" s="52"/>
      <c r="N8" s="52"/>
      <c r="O8" s="52"/>
      <c r="P8" s="52"/>
      <c r="Q8" s="52" t="s">
        <v>1</v>
      </c>
      <c r="R8" s="52"/>
      <c r="S8" s="52"/>
      <c r="T8" s="52"/>
      <c r="U8" s="52"/>
      <c r="V8" s="52"/>
      <c r="W8" s="52"/>
      <c r="X8" s="52"/>
      <c r="Y8" s="52"/>
      <c r="Z8" s="52"/>
      <c r="AA8" s="52"/>
      <c r="AB8" s="66"/>
      <c r="AC8" s="66"/>
      <c r="AD8" s="17"/>
      <c r="AE8" s="17"/>
      <c r="AF8" s="16">
        <f>AF6-AF7</f>
        <v>3087750</v>
      </c>
      <c r="AG8" s="16">
        <f>AG6-AG7</f>
        <v>2748097.5</v>
      </c>
      <c r="AJ8" s="56"/>
    </row>
    <row r="9" spans="1:37" ht="12.75" customHeight="1">
      <c r="A9" s="8"/>
      <c r="B9" s="50"/>
      <c r="C9" s="8"/>
      <c r="D9" s="160"/>
      <c r="E9" s="160"/>
      <c r="F9" s="203"/>
      <c r="G9" s="46"/>
      <c r="H9" s="46"/>
      <c r="I9" s="52"/>
      <c r="J9" s="46"/>
      <c r="K9" s="52"/>
      <c r="L9" s="52"/>
      <c r="M9" s="52"/>
      <c r="N9" s="52"/>
      <c r="O9" s="52"/>
      <c r="P9" s="52"/>
      <c r="Q9" s="48"/>
      <c r="R9" s="48"/>
      <c r="S9" s="48"/>
      <c r="T9" s="48"/>
      <c r="U9" s="48"/>
      <c r="V9" s="48"/>
      <c r="W9" s="48"/>
      <c r="X9" s="48"/>
      <c r="Y9" s="48"/>
      <c r="Z9" s="48"/>
      <c r="AA9" s="53"/>
      <c r="AD9" s="17"/>
      <c r="AE9" s="17"/>
      <c r="AF9" s="16">
        <f>AF6*0.65</f>
        <v>2242500</v>
      </c>
      <c r="AG9" s="16">
        <f>AG6*0.65</f>
        <v>1995825</v>
      </c>
      <c r="AJ9" s="56"/>
    </row>
    <row r="10" spans="1:37" s="43" customFormat="1" ht="27.75" customHeight="1">
      <c r="A10" s="789" t="s">
        <v>2</v>
      </c>
      <c r="B10" s="789" t="s">
        <v>3</v>
      </c>
      <c r="C10" s="789"/>
      <c r="D10" s="790" t="s">
        <v>51</v>
      </c>
      <c r="E10" s="786" t="s">
        <v>235</v>
      </c>
      <c r="F10" s="791" t="s">
        <v>15</v>
      </c>
      <c r="G10" s="773" t="s">
        <v>129</v>
      </c>
      <c r="H10" s="786" t="s">
        <v>270</v>
      </c>
      <c r="I10" s="782" t="s">
        <v>179</v>
      </c>
      <c r="J10" s="782" t="s">
        <v>266</v>
      </c>
      <c r="K10" s="782" t="s">
        <v>267</v>
      </c>
      <c r="L10" s="782" t="s">
        <v>169</v>
      </c>
      <c r="M10" s="784"/>
      <c r="N10" s="786" t="s">
        <v>147</v>
      </c>
      <c r="O10" s="786" t="s">
        <v>148</v>
      </c>
      <c r="P10" s="773" t="s">
        <v>149</v>
      </c>
      <c r="Q10" s="766" t="s">
        <v>67</v>
      </c>
      <c r="R10" s="767"/>
      <c r="S10" s="767"/>
      <c r="T10" s="767"/>
      <c r="U10" s="768"/>
      <c r="V10" s="769" t="s">
        <v>167</v>
      </c>
      <c r="W10" s="770"/>
      <c r="X10" s="769" t="s">
        <v>168</v>
      </c>
      <c r="Y10" s="770"/>
      <c r="Z10" s="773" t="s">
        <v>153</v>
      </c>
      <c r="AA10" s="775" t="s">
        <v>5</v>
      </c>
      <c r="AB10" s="776"/>
      <c r="AC10" s="84"/>
      <c r="AD10" s="85"/>
      <c r="AE10" s="86"/>
      <c r="AF10" s="86">
        <f>AF9+AF8</f>
        <v>5330250</v>
      </c>
      <c r="AG10" s="86">
        <f>AG9+AG8</f>
        <v>4743922.5</v>
      </c>
      <c r="AH10" s="86"/>
      <c r="AI10" s="779"/>
      <c r="AJ10" s="87"/>
      <c r="AK10" s="79"/>
    </row>
    <row r="11" spans="1:37" s="43" customFormat="1" ht="41.25" customHeight="1">
      <c r="A11" s="789"/>
      <c r="B11" s="789"/>
      <c r="C11" s="789"/>
      <c r="D11" s="790"/>
      <c r="E11" s="787"/>
      <c r="F11" s="792"/>
      <c r="G11" s="774"/>
      <c r="H11" s="787"/>
      <c r="I11" s="783"/>
      <c r="J11" s="783"/>
      <c r="K11" s="783"/>
      <c r="L11" s="783"/>
      <c r="M11" s="785"/>
      <c r="N11" s="787"/>
      <c r="O11" s="787"/>
      <c r="P11" s="774"/>
      <c r="Q11" s="140" t="s">
        <v>113</v>
      </c>
      <c r="R11" s="140" t="s">
        <v>68</v>
      </c>
      <c r="S11" s="140" t="s">
        <v>60</v>
      </c>
      <c r="T11" s="138" t="s">
        <v>150</v>
      </c>
      <c r="U11" s="138" t="s">
        <v>151</v>
      </c>
      <c r="V11" s="138" t="s">
        <v>84</v>
      </c>
      <c r="W11" s="150" t="s">
        <v>169</v>
      </c>
      <c r="X11" s="138" t="s">
        <v>84</v>
      </c>
      <c r="Y11" s="150" t="s">
        <v>169</v>
      </c>
      <c r="Z11" s="774"/>
      <c r="AA11" s="777"/>
      <c r="AB11" s="778"/>
      <c r="AC11" s="84"/>
      <c r="AD11" s="85"/>
      <c r="AE11" s="86"/>
      <c r="AF11" s="86">
        <f>AF10+750000</f>
        <v>6080250</v>
      </c>
      <c r="AG11" s="86">
        <f>AG10+750000</f>
        <v>5493922.5</v>
      </c>
      <c r="AH11" s="86"/>
      <c r="AI11" s="779"/>
      <c r="AJ11" s="87"/>
      <c r="AK11" s="79"/>
    </row>
    <row r="12" spans="1:37"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254" t="s">
        <v>177</v>
      </c>
      <c r="AA12" s="780" t="s">
        <v>171</v>
      </c>
      <c r="AB12" s="781"/>
      <c r="AC12" s="84"/>
      <c r="AD12" s="147"/>
      <c r="AE12" s="86"/>
      <c r="AF12" s="86"/>
      <c r="AG12" s="86"/>
      <c r="AH12" s="86"/>
      <c r="AI12" s="141"/>
      <c r="AJ12" s="87"/>
      <c r="AK12" s="79"/>
    </row>
    <row r="13" spans="1:37" s="104" customFormat="1" ht="36" customHeight="1">
      <c r="A13" s="129" t="s">
        <v>32</v>
      </c>
      <c r="B13" s="311"/>
      <c r="C13" s="130"/>
      <c r="D13" s="229" t="s">
        <v>375</v>
      </c>
      <c r="E13" s="312"/>
      <c r="F13" s="313"/>
      <c r="G13" s="314" t="s">
        <v>246</v>
      </c>
      <c r="H13" s="315">
        <v>1</v>
      </c>
      <c r="I13" s="131">
        <v>0</v>
      </c>
      <c r="J13" s="237"/>
      <c r="K13" s="131"/>
      <c r="L13" s="131">
        <f>ROUND(I13+K13,0)</f>
        <v>0</v>
      </c>
      <c r="M13" s="131">
        <v>7</v>
      </c>
      <c r="N13" s="131">
        <f>L13/24*M13</f>
        <v>0</v>
      </c>
      <c r="O13" s="131"/>
      <c r="P13" s="131">
        <f>L13-N13+O13</f>
        <v>0</v>
      </c>
      <c r="Q13" s="131">
        <f>L13*8%</f>
        <v>0</v>
      </c>
      <c r="R13" s="132">
        <f>L13*1.5%</f>
        <v>0</v>
      </c>
      <c r="S13" s="131">
        <f>L13*1%</f>
        <v>0</v>
      </c>
      <c r="T13" s="132"/>
      <c r="U13" s="132">
        <f>SUM(Q13:T13)</f>
        <v>0</v>
      </c>
      <c r="V13" s="132"/>
      <c r="W13" s="316"/>
      <c r="X13" s="316"/>
      <c r="Y13" s="316"/>
      <c r="Z13" s="131">
        <f>P13-U13+W13+Y13</f>
        <v>0</v>
      </c>
      <c r="AA13" s="133"/>
      <c r="AB13" s="317" t="s">
        <v>413</v>
      </c>
      <c r="AC13" s="255"/>
      <c r="AD13" s="117"/>
      <c r="AE13" s="144"/>
      <c r="AF13" s="269"/>
      <c r="AJ13" s="105"/>
    </row>
    <row r="14" spans="1:37" ht="22.5" customHeight="1">
      <c r="A14" s="88"/>
      <c r="B14" s="758" t="s">
        <v>11</v>
      </c>
      <c r="C14" s="759"/>
      <c r="D14" s="161"/>
      <c r="E14" s="161"/>
      <c r="F14" s="82"/>
      <c r="G14" s="82"/>
      <c r="H14" s="89">
        <v>2</v>
      </c>
      <c r="I14" s="80">
        <f>SUM(I13:I13)</f>
        <v>0</v>
      </c>
      <c r="J14" s="80">
        <f>SUM(J13:J13)</f>
        <v>0</v>
      </c>
      <c r="K14" s="80">
        <f>SUM(K13:K13)</f>
        <v>0</v>
      </c>
      <c r="L14" s="80">
        <f>SUM(L13:L13)</f>
        <v>0</v>
      </c>
      <c r="M14" s="80"/>
      <c r="N14" s="80">
        <f t="shared" ref="N14:Z14" si="0">SUM(N13:N13)</f>
        <v>0</v>
      </c>
      <c r="O14" s="80">
        <f t="shared" si="0"/>
        <v>0</v>
      </c>
      <c r="P14" s="80">
        <f t="shared" si="0"/>
        <v>0</v>
      </c>
      <c r="Q14" s="80">
        <f t="shared" si="0"/>
        <v>0</v>
      </c>
      <c r="R14" s="80">
        <f t="shared" si="0"/>
        <v>0</v>
      </c>
      <c r="S14" s="80">
        <f t="shared" si="0"/>
        <v>0</v>
      </c>
      <c r="T14" s="80">
        <f t="shared" si="0"/>
        <v>0</v>
      </c>
      <c r="U14" s="80">
        <f t="shared" si="0"/>
        <v>0</v>
      </c>
      <c r="V14" s="93">
        <f t="shared" si="0"/>
        <v>0</v>
      </c>
      <c r="W14" s="93">
        <f t="shared" si="0"/>
        <v>0</v>
      </c>
      <c r="X14" s="93">
        <f t="shared" si="0"/>
        <v>0</v>
      </c>
      <c r="Y14" s="93">
        <f t="shared" si="0"/>
        <v>0</v>
      </c>
      <c r="Z14" s="80">
        <f t="shared" si="0"/>
        <v>0</v>
      </c>
      <c r="AA14" s="90"/>
      <c r="AB14" s="91"/>
      <c r="AC14" s="92"/>
      <c r="AD14" s="71"/>
      <c r="AE14" s="60"/>
      <c r="AF14" s="60"/>
      <c r="AG14" s="42"/>
      <c r="AH14" s="42"/>
      <c r="AI14" s="42"/>
      <c r="AJ14" s="58"/>
      <c r="AK14" s="42"/>
    </row>
    <row r="15" spans="1:37">
      <c r="A15" s="6"/>
      <c r="B15" s="142"/>
      <c r="C15" s="64"/>
      <c r="D15" s="162"/>
      <c r="E15" s="162"/>
      <c r="F15" s="204"/>
      <c r="G15" s="47"/>
      <c r="H15" s="46"/>
      <c r="I15" s="52"/>
      <c r="J15" s="46"/>
      <c r="K15" s="52"/>
      <c r="L15" s="52"/>
      <c r="M15" s="52"/>
      <c r="N15" s="52"/>
      <c r="O15" s="52"/>
      <c r="P15" s="52"/>
      <c r="Q15" s="52"/>
      <c r="R15" s="52"/>
      <c r="S15" s="52"/>
      <c r="T15" s="52"/>
      <c r="U15" s="52"/>
      <c r="V15" s="52"/>
      <c r="W15" s="52"/>
      <c r="X15" s="52"/>
      <c r="Y15" s="52"/>
      <c r="Z15" s="52"/>
      <c r="AA15" s="54"/>
      <c r="AB15" s="68"/>
      <c r="AC15" s="68"/>
      <c r="AD15" s="65"/>
      <c r="AE15" s="65"/>
      <c r="AF15" s="65"/>
    </row>
    <row r="16" spans="1:37">
      <c r="A16" s="5"/>
      <c r="B16" s="760" t="s">
        <v>12</v>
      </c>
      <c r="C16" s="760"/>
      <c r="D16" s="17" t="s">
        <v>417</v>
      </c>
      <c r="E16" s="17"/>
      <c r="S16" s="18"/>
      <c r="T16" s="18"/>
      <c r="U16" s="18"/>
      <c r="V16" s="18"/>
      <c r="W16" s="18"/>
      <c r="X16" s="18"/>
      <c r="Y16" s="18"/>
      <c r="Z16" s="18"/>
      <c r="AA16" s="17"/>
      <c r="AB16" s="67"/>
      <c r="AC16" s="67"/>
      <c r="AD16" s="69"/>
      <c r="AE16" s="60"/>
      <c r="AF16" s="60"/>
    </row>
    <row r="17" spans="1:38" ht="7.5" customHeight="1">
      <c r="A17" s="5"/>
      <c r="B17" s="760"/>
      <c r="C17" s="760"/>
      <c r="D17" s="163"/>
      <c r="E17" s="163"/>
      <c r="F17" s="206"/>
      <c r="G17" s="49"/>
      <c r="H17" s="49"/>
      <c r="I17" s="50"/>
      <c r="J17" s="50"/>
      <c r="K17" s="50"/>
      <c r="L17" s="50"/>
      <c r="M17" s="50"/>
      <c r="N17" s="50"/>
      <c r="O17" s="50"/>
      <c r="P17" s="50"/>
      <c r="Q17" s="50"/>
      <c r="R17" s="50"/>
      <c r="S17" s="50"/>
      <c r="T17" s="50"/>
      <c r="U17" s="50"/>
      <c r="V17" s="50"/>
      <c r="W17" s="50"/>
      <c r="X17" s="50"/>
      <c r="Y17" s="50"/>
      <c r="Z17" s="50"/>
      <c r="AA17" s="761"/>
      <c r="AB17" s="761"/>
      <c r="AC17" s="50"/>
      <c r="AD17" s="750"/>
      <c r="AE17" s="747"/>
      <c r="AF17" s="747"/>
    </row>
    <row r="18" spans="1:38" ht="15.75" customHeight="1">
      <c r="A18" s="5"/>
      <c r="B18" s="747"/>
      <c r="C18" s="747"/>
      <c r="D18" s="7"/>
      <c r="E18" s="7"/>
      <c r="F18" s="207"/>
      <c r="G18" s="5"/>
      <c r="H18" s="5"/>
      <c r="S18" s="762" t="s">
        <v>414</v>
      </c>
      <c r="T18" s="762"/>
      <c r="U18" s="762"/>
      <c r="V18" s="762"/>
      <c r="W18" s="762"/>
      <c r="X18" s="762"/>
      <c r="Y18" s="762"/>
      <c r="Z18" s="762"/>
      <c r="AA18" s="762"/>
      <c r="AB18" s="762"/>
      <c r="AC18" s="763"/>
      <c r="AD18" s="747"/>
      <c r="AE18" s="747"/>
      <c r="AF18" s="747"/>
    </row>
    <row r="19" spans="1:38" ht="15.75" customHeight="1">
      <c r="A19" s="751" t="s">
        <v>13</v>
      </c>
      <c r="B19" s="751"/>
      <c r="C19" s="751"/>
      <c r="D19" s="751"/>
      <c r="E19" s="751"/>
      <c r="F19" s="751"/>
      <c r="G19" s="751"/>
      <c r="H19" s="751"/>
      <c r="I19" s="751" t="s">
        <v>182</v>
      </c>
      <c r="J19" s="751"/>
      <c r="K19" s="751"/>
      <c r="L19" s="751"/>
      <c r="M19" s="751"/>
      <c r="N19" s="751"/>
      <c r="O19" s="751"/>
      <c r="P19" s="751"/>
      <c r="Q19" s="751"/>
      <c r="R19" s="751"/>
      <c r="S19" s="765" t="s">
        <v>14</v>
      </c>
      <c r="T19" s="765"/>
      <c r="U19" s="765"/>
      <c r="V19" s="765"/>
      <c r="W19" s="765"/>
      <c r="X19" s="765"/>
      <c r="Y19" s="765"/>
      <c r="Z19" s="765"/>
      <c r="AA19" s="765"/>
      <c r="AB19" s="765"/>
      <c r="AC19" s="764"/>
      <c r="AD19" s="752"/>
      <c r="AE19" s="752"/>
      <c r="AF19" s="752"/>
    </row>
    <row r="20" spans="1:38" ht="15.75" customHeight="1">
      <c r="A20" s="5"/>
      <c r="B20" s="749"/>
      <c r="C20" s="749"/>
      <c r="D20" s="7"/>
      <c r="E20" s="7"/>
      <c r="F20" s="207"/>
      <c r="G20" s="5"/>
      <c r="H20" s="5"/>
      <c r="I20" s="4"/>
      <c r="J20" s="4"/>
      <c r="K20" s="4"/>
      <c r="L20" s="4"/>
      <c r="M20" s="4"/>
      <c r="N20" s="4"/>
      <c r="O20" s="4"/>
      <c r="P20" s="4"/>
      <c r="Q20" s="70"/>
      <c r="R20" s="4"/>
      <c r="S20" s="4"/>
      <c r="T20" s="4"/>
      <c r="U20" s="4"/>
      <c r="V20" s="4"/>
      <c r="AA20" s="749"/>
      <c r="AB20" s="749"/>
      <c r="AC20" s="4"/>
      <c r="AD20" s="747"/>
      <c r="AE20" s="747"/>
      <c r="AF20" s="747"/>
    </row>
    <row r="21" spans="1:38" ht="15.75" customHeight="1">
      <c r="A21" s="5"/>
      <c r="B21" s="747"/>
      <c r="C21" s="747"/>
      <c r="D21" s="7"/>
      <c r="E21" s="7"/>
      <c r="F21" s="207"/>
      <c r="G21" s="5"/>
      <c r="H21" s="5"/>
      <c r="I21" s="4"/>
      <c r="J21" s="4"/>
      <c r="K21" s="4"/>
      <c r="L21" s="4"/>
      <c r="M21" s="4"/>
      <c r="N21" s="4"/>
      <c r="O21" s="4"/>
      <c r="P21" s="4"/>
      <c r="Q21" s="4"/>
      <c r="S21" s="157"/>
      <c r="T21" s="157"/>
      <c r="U21" s="157"/>
      <c r="V21" s="157"/>
      <c r="W21" s="157"/>
      <c r="X21" s="157"/>
      <c r="Y21" s="157"/>
      <c r="Z21" s="157"/>
      <c r="AA21" s="157"/>
      <c r="AB21" s="157"/>
      <c r="AC21" s="157"/>
      <c r="AD21" s="157"/>
      <c r="AE21" s="75"/>
      <c r="AF21" s="75"/>
      <c r="AG21" s="75"/>
      <c r="AH21" s="75"/>
      <c r="AI21" s="75"/>
      <c r="AJ21" s="75"/>
      <c r="AK21" s="75"/>
      <c r="AL21" s="75"/>
    </row>
    <row r="22" spans="1:38" ht="15.75" customHeight="1">
      <c r="A22" s="5"/>
      <c r="C22" s="5"/>
      <c r="D22" s="7"/>
      <c r="E22" s="7"/>
      <c r="F22" s="207"/>
      <c r="G22" s="5"/>
      <c r="H22" s="5"/>
      <c r="I22" s="4"/>
      <c r="J22" s="4"/>
      <c r="K22" s="4"/>
      <c r="L22" s="4"/>
      <c r="M22" s="4"/>
      <c r="N22" s="4"/>
      <c r="O22" s="4"/>
      <c r="P22" s="4"/>
      <c r="Q22" s="4"/>
      <c r="R22" s="4"/>
      <c r="S22" s="4"/>
      <c r="T22" s="4"/>
      <c r="U22" s="4"/>
      <c r="V22" s="4"/>
      <c r="AB22" s="75"/>
      <c r="AC22" s="75"/>
      <c r="AD22" s="75"/>
      <c r="AE22" s="75"/>
      <c r="AF22" s="75"/>
      <c r="AG22" s="75"/>
      <c r="AH22" s="75"/>
      <c r="AI22" s="75"/>
      <c r="AJ22" s="75"/>
      <c r="AK22" s="75"/>
      <c r="AL22" s="75"/>
    </row>
    <row r="23" spans="1:38">
      <c r="A23" s="5"/>
      <c r="B23" s="747"/>
      <c r="C23" s="747"/>
      <c r="D23" s="7"/>
      <c r="E23" s="7"/>
      <c r="F23" s="207"/>
      <c r="G23" s="5"/>
      <c r="H23" s="5"/>
      <c r="I23" s="4"/>
      <c r="J23" s="4"/>
      <c r="K23" s="4"/>
      <c r="L23" s="4"/>
      <c r="M23" s="4"/>
      <c r="N23" s="4"/>
      <c r="O23" s="4"/>
      <c r="P23" s="4"/>
      <c r="Q23" s="4"/>
      <c r="R23" s="4"/>
      <c r="S23" s="4"/>
      <c r="T23" s="4"/>
      <c r="U23" s="4"/>
      <c r="V23" s="4"/>
      <c r="AA23" s="749"/>
      <c r="AB23" s="749"/>
      <c r="AC23" s="4"/>
      <c r="AD23" s="750"/>
      <c r="AE23" s="747"/>
      <c r="AF23" s="747"/>
    </row>
    <row r="24" spans="1:38" ht="15.75" customHeight="1">
      <c r="A24" s="5"/>
      <c r="B24" s="747"/>
      <c r="C24" s="747"/>
      <c r="D24" s="7"/>
      <c r="E24" s="7"/>
      <c r="F24" s="207"/>
      <c r="G24" s="5"/>
      <c r="H24" s="5"/>
      <c r="I24" s="4"/>
      <c r="J24" s="4"/>
      <c r="K24" s="4"/>
      <c r="L24" s="4"/>
      <c r="M24" s="4"/>
      <c r="N24" s="4"/>
      <c r="O24" s="4"/>
      <c r="P24" s="4"/>
      <c r="Q24" s="4"/>
      <c r="R24" s="4"/>
      <c r="S24" s="4"/>
      <c r="T24" s="4"/>
      <c r="U24" s="4"/>
      <c r="V24" s="4"/>
      <c r="AA24" s="749"/>
      <c r="AB24" s="749"/>
      <c r="AC24" s="4"/>
      <c r="AD24" s="750"/>
      <c r="AE24" s="747"/>
      <c r="AF24" s="747"/>
    </row>
    <row r="25" spans="1:38" ht="15.75" customHeight="1">
      <c r="A25" s="5"/>
      <c r="B25" s="747"/>
      <c r="C25" s="747"/>
      <c r="D25" s="7"/>
      <c r="E25" s="7"/>
      <c r="F25" s="207"/>
      <c r="G25" s="5"/>
      <c r="H25" s="5"/>
      <c r="I25" s="4"/>
      <c r="J25" s="4"/>
      <c r="K25" s="4"/>
      <c r="L25" s="4"/>
      <c r="M25" s="4"/>
      <c r="N25" s="4"/>
      <c r="O25" s="4"/>
      <c r="P25" s="4"/>
      <c r="Q25" s="4"/>
      <c r="R25" s="4"/>
      <c r="S25" s="4"/>
      <c r="T25" s="4"/>
      <c r="U25" s="4"/>
      <c r="V25" s="4"/>
      <c r="AA25" s="749"/>
      <c r="AB25" s="749"/>
      <c r="AC25" s="4"/>
      <c r="AD25" s="750"/>
      <c r="AE25" s="747"/>
      <c r="AF25" s="747"/>
    </row>
    <row r="26" spans="1:38" ht="15.75" customHeight="1">
      <c r="A26" s="751" t="s">
        <v>225</v>
      </c>
      <c r="B26" s="751"/>
      <c r="C26" s="751"/>
      <c r="D26" s="751"/>
      <c r="E26" s="751"/>
      <c r="F26" s="751"/>
      <c r="G26" s="751"/>
      <c r="H26" s="751"/>
      <c r="I26" s="751" t="s">
        <v>122</v>
      </c>
      <c r="J26" s="751"/>
      <c r="K26" s="751"/>
      <c r="L26" s="751"/>
      <c r="M26" s="751"/>
      <c r="N26" s="751"/>
      <c r="O26" s="751"/>
      <c r="P26" s="751"/>
      <c r="Q26" s="751"/>
      <c r="R26" s="751"/>
      <c r="S26" s="751" t="s">
        <v>119</v>
      </c>
      <c r="T26" s="751"/>
      <c r="U26" s="751"/>
      <c r="V26" s="751"/>
      <c r="W26" s="751"/>
      <c r="X26" s="751"/>
      <c r="Y26" s="751"/>
      <c r="Z26" s="751"/>
      <c r="AA26" s="751"/>
      <c r="AB26" s="751"/>
      <c r="AC26" s="8"/>
      <c r="AD26" s="752"/>
      <c r="AE26" s="752"/>
      <c r="AF26" s="752"/>
    </row>
    <row r="27" spans="1:38">
      <c r="A27" s="61"/>
      <c r="B27" s="63"/>
      <c r="C27" s="62"/>
      <c r="D27" s="164"/>
      <c r="E27" s="164"/>
      <c r="F27" s="208"/>
      <c r="G27" s="63"/>
      <c r="H27" s="63"/>
      <c r="I27" s="63"/>
      <c r="J27" s="51"/>
      <c r="K27" s="63"/>
      <c r="L27" s="63"/>
      <c r="M27" s="63"/>
      <c r="N27" s="63"/>
      <c r="O27" s="63"/>
      <c r="P27" s="63"/>
      <c r="Q27" s="63"/>
      <c r="R27" s="63"/>
      <c r="S27" s="63"/>
      <c r="T27" s="63"/>
      <c r="U27" s="63"/>
      <c r="V27" s="63"/>
      <c r="W27" s="63"/>
      <c r="X27" s="63"/>
      <c r="Y27" s="63"/>
      <c r="Z27" s="63"/>
      <c r="AA27" s="753"/>
      <c r="AB27" s="753"/>
      <c r="AC27" s="51"/>
      <c r="AD27" s="750"/>
      <c r="AE27" s="747"/>
      <c r="AF27" s="747"/>
    </row>
    <row r="28" spans="1:38">
      <c r="B28" s="30"/>
      <c r="C28" s="19"/>
      <c r="G28" s="30"/>
      <c r="H28" s="30"/>
      <c r="AA28" s="748"/>
      <c r="AB28" s="748"/>
      <c r="AC28" s="45"/>
      <c r="AD28" s="747"/>
      <c r="AE28" s="747"/>
      <c r="AF28" s="747"/>
    </row>
    <row r="29" spans="1:38">
      <c r="A29" s="5"/>
      <c r="B29" s="747"/>
      <c r="C29" s="747"/>
      <c r="AA29" s="748"/>
      <c r="AB29" s="748"/>
      <c r="AC29" s="45"/>
      <c r="AD29" s="747"/>
      <c r="AE29" s="747"/>
      <c r="AF29" s="747"/>
    </row>
    <row r="30" spans="1:38">
      <c r="A30" s="5"/>
      <c r="B30" s="747"/>
      <c r="C30" s="747"/>
      <c r="AA30" s="748"/>
      <c r="AB30" s="748"/>
      <c r="AC30" s="45"/>
      <c r="AD30" s="747"/>
      <c r="AE30" s="747"/>
      <c r="AF30" s="747"/>
    </row>
    <row r="31" spans="1:38">
      <c r="A31" s="5"/>
      <c r="B31" s="747"/>
      <c r="C31" s="747"/>
      <c r="AA31" s="748"/>
      <c r="AB31" s="748"/>
      <c r="AC31" s="45"/>
      <c r="AD31" s="747"/>
      <c r="AE31" s="747"/>
      <c r="AF31" s="747"/>
    </row>
    <row r="32" spans="1:38">
      <c r="A32" s="5"/>
      <c r="B32" s="747"/>
      <c r="C32" s="747"/>
      <c r="AA32" s="748"/>
      <c r="AB32" s="748"/>
      <c r="AC32" s="45"/>
      <c r="AD32" s="747"/>
      <c r="AE32" s="747"/>
      <c r="AF32" s="747"/>
    </row>
    <row r="33" spans="1:32">
      <c r="A33" s="5"/>
      <c r="B33" s="747"/>
      <c r="C33" s="747"/>
      <c r="AA33" s="748"/>
      <c r="AB33" s="748"/>
      <c r="AC33" s="45"/>
      <c r="AD33" s="747"/>
      <c r="AE33" s="747"/>
      <c r="AF33" s="747"/>
    </row>
    <row r="34" spans="1:32">
      <c r="A34" s="5"/>
      <c r="B34" s="747"/>
      <c r="C34" s="747"/>
      <c r="AA34" s="748"/>
      <c r="AB34" s="748"/>
      <c r="AC34" s="45"/>
      <c r="AD34" s="747"/>
      <c r="AE34" s="747"/>
      <c r="AF34" s="747"/>
    </row>
    <row r="35" spans="1:32">
      <c r="A35" s="5"/>
      <c r="B35" s="747"/>
      <c r="C35" s="747"/>
      <c r="AA35" s="748"/>
      <c r="AB35" s="748"/>
      <c r="AC35" s="45"/>
      <c r="AD35" s="747"/>
      <c r="AE35" s="747"/>
      <c r="AF35" s="747"/>
    </row>
    <row r="36" spans="1:32">
      <c r="A36" s="5"/>
      <c r="B36" s="747"/>
      <c r="C36" s="747"/>
      <c r="AA36" s="748"/>
      <c r="AB36" s="748"/>
      <c r="AC36" s="45"/>
      <c r="AD36" s="747"/>
      <c r="AE36" s="747"/>
      <c r="AF36" s="747"/>
    </row>
    <row r="37" spans="1:32">
      <c r="A37" s="5"/>
      <c r="B37" s="747"/>
      <c r="C37" s="747"/>
      <c r="AA37" s="748"/>
      <c r="AB37" s="748"/>
      <c r="AC37" s="45"/>
      <c r="AD37" s="747"/>
      <c r="AE37" s="747"/>
      <c r="AF37" s="747"/>
    </row>
    <row r="38" spans="1:32">
      <c r="A38" s="5"/>
      <c r="B38" s="747"/>
      <c r="C38" s="747"/>
      <c r="AA38" s="748"/>
      <c r="AB38" s="748"/>
      <c r="AC38" s="45"/>
      <c r="AD38" s="747"/>
      <c r="AE38" s="747"/>
      <c r="AF38" s="747"/>
    </row>
    <row r="39" spans="1:32">
      <c r="A39" s="5"/>
      <c r="B39" s="747"/>
      <c r="C39" s="747"/>
      <c r="AA39" s="748"/>
      <c r="AB39" s="748"/>
      <c r="AC39" s="45"/>
      <c r="AD39" s="747"/>
      <c r="AE39" s="747"/>
      <c r="AF39" s="747"/>
    </row>
    <row r="40" spans="1:32">
      <c r="A40" s="5"/>
      <c r="B40" s="747"/>
      <c r="C40" s="747"/>
      <c r="AA40" s="748"/>
      <c r="AB40" s="748"/>
      <c r="AC40" s="45"/>
      <c r="AD40" s="747"/>
      <c r="AE40" s="747"/>
      <c r="AF40" s="747"/>
    </row>
    <row r="41" spans="1:32">
      <c r="A41" s="5"/>
      <c r="B41" s="747"/>
      <c r="C41" s="747"/>
      <c r="AA41" s="748"/>
      <c r="AB41" s="748"/>
      <c r="AC41" s="45"/>
      <c r="AD41" s="747"/>
      <c r="AE41" s="747"/>
      <c r="AF41" s="747"/>
    </row>
    <row r="42" spans="1:32">
      <c r="A42" s="5"/>
      <c r="B42" s="747"/>
      <c r="C42" s="747"/>
      <c r="AA42" s="748"/>
      <c r="AB42" s="748"/>
      <c r="AC42" s="45"/>
      <c r="AD42" s="747"/>
      <c r="AE42" s="747"/>
      <c r="AF42" s="747"/>
    </row>
    <row r="43" spans="1:32">
      <c r="A43" s="5"/>
      <c r="B43" s="747"/>
      <c r="C43" s="747"/>
      <c r="AA43" s="748"/>
      <c r="AB43" s="748"/>
      <c r="AC43" s="45"/>
      <c r="AD43" s="747"/>
      <c r="AE43" s="747"/>
      <c r="AF43" s="747"/>
    </row>
    <row r="44" spans="1:32">
      <c r="A44" s="5"/>
      <c r="B44" s="747"/>
      <c r="C44" s="747"/>
      <c r="AA44" s="748"/>
      <c r="AB44" s="748"/>
      <c r="AC44" s="45"/>
      <c r="AD44" s="747"/>
      <c r="AE44" s="747"/>
      <c r="AF44" s="747"/>
    </row>
    <row r="45" spans="1:32">
      <c r="A45" s="5"/>
      <c r="B45" s="747"/>
      <c r="C45" s="747"/>
      <c r="AA45" s="748"/>
      <c r="AB45" s="748"/>
      <c r="AC45" s="45"/>
      <c r="AD45" s="747"/>
      <c r="AE45" s="747"/>
      <c r="AF45" s="747"/>
    </row>
  </sheetData>
  <mergeCells count="119">
    <mergeCell ref="A1:H1"/>
    <mergeCell ref="A2:H2"/>
    <mergeCell ref="C3:D3"/>
    <mergeCell ref="Q3:Z3"/>
    <mergeCell ref="AA3:AB3"/>
    <mergeCell ref="AE3:AF3"/>
    <mergeCell ref="AG3:AH3"/>
    <mergeCell ref="A4:AB4"/>
    <mergeCell ref="A5:AB5"/>
    <mergeCell ref="D6:H6"/>
    <mergeCell ref="D7:H7"/>
    <mergeCell ref="D8:H8"/>
    <mergeCell ref="K10:K11"/>
    <mergeCell ref="L10:L11"/>
    <mergeCell ref="M10:M11"/>
    <mergeCell ref="A10:A11"/>
    <mergeCell ref="B10:C11"/>
    <mergeCell ref="D10:D11"/>
    <mergeCell ref="E10:E11"/>
    <mergeCell ref="F10:F11"/>
    <mergeCell ref="G10:G11"/>
    <mergeCell ref="AI10:AI11"/>
    <mergeCell ref="AA12:AB12"/>
    <mergeCell ref="N10:N11"/>
    <mergeCell ref="O10:O11"/>
    <mergeCell ref="P10:P11"/>
    <mergeCell ref="Q10:U10"/>
    <mergeCell ref="V10:W10"/>
    <mergeCell ref="X10:Y10"/>
    <mergeCell ref="B14:C14"/>
    <mergeCell ref="B16:C16"/>
    <mergeCell ref="B17:C17"/>
    <mergeCell ref="AA17:AB17"/>
    <mergeCell ref="AD17:AF17"/>
    <mergeCell ref="Z10:Z11"/>
    <mergeCell ref="AA10:AB11"/>
    <mergeCell ref="H10:H11"/>
    <mergeCell ref="I10:I11"/>
    <mergeCell ref="J10:J11"/>
    <mergeCell ref="B18:C18"/>
    <mergeCell ref="S18:AB18"/>
    <mergeCell ref="AC18:AC19"/>
    <mergeCell ref="AD18:AF18"/>
    <mergeCell ref="A19:H19"/>
    <mergeCell ref="I19:R19"/>
    <mergeCell ref="S19:AB19"/>
    <mergeCell ref="AD19:AF19"/>
    <mergeCell ref="B20:C20"/>
    <mergeCell ref="AA20:AB20"/>
    <mergeCell ref="AD20:AF20"/>
    <mergeCell ref="B21:C21"/>
    <mergeCell ref="B23:C23"/>
    <mergeCell ref="AA23:AB23"/>
    <mergeCell ref="AD23:AF23"/>
    <mergeCell ref="B24:C24"/>
    <mergeCell ref="AA24:AB24"/>
    <mergeCell ref="AD24:AF24"/>
    <mergeCell ref="B25:C25"/>
    <mergeCell ref="AA25:AB25"/>
    <mergeCell ref="AD25:AF25"/>
    <mergeCell ref="A26:H26"/>
    <mergeCell ref="I26:R26"/>
    <mergeCell ref="S26:AB26"/>
    <mergeCell ref="AD26:AF26"/>
    <mergeCell ref="AA27:AB27"/>
    <mergeCell ref="AD27:AF27"/>
    <mergeCell ref="AA28:AB28"/>
    <mergeCell ref="AD28:AF28"/>
    <mergeCell ref="B29:C29"/>
    <mergeCell ref="AA29:AB29"/>
    <mergeCell ref="AD29:AF29"/>
    <mergeCell ref="B30:C30"/>
    <mergeCell ref="AA30:AB30"/>
    <mergeCell ref="AD30:AF30"/>
    <mergeCell ref="B31:C31"/>
    <mergeCell ref="AA31:AB31"/>
    <mergeCell ref="AD31:AF31"/>
    <mergeCell ref="B32:C32"/>
    <mergeCell ref="AA32:AB32"/>
    <mergeCell ref="AD32:AF32"/>
    <mergeCell ref="B33:C33"/>
    <mergeCell ref="AA33:AB33"/>
    <mergeCell ref="AD33:AF33"/>
    <mergeCell ref="B34:C34"/>
    <mergeCell ref="AA34:AB34"/>
    <mergeCell ref="AD34:AF34"/>
    <mergeCell ref="B35:C35"/>
    <mergeCell ref="AA35:AB35"/>
    <mergeCell ref="AD35:AF35"/>
    <mergeCell ref="B36:C36"/>
    <mergeCell ref="AA36:AB36"/>
    <mergeCell ref="AD36:AF36"/>
    <mergeCell ref="B37:C37"/>
    <mergeCell ref="AA37:AB37"/>
    <mergeCell ref="AD37:AF37"/>
    <mergeCell ref="B38:C38"/>
    <mergeCell ref="AA38:AB38"/>
    <mergeCell ref="AD38:AF38"/>
    <mergeCell ref="B39:C39"/>
    <mergeCell ref="AA39:AB39"/>
    <mergeCell ref="AD39:AF39"/>
    <mergeCell ref="B40:C40"/>
    <mergeCell ref="AA40:AB40"/>
    <mergeCell ref="AD40:AF40"/>
    <mergeCell ref="B41:C41"/>
    <mergeCell ref="AA41:AB41"/>
    <mergeCell ref="AD41:AF41"/>
    <mergeCell ref="B42:C42"/>
    <mergeCell ref="AA42:AB42"/>
    <mergeCell ref="AD42:AF42"/>
    <mergeCell ref="B45:C45"/>
    <mergeCell ref="AA45:AB45"/>
    <mergeCell ref="AD45:AF45"/>
    <mergeCell ref="B43:C43"/>
    <mergeCell ref="AA43:AB43"/>
    <mergeCell ref="AD43:AF43"/>
    <mergeCell ref="B44:C44"/>
    <mergeCell ref="AA44:AB44"/>
    <mergeCell ref="AD44:AF44"/>
  </mergeCells>
  <printOptions horizontalCentered="1"/>
  <pageMargins left="0.32" right="0.17" top="0.33" bottom="0.4" header="0.17" footer="0.17"/>
  <pageSetup paperSize="9" scale="76" orientation="landscape" r:id="rId1"/>
  <headerFooter alignWithMargins="0">
    <oddFooter>Page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workbookViewId="0">
      <selection activeCell="B14" sqref="B14"/>
    </sheetView>
  </sheetViews>
  <sheetFormatPr defaultRowHeight="15.75"/>
  <cols>
    <col min="1" max="1" width="3.75" customWidth="1"/>
    <col min="2" max="2" width="17" customWidth="1"/>
    <col min="3" max="3" width="8.875" customWidth="1"/>
    <col min="4" max="4" width="9.5" hidden="1" customWidth="1"/>
    <col min="5" max="5" width="15.875" style="274" customWidth="1"/>
    <col min="6" max="6" width="7" customWidth="1"/>
    <col min="7" max="7" width="9.875" customWidth="1"/>
    <col min="8" max="8" width="12.375" style="14" customWidth="1"/>
    <col min="9" max="9" width="14.5" hidden="1" customWidth="1"/>
    <col min="10" max="10" width="2.875" hidden="1" customWidth="1"/>
    <col min="11" max="11" width="17.5" style="274" customWidth="1"/>
    <col min="12" max="12" width="13.125" style="275" customWidth="1"/>
  </cols>
  <sheetData>
    <row r="1" spans="1:15">
      <c r="A1" s="749" t="s">
        <v>78</v>
      </c>
      <c r="B1" s="749"/>
      <c r="C1" s="749"/>
      <c r="D1" s="749"/>
      <c r="E1" s="749"/>
      <c r="F1" s="751" t="s">
        <v>295</v>
      </c>
      <c r="G1" s="751"/>
      <c r="H1" s="751"/>
      <c r="I1" s="751"/>
      <c r="J1" s="751"/>
      <c r="K1" s="751"/>
      <c r="L1" s="272"/>
    </row>
    <row r="2" spans="1:15">
      <c r="A2" s="751" t="s">
        <v>185</v>
      </c>
      <c r="B2" s="751"/>
      <c r="C2" s="751"/>
      <c r="D2" s="751"/>
      <c r="E2" s="751"/>
      <c r="F2" s="822" t="s">
        <v>0</v>
      </c>
      <c r="G2" s="822"/>
      <c r="H2" s="822"/>
      <c r="I2" s="822"/>
      <c r="J2" s="822"/>
      <c r="K2" s="822"/>
      <c r="L2" s="273"/>
    </row>
    <row r="3" spans="1:15" ht="24" customHeight="1"/>
    <row r="4" spans="1:15" ht="18.75">
      <c r="A4" s="795" t="s">
        <v>296</v>
      </c>
      <c r="B4" s="795"/>
      <c r="C4" s="795"/>
      <c r="D4" s="795"/>
      <c r="E4" s="795"/>
      <c r="F4" s="795"/>
      <c r="G4" s="795"/>
      <c r="H4" s="795"/>
      <c r="I4" s="795"/>
      <c r="J4" s="795"/>
      <c r="K4" s="795"/>
      <c r="L4" s="276"/>
    </row>
    <row r="5" spans="1:15" ht="18.75">
      <c r="A5" s="795" t="s">
        <v>341</v>
      </c>
      <c r="B5" s="795"/>
      <c r="C5" s="795"/>
      <c r="D5" s="795"/>
      <c r="E5" s="795"/>
      <c r="F5" s="795"/>
      <c r="G5" s="795"/>
      <c r="H5" s="795"/>
      <c r="I5" s="795"/>
      <c r="J5" s="795"/>
      <c r="K5" s="795"/>
      <c r="L5" s="276"/>
    </row>
    <row r="6" spans="1:15" ht="41.25" customHeight="1">
      <c r="A6" s="839" t="s">
        <v>338</v>
      </c>
      <c r="B6" s="840"/>
      <c r="C6" s="840"/>
      <c r="D6" s="840"/>
      <c r="E6" s="840"/>
      <c r="F6" s="840"/>
      <c r="G6" s="840"/>
      <c r="H6" s="840"/>
      <c r="I6" s="840"/>
      <c r="J6" s="840"/>
      <c r="K6" s="840"/>
      <c r="L6" s="276"/>
    </row>
    <row r="7" spans="1:15" ht="23.25" customHeight="1">
      <c r="A7" s="9"/>
    </row>
    <row r="8" spans="1:15" hidden="1">
      <c r="A8" s="9"/>
      <c r="H8" s="19"/>
    </row>
    <row r="9" spans="1:15" hidden="1">
      <c r="A9" s="9"/>
      <c r="H9" s="19"/>
    </row>
    <row r="10" spans="1:15" hidden="1">
      <c r="A10" s="9"/>
      <c r="H10" s="841"/>
      <c r="I10" s="841"/>
      <c r="J10" s="841"/>
      <c r="K10" s="841"/>
      <c r="L10" s="277"/>
    </row>
    <row r="11" spans="1:15" hidden="1">
      <c r="A11" s="9"/>
      <c r="O11">
        <f>1.5*540000</f>
        <v>810000</v>
      </c>
    </row>
    <row r="12" spans="1:15" s="38" customFormat="1" ht="22.5" customHeight="1">
      <c r="A12" s="821" t="s">
        <v>2</v>
      </c>
      <c r="B12" s="842" t="s">
        <v>20</v>
      </c>
      <c r="C12" s="843" t="s">
        <v>21</v>
      </c>
      <c r="D12" s="844" t="s">
        <v>62</v>
      </c>
      <c r="E12" s="846" t="s">
        <v>4</v>
      </c>
      <c r="F12" s="846" t="s">
        <v>298</v>
      </c>
      <c r="G12" s="849" t="s">
        <v>299</v>
      </c>
      <c r="H12" s="846" t="s">
        <v>179</v>
      </c>
      <c r="I12" s="846" t="s">
        <v>15</v>
      </c>
      <c r="J12" s="821" t="s">
        <v>5</v>
      </c>
      <c r="K12" s="821"/>
      <c r="L12" s="279"/>
      <c r="M12" s="847"/>
    </row>
    <row r="13" spans="1:15" s="38" customFormat="1" ht="29.25" customHeight="1">
      <c r="A13" s="821"/>
      <c r="B13" s="842"/>
      <c r="C13" s="843"/>
      <c r="D13" s="845"/>
      <c r="E13" s="846"/>
      <c r="F13" s="846"/>
      <c r="G13" s="850"/>
      <c r="H13" s="846"/>
      <c r="I13" s="846"/>
      <c r="J13" s="821"/>
      <c r="K13" s="821"/>
      <c r="L13" s="279"/>
      <c r="M13" s="847"/>
    </row>
    <row r="14" spans="1:15" s="291" customFormat="1" ht="53.25" customHeight="1">
      <c r="A14" s="280" t="s">
        <v>32</v>
      </c>
      <c r="B14" s="281"/>
      <c r="C14" s="282"/>
      <c r="D14" s="283"/>
      <c r="E14" s="284" t="s">
        <v>316</v>
      </c>
      <c r="F14" s="285"/>
      <c r="G14" s="285">
        <v>250000</v>
      </c>
      <c r="H14" s="286">
        <f>F14*G14</f>
        <v>0</v>
      </c>
      <c r="I14" s="287"/>
      <c r="J14" s="288"/>
      <c r="K14" s="337" t="s">
        <v>339</v>
      </c>
      <c r="L14" s="289"/>
      <c r="M14" s="290"/>
    </row>
    <row r="15" spans="1:15" s="310" customFormat="1" ht="22.5" customHeight="1">
      <c r="A15" s="271"/>
      <c r="B15" s="821" t="s">
        <v>11</v>
      </c>
      <c r="C15" s="821"/>
      <c r="D15" s="271"/>
      <c r="E15" s="305"/>
      <c r="F15" s="306">
        <f>SUM(F14:F14)</f>
        <v>0</v>
      </c>
      <c r="G15" s="306">
        <f>SUM(G14:G14)</f>
        <v>250000</v>
      </c>
      <c r="H15" s="307">
        <f>SUM(H14:H14)</f>
        <v>0</v>
      </c>
      <c r="I15" s="271"/>
      <c r="J15" s="278"/>
      <c r="K15" s="308"/>
      <c r="L15" s="309"/>
    </row>
    <row r="16" spans="1:15" ht="5.25" customHeight="1">
      <c r="A16" s="292"/>
      <c r="B16" s="292"/>
      <c r="C16" s="292"/>
      <c r="D16" s="292"/>
      <c r="E16" s="293"/>
      <c r="F16" s="9"/>
      <c r="G16" s="9"/>
      <c r="H16" s="13"/>
      <c r="I16" s="13"/>
      <c r="J16" s="9"/>
      <c r="K16" s="10"/>
      <c r="L16" s="294"/>
      <c r="M16" s="2"/>
    </row>
    <row r="17" spans="1:13" ht="13.5" customHeight="1">
      <c r="A17" s="292"/>
      <c r="B17" s="295"/>
      <c r="C17" s="292"/>
      <c r="D17" s="292"/>
      <c r="E17" s="293"/>
      <c r="F17" s="9"/>
      <c r="G17" s="9"/>
      <c r="H17" s="13"/>
      <c r="I17" s="13"/>
      <c r="J17" s="9"/>
      <c r="K17" s="10"/>
      <c r="L17" s="294"/>
      <c r="M17" s="2"/>
    </row>
    <row r="18" spans="1:13">
      <c r="A18" s="5"/>
      <c r="B18" s="17" t="s">
        <v>342</v>
      </c>
      <c r="C18" s="17"/>
      <c r="D18" s="17"/>
      <c r="E18" s="157"/>
      <c r="F18" s="17"/>
      <c r="G18" s="17"/>
      <c r="H18" s="70"/>
      <c r="I18" s="4"/>
      <c r="J18" s="8"/>
      <c r="K18" s="157"/>
      <c r="L18" s="296"/>
      <c r="M18" s="270"/>
    </row>
    <row r="19" spans="1:13">
      <c r="A19" s="5"/>
      <c r="B19" s="12" t="s">
        <v>180</v>
      </c>
      <c r="C19" s="12"/>
      <c r="D19" s="12"/>
      <c r="E19" s="157"/>
      <c r="F19" s="8"/>
      <c r="G19" s="8"/>
      <c r="H19" s="4"/>
      <c r="I19" s="4"/>
      <c r="J19" s="8"/>
      <c r="K19" s="157"/>
      <c r="L19" s="296"/>
      <c r="M19" s="5"/>
    </row>
    <row r="20" spans="1:13" s="14" customFormat="1">
      <c r="E20" s="33"/>
      <c r="F20" s="834" t="s">
        <v>340</v>
      </c>
      <c r="G20" s="834"/>
      <c r="H20" s="834"/>
      <c r="I20" s="834"/>
      <c r="J20" s="834"/>
      <c r="K20" s="834"/>
      <c r="L20" s="297"/>
    </row>
    <row r="21" spans="1:13" s="14" customFormat="1">
      <c r="A21" s="816" t="s">
        <v>13</v>
      </c>
      <c r="B21" s="816"/>
      <c r="C21" s="816"/>
      <c r="D21" s="9"/>
      <c r="E21" s="816" t="s">
        <v>182</v>
      </c>
      <c r="F21" s="816"/>
      <c r="G21" s="9"/>
      <c r="H21" s="816" t="s">
        <v>80</v>
      </c>
      <c r="I21" s="816"/>
      <c r="J21" s="816"/>
      <c r="K21" s="816"/>
      <c r="L21" s="298"/>
      <c r="M21" s="158"/>
    </row>
    <row r="22" spans="1:13" s="14" customFormat="1">
      <c r="A22" s="13"/>
      <c r="B22" s="13"/>
      <c r="C22" s="13"/>
      <c r="D22" s="13"/>
      <c r="E22" s="299"/>
      <c r="F22" s="13"/>
      <c r="G22" s="13"/>
      <c r="H22" s="13"/>
      <c r="I22" s="13"/>
      <c r="J22" s="13"/>
      <c r="K22" s="299"/>
      <c r="L22" s="300"/>
    </row>
    <row r="23" spans="1:13" s="14" customFormat="1">
      <c r="B23" s="13"/>
      <c r="E23" s="33"/>
      <c r="F23" s="13"/>
      <c r="G23" s="13"/>
      <c r="H23" s="13"/>
      <c r="I23" s="13"/>
      <c r="J23" s="13"/>
      <c r="K23" s="33"/>
      <c r="L23" s="301"/>
    </row>
    <row r="24" spans="1:13" s="14" customFormat="1">
      <c r="E24" s="33"/>
      <c r="F24" s="13"/>
      <c r="G24" s="13"/>
      <c r="H24" s="13"/>
      <c r="I24" s="13"/>
      <c r="J24" s="13"/>
      <c r="K24" s="33"/>
      <c r="L24" s="301"/>
    </row>
    <row r="25" spans="1:13" s="14" customFormat="1">
      <c r="E25" s="33"/>
      <c r="F25" s="13"/>
      <c r="G25" s="13"/>
      <c r="H25" s="13"/>
      <c r="I25" s="13"/>
      <c r="J25" s="13"/>
      <c r="K25" s="33"/>
      <c r="L25" s="301"/>
    </row>
    <row r="26" spans="1:13" s="14" customFormat="1">
      <c r="E26" s="33"/>
      <c r="F26" s="13"/>
      <c r="G26" s="13"/>
      <c r="H26" s="13"/>
      <c r="I26" s="13"/>
      <c r="J26" s="13"/>
      <c r="K26" s="33"/>
      <c r="L26" s="301"/>
    </row>
    <row r="27" spans="1:13" s="14" customFormat="1">
      <c r="A27" s="816" t="s">
        <v>297</v>
      </c>
      <c r="B27" s="816"/>
      <c r="C27" s="816"/>
      <c r="D27" s="9"/>
      <c r="E27" s="816" t="s">
        <v>122</v>
      </c>
      <c r="F27" s="816"/>
      <c r="G27" s="9"/>
      <c r="H27" s="816" t="s">
        <v>119</v>
      </c>
      <c r="I27" s="816"/>
      <c r="J27" s="816"/>
      <c r="K27" s="816"/>
      <c r="L27" s="298"/>
      <c r="M27" s="158"/>
    </row>
    <row r="28" spans="1:13">
      <c r="A28" s="848" t="str">
        <f ca="1">CELL("filename")</f>
        <v xml:space="preserve">E:\DULIEUMAYCU\Quynh chung\Quynh Exel\2024\Luong\Tu co\[Luong T09-2024 (TC).xlsx]CN </v>
      </c>
      <c r="B28" s="848"/>
      <c r="C28" s="848"/>
      <c r="D28" s="848"/>
      <c r="E28" s="848"/>
      <c r="F28" s="848"/>
      <c r="G28" s="6"/>
      <c r="H28" s="302"/>
      <c r="I28" s="302"/>
      <c r="J28" s="302"/>
      <c r="K28" s="303"/>
      <c r="L28" s="304"/>
      <c r="M28" s="6"/>
    </row>
  </sheetData>
  <mergeCells count="28">
    <mergeCell ref="A27:C27"/>
    <mergeCell ref="E27:F27"/>
    <mergeCell ref="H27:K27"/>
    <mergeCell ref="A28:F28"/>
    <mergeCell ref="G12:G13"/>
    <mergeCell ref="J12:K13"/>
    <mergeCell ref="M12:M13"/>
    <mergeCell ref="B15:C15"/>
    <mergeCell ref="F20:K20"/>
    <mergeCell ref="A21:C21"/>
    <mergeCell ref="E21:F21"/>
    <mergeCell ref="H21:K21"/>
    <mergeCell ref="A6:K6"/>
    <mergeCell ref="H10:K10"/>
    <mergeCell ref="A12:A13"/>
    <mergeCell ref="B12:B13"/>
    <mergeCell ref="C12:C13"/>
    <mergeCell ref="D12:D13"/>
    <mergeCell ref="E12:E13"/>
    <mergeCell ref="F12:F13"/>
    <mergeCell ref="H12:H13"/>
    <mergeCell ref="I12:I13"/>
    <mergeCell ref="A5:K5"/>
    <mergeCell ref="A1:E1"/>
    <mergeCell ref="F1:K1"/>
    <mergeCell ref="A2:E2"/>
    <mergeCell ref="F2:K2"/>
    <mergeCell ref="A4:K4"/>
  </mergeCells>
  <pageMargins left="0.36" right="0.19"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CN  (2)</vt:lpstr>
      <vt:lpstr>GDQP</vt:lpstr>
      <vt:lpstr>CN  (3)</vt:lpstr>
      <vt:lpstr>ND 111</vt:lpstr>
      <vt:lpstr>Y tế</vt:lpstr>
      <vt:lpstr>CN </vt:lpstr>
      <vt:lpstr>BĐC T04-24</vt:lpstr>
      <vt:lpstr>BHXH</vt:lpstr>
      <vt:lpstr>Thu viec CN</vt:lpstr>
      <vt:lpstr>Moi</vt:lpstr>
      <vt:lpstr>Sheet1</vt:lpstr>
      <vt:lpstr>'BĐC T04-24'!Print_Titles</vt:lpstr>
      <vt:lpstr>BHXH!Print_Titles</vt:lpstr>
      <vt:lpstr>'CN '!Print_Titles</vt:lpstr>
      <vt:lpstr>'CN  (2)'!Print_Titles</vt:lpstr>
      <vt:lpstr>'CN  (3)'!Print_Titles</vt:lpstr>
      <vt:lpstr>GDQP!Print_Titles</vt:lpstr>
      <vt:lpstr>Moi!Print_Titles</vt:lpstr>
      <vt:lpstr>'ND 111'!Print_Titles</vt:lpstr>
      <vt:lpstr>'Y tế'!Print_Titles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2024-08-02T01:38:44Z</cp:lastPrinted>
  <dcterms:created xsi:type="dcterms:W3CDTF">2008-02-09T21:26:41Z</dcterms:created>
  <dcterms:modified xsi:type="dcterms:W3CDTF">2024-09-06T10:34:03Z</dcterms:modified>
</cp:coreProperties>
</file>