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Co huu\"/>
    </mc:Choice>
  </mc:AlternateContent>
  <bookViews>
    <workbookView xWindow="-120" yWindow="-120" windowWidth="29040" windowHeight="15840" tabRatio="701" firstSheet="2" activeTab="2"/>
  </bookViews>
  <sheets>
    <sheet name="PCTN" sheetId="11" state="hidden" r:id="rId1"/>
    <sheet name="HD" sheetId="10" state="hidden" r:id="rId2"/>
    <sheet name="BC" sheetId="15" r:id="rId3"/>
    <sheet name="BĐC-BC T08.2024"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 r:id="rId13"/>
  </externalReferences>
  <definedNames>
    <definedName name="_xlnm._FilterDatabase" localSheetId="2" hidden="1">BC!$A$13:$BG$290</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T08.2024'!$6:$7</definedName>
    <definedName name="_xlnm.Print_Titles" localSheetId="1">HD!$9:$10</definedName>
    <definedName name="_xlnm.Print_Titles" localSheetId="0">PCTN!$9:$10</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7" i="2" l="1"/>
  <c r="T15" i="2" l="1"/>
  <c r="L15" i="2"/>
  <c r="I15" i="2"/>
  <c r="L19" i="2" l="1"/>
  <c r="I19" i="2"/>
  <c r="AQ143" i="15" l="1"/>
  <c r="AR143" i="15" s="1"/>
  <c r="AH143" i="15"/>
  <c r="AG143" i="15"/>
  <c r="AF143" i="15"/>
  <c r="T16" i="2"/>
  <c r="I16" i="2"/>
  <c r="Q20" i="2" l="1"/>
  <c r="Q21" i="2"/>
  <c r="Q22" i="2"/>
  <c r="Q23" i="2"/>
  <c r="I20" i="2"/>
  <c r="I21" i="2"/>
  <c r="I22" i="2"/>
  <c r="I23" i="2"/>
  <c r="A75" i="15" l="1"/>
  <c r="Q10" i="2" l="1"/>
  <c r="T10" i="2" s="1"/>
  <c r="I10" i="2"/>
  <c r="L10" i="2" s="1"/>
  <c r="T24" i="2" l="1"/>
  <c r="Q9" i="2"/>
  <c r="T9" i="2" s="1"/>
  <c r="I9" i="2"/>
  <c r="L9" i="2" s="1"/>
  <c r="Y78" i="15" l="1"/>
  <c r="Z78" i="15" s="1"/>
  <c r="AA78" i="15" s="1"/>
  <c r="AO78" i="15"/>
  <c r="AQ78" i="15" s="1"/>
  <c r="AR78" i="15" s="1"/>
  <c r="AG78" i="15" l="1"/>
  <c r="AH78" i="15"/>
  <c r="AC78" i="15"/>
  <c r="AE78" i="15" s="1"/>
  <c r="AF78" i="15"/>
  <c r="AJ78" i="15" l="1"/>
  <c r="AT78" i="15" s="1"/>
  <c r="AD290" i="15"/>
  <c r="X290" i="15"/>
  <c r="Q290" i="15"/>
  <c r="P290" i="15"/>
  <c r="O290" i="15"/>
  <c r="I290" i="15"/>
  <c r="AI288" i="15"/>
  <c r="V288" i="15"/>
  <c r="S288" i="15"/>
  <c r="I288" i="15"/>
  <c r="AN287" i="15"/>
  <c r="AM287" i="15"/>
  <c r="X287" i="15"/>
  <c r="I287" i="15"/>
  <c r="I286" i="15"/>
  <c r="G284" i="15"/>
  <c r="AN283" i="15"/>
  <c r="AN289" i="15" s="1"/>
  <c r="AM283" i="15"/>
  <c r="AM289" i="15" s="1"/>
  <c r="AK283" i="15"/>
  <c r="AK289" i="15" s="1"/>
  <c r="AI283" i="15"/>
  <c r="AI289" i="15" s="1"/>
  <c r="AB283" i="15"/>
  <c r="T283" i="15"/>
  <c r="AL282" i="15"/>
  <c r="V282" i="15"/>
  <c r="U282" i="15"/>
  <c r="N282" i="15"/>
  <c r="K282" i="15"/>
  <c r="B282" i="15"/>
  <c r="AL281" i="15"/>
  <c r="U281" i="15"/>
  <c r="N281" i="15"/>
  <c r="AL280" i="15"/>
  <c r="V280" i="15"/>
  <c r="U280" i="15"/>
  <c r="AO280" i="15" s="1"/>
  <c r="AQ280" i="15" s="1"/>
  <c r="AR280" i="15" s="1"/>
  <c r="N280" i="15"/>
  <c r="K280" i="15"/>
  <c r="B280" i="15"/>
  <c r="AL279" i="15"/>
  <c r="V279" i="15"/>
  <c r="U279" i="15"/>
  <c r="AO279" i="15" s="1"/>
  <c r="AQ279" i="15" s="1"/>
  <c r="AR279" i="15" s="1"/>
  <c r="N279" i="15"/>
  <c r="K279" i="15"/>
  <c r="B279" i="15"/>
  <c r="AL278" i="15"/>
  <c r="V278" i="15"/>
  <c r="U278" i="15"/>
  <c r="AO278" i="15" s="1"/>
  <c r="AQ278" i="15" s="1"/>
  <c r="AR278" i="15" s="1"/>
  <c r="N278" i="15"/>
  <c r="K278" i="15"/>
  <c r="B278" i="15"/>
  <c r="AL277" i="15"/>
  <c r="U277" i="15"/>
  <c r="N277" i="15"/>
  <c r="K277" i="15"/>
  <c r="B277" i="15"/>
  <c r="AL276" i="15"/>
  <c r="U276" i="15"/>
  <c r="Y276" i="15" s="1"/>
  <c r="Z276" i="15" s="1"/>
  <c r="AA276" i="15" s="1"/>
  <c r="AL275" i="15"/>
  <c r="U275" i="15"/>
  <c r="AO275" i="15" s="1"/>
  <c r="AQ275" i="15" s="1"/>
  <c r="AR275" i="15" s="1"/>
  <c r="N275" i="15"/>
  <c r="AL274" i="15"/>
  <c r="U274" i="15"/>
  <c r="N274" i="15"/>
  <c r="AL273" i="15"/>
  <c r="U273" i="15"/>
  <c r="N273" i="15"/>
  <c r="AL272" i="15"/>
  <c r="U272" i="15"/>
  <c r="N272" i="15"/>
  <c r="K272" i="15"/>
  <c r="B272" i="15"/>
  <c r="AL271" i="15"/>
  <c r="U271" i="15"/>
  <c r="N271" i="15"/>
  <c r="K271" i="15"/>
  <c r="B271" i="15"/>
  <c r="AL270" i="15"/>
  <c r="U270" i="15"/>
  <c r="AO270" i="15" s="1"/>
  <c r="AQ270" i="15" s="1"/>
  <c r="AR270" i="15" s="1"/>
  <c r="AL269" i="15"/>
  <c r="U269" i="15"/>
  <c r="Y269" i="15" s="1"/>
  <c r="N269" i="15"/>
  <c r="B269" i="15"/>
  <c r="AL268" i="15"/>
  <c r="V268" i="15"/>
  <c r="U268" i="15"/>
  <c r="N268" i="15"/>
  <c r="K268" i="15"/>
  <c r="B268" i="15"/>
  <c r="AL267" i="15"/>
  <c r="V267" i="15"/>
  <c r="U267" i="15"/>
  <c r="N267" i="15"/>
  <c r="K267" i="15"/>
  <c r="B267" i="15"/>
  <c r="AL266" i="15"/>
  <c r="V266" i="15"/>
  <c r="U266" i="15"/>
  <c r="AO266" i="15" s="1"/>
  <c r="AQ266" i="15" s="1"/>
  <c r="AR266" i="15" s="1"/>
  <c r="N266" i="15"/>
  <c r="K266" i="15"/>
  <c r="B266" i="15"/>
  <c r="AL265" i="15"/>
  <c r="V265" i="15"/>
  <c r="U265" i="15"/>
  <c r="AO265" i="15" s="1"/>
  <c r="AQ265" i="15" s="1"/>
  <c r="AR265" i="15" s="1"/>
  <c r="N265" i="15"/>
  <c r="K265" i="15"/>
  <c r="B265" i="15"/>
  <c r="AL264" i="15"/>
  <c r="V264" i="15"/>
  <c r="U264" i="15"/>
  <c r="AO264" i="15" s="1"/>
  <c r="AQ264" i="15" s="1"/>
  <c r="AR264" i="15" s="1"/>
  <c r="N264" i="15"/>
  <c r="K264" i="15"/>
  <c r="B264" i="15"/>
  <c r="AL263" i="15"/>
  <c r="U263" i="15"/>
  <c r="AO263" i="15" s="1"/>
  <c r="AQ263" i="15" s="1"/>
  <c r="AR263" i="15" s="1"/>
  <c r="N263" i="15"/>
  <c r="K263" i="15"/>
  <c r="B263" i="15"/>
  <c r="AL262" i="15"/>
  <c r="V262" i="15"/>
  <c r="U262" i="15"/>
  <c r="N262" i="15"/>
  <c r="K262" i="15"/>
  <c r="B262" i="15"/>
  <c r="AL261" i="15"/>
  <c r="V261" i="15"/>
  <c r="U261" i="15"/>
  <c r="Y261" i="15" s="1"/>
  <c r="N261" i="15"/>
  <c r="K261" i="15"/>
  <c r="B261" i="15"/>
  <c r="AL260" i="15"/>
  <c r="V260" i="15"/>
  <c r="U260" i="15"/>
  <c r="N260" i="15"/>
  <c r="K260" i="15"/>
  <c r="B260" i="15"/>
  <c r="AL259" i="15"/>
  <c r="V259" i="15"/>
  <c r="U259" i="15"/>
  <c r="N259" i="15"/>
  <c r="K259" i="15"/>
  <c r="B259" i="15"/>
  <c r="AW258" i="15"/>
  <c r="AL258" i="15"/>
  <c r="U258" i="15"/>
  <c r="Y258" i="15" s="1"/>
  <c r="S258" i="15" s="1"/>
  <c r="N258" i="15"/>
  <c r="K258" i="15"/>
  <c r="B258" i="15"/>
  <c r="AL257" i="15"/>
  <c r="U257" i="15"/>
  <c r="AO257" i="15" s="1"/>
  <c r="AQ257" i="15" s="1"/>
  <c r="AR257" i="15" s="1"/>
  <c r="N257" i="15"/>
  <c r="K257" i="15"/>
  <c r="B257" i="15"/>
  <c r="AL256" i="15"/>
  <c r="V256" i="15"/>
  <c r="U256" i="15"/>
  <c r="AO256" i="15" s="1"/>
  <c r="AQ256" i="15" s="1"/>
  <c r="AR256" i="15" s="1"/>
  <c r="N256" i="15"/>
  <c r="K256" i="15"/>
  <c r="B256" i="15"/>
  <c r="AL255" i="15"/>
  <c r="V255" i="15"/>
  <c r="U255" i="15"/>
  <c r="N255" i="15"/>
  <c r="K255" i="15"/>
  <c r="B255" i="15"/>
  <c r="AL254" i="15"/>
  <c r="V254" i="15"/>
  <c r="U254" i="15"/>
  <c r="AO254" i="15" s="1"/>
  <c r="AQ254" i="15" s="1"/>
  <c r="AR254" i="15" s="1"/>
  <c r="N254" i="15"/>
  <c r="K254" i="15"/>
  <c r="B254" i="15"/>
  <c r="AZ253" i="15"/>
  <c r="AY253" i="15"/>
  <c r="AL253" i="15"/>
  <c r="U253" i="15"/>
  <c r="AZ252" i="15"/>
  <c r="AZ254" i="15" s="1"/>
  <c r="AY252" i="15"/>
  <c r="AL252" i="15"/>
  <c r="U252" i="15"/>
  <c r="Y252" i="15" s="1"/>
  <c r="Z252" i="15" s="1"/>
  <c r="AA252" i="15" s="1"/>
  <c r="AL251" i="15"/>
  <c r="U251" i="15"/>
  <c r="AO251" i="15" s="1"/>
  <c r="AQ251" i="15" s="1"/>
  <c r="AR251" i="15" s="1"/>
  <c r="N251" i="15"/>
  <c r="K251" i="15"/>
  <c r="B251" i="15"/>
  <c r="AL250" i="15"/>
  <c r="U250" i="15"/>
  <c r="AO250" i="15" s="1"/>
  <c r="AQ250" i="15" s="1"/>
  <c r="AR250" i="15" s="1"/>
  <c r="N250" i="15"/>
  <c r="B250" i="15"/>
  <c r="AL249" i="15"/>
  <c r="U249" i="15"/>
  <c r="Y249" i="15" s="1"/>
  <c r="Z249" i="15" s="1"/>
  <c r="AA249" i="15" s="1"/>
  <c r="N249" i="15"/>
  <c r="K249" i="15"/>
  <c r="B249" i="15"/>
  <c r="AL248" i="15"/>
  <c r="U248" i="15"/>
  <c r="Y248" i="15" s="1"/>
  <c r="Z248" i="15" s="1"/>
  <c r="AA248" i="15" s="1"/>
  <c r="N248" i="15"/>
  <c r="AL247" i="15"/>
  <c r="V247" i="15"/>
  <c r="U247" i="15"/>
  <c r="Y247" i="15" s="1"/>
  <c r="Z247" i="15" s="1"/>
  <c r="AA247" i="15" s="1"/>
  <c r="AH247" i="15" s="1"/>
  <c r="N247" i="15"/>
  <c r="B247" i="15"/>
  <c r="AL246" i="15"/>
  <c r="V246" i="15"/>
  <c r="U246" i="15"/>
  <c r="AO246" i="15" s="1"/>
  <c r="AQ246" i="15" s="1"/>
  <c r="AR246" i="15" s="1"/>
  <c r="N246" i="15"/>
  <c r="K246" i="15"/>
  <c r="B246" i="15"/>
  <c r="AL245" i="15"/>
  <c r="V245" i="15"/>
  <c r="U245" i="15"/>
  <c r="N245" i="15"/>
  <c r="K245" i="15"/>
  <c r="B245" i="15"/>
  <c r="AL244" i="15"/>
  <c r="V244" i="15"/>
  <c r="U244" i="15"/>
  <c r="AO244" i="15" s="1"/>
  <c r="AQ244" i="15" s="1"/>
  <c r="AR244" i="15" s="1"/>
  <c r="N244" i="15"/>
  <c r="K244" i="15"/>
  <c r="B244" i="15"/>
  <c r="AL243" i="15"/>
  <c r="V243" i="15"/>
  <c r="U243" i="15"/>
  <c r="AO243" i="15" s="1"/>
  <c r="AQ243" i="15" s="1"/>
  <c r="AR243" i="15" s="1"/>
  <c r="N243" i="15"/>
  <c r="B243" i="15"/>
  <c r="AL242" i="15"/>
  <c r="V242" i="15"/>
  <c r="U242" i="15"/>
  <c r="AO242" i="15" s="1"/>
  <c r="AQ242" i="15" s="1"/>
  <c r="AR242" i="15" s="1"/>
  <c r="N242" i="15"/>
  <c r="B242" i="15"/>
  <c r="AL241" i="15"/>
  <c r="U241" i="15"/>
  <c r="AO241" i="15" s="1"/>
  <c r="AQ241" i="15" s="1"/>
  <c r="AR241" i="15" s="1"/>
  <c r="AL240" i="15"/>
  <c r="U240" i="15"/>
  <c r="Y240" i="15" s="1"/>
  <c r="Z240" i="15" s="1"/>
  <c r="AA240" i="15" s="1"/>
  <c r="N240" i="15"/>
  <c r="AL239" i="15"/>
  <c r="U239" i="15"/>
  <c r="N239" i="15"/>
  <c r="AL238" i="15"/>
  <c r="U238" i="15"/>
  <c r="AO238" i="15" s="1"/>
  <c r="AQ238" i="15" s="1"/>
  <c r="AR238" i="15" s="1"/>
  <c r="N238" i="15"/>
  <c r="B238" i="15"/>
  <c r="AL237" i="15"/>
  <c r="U237" i="15"/>
  <c r="AO237" i="15" s="1"/>
  <c r="AQ237" i="15" s="1"/>
  <c r="AR237" i="15" s="1"/>
  <c r="N237" i="15"/>
  <c r="K237" i="15"/>
  <c r="B237" i="15"/>
  <c r="AL236" i="15"/>
  <c r="U236" i="15"/>
  <c r="N236" i="15"/>
  <c r="K236" i="15"/>
  <c r="B236" i="15"/>
  <c r="AL235" i="15"/>
  <c r="V235" i="15"/>
  <c r="U235" i="15"/>
  <c r="AO235" i="15" s="1"/>
  <c r="AQ235" i="15" s="1"/>
  <c r="AR235" i="15" s="1"/>
  <c r="N235" i="15"/>
  <c r="B235" i="15"/>
  <c r="AL234" i="15"/>
  <c r="V234" i="15"/>
  <c r="U234" i="15"/>
  <c r="AO234" i="15" s="1"/>
  <c r="AQ234" i="15" s="1"/>
  <c r="AR234" i="15" s="1"/>
  <c r="N234" i="15"/>
  <c r="K234" i="15"/>
  <c r="B234" i="15"/>
  <c r="AL233" i="15"/>
  <c r="V233" i="15"/>
  <c r="U233" i="15"/>
  <c r="N233" i="15"/>
  <c r="B233" i="15"/>
  <c r="AL232" i="15"/>
  <c r="V232" i="15"/>
  <c r="U232" i="15"/>
  <c r="AO232" i="15" s="1"/>
  <c r="AQ232" i="15" s="1"/>
  <c r="AR232" i="15" s="1"/>
  <c r="N232" i="15"/>
  <c r="B232" i="15"/>
  <c r="AL231" i="15"/>
  <c r="V231" i="15"/>
  <c r="U231" i="15"/>
  <c r="N231" i="15"/>
  <c r="AL230" i="15"/>
  <c r="V230" i="15"/>
  <c r="U230" i="15"/>
  <c r="N230" i="15"/>
  <c r="K230" i="15"/>
  <c r="B230" i="15"/>
  <c r="AL229" i="15"/>
  <c r="V229" i="15"/>
  <c r="U229" i="15"/>
  <c r="Y229" i="15" s="1"/>
  <c r="Z229" i="15" s="1"/>
  <c r="AA229" i="15" s="1"/>
  <c r="AD229" i="15" s="1"/>
  <c r="N229" i="15"/>
  <c r="K229" i="15"/>
  <c r="B229" i="15"/>
  <c r="AL228" i="15"/>
  <c r="V228" i="15"/>
  <c r="U228" i="15"/>
  <c r="Y228" i="15" s="1"/>
  <c r="S228" i="15" s="1"/>
  <c r="N228" i="15"/>
  <c r="K228" i="15"/>
  <c r="B228" i="15"/>
  <c r="AL227" i="15"/>
  <c r="V227" i="15"/>
  <c r="U227" i="15"/>
  <c r="Y227" i="15" s="1"/>
  <c r="Z227" i="15" s="1"/>
  <c r="AA227" i="15" s="1"/>
  <c r="N227" i="15"/>
  <c r="B227" i="15"/>
  <c r="AL226" i="15"/>
  <c r="V226" i="15"/>
  <c r="U226" i="15"/>
  <c r="AO226" i="15" s="1"/>
  <c r="AQ226" i="15" s="1"/>
  <c r="AR226" i="15" s="1"/>
  <c r="N226" i="15"/>
  <c r="K226" i="15"/>
  <c r="B226" i="15"/>
  <c r="AL225" i="15"/>
  <c r="V225" i="15"/>
  <c r="U225" i="15"/>
  <c r="N225" i="15"/>
  <c r="B225" i="15"/>
  <c r="AL224" i="15"/>
  <c r="V224" i="15"/>
  <c r="U224" i="15"/>
  <c r="AO224" i="15" s="1"/>
  <c r="AQ224" i="15" s="1"/>
  <c r="AR224" i="15" s="1"/>
  <c r="N224" i="15"/>
  <c r="K224" i="15"/>
  <c r="B224" i="15"/>
  <c r="AL223" i="15"/>
  <c r="V223" i="15"/>
  <c r="U223" i="15"/>
  <c r="Y223" i="15" s="1"/>
  <c r="Z223" i="15" s="1"/>
  <c r="AA223" i="15" s="1"/>
  <c r="N223" i="15"/>
  <c r="B223" i="15"/>
  <c r="AL222" i="15"/>
  <c r="V222" i="15"/>
  <c r="U222" i="15"/>
  <c r="N222" i="15"/>
  <c r="K222" i="15"/>
  <c r="B222" i="15"/>
  <c r="AL220" i="15"/>
  <c r="U220" i="15"/>
  <c r="Y220" i="15" s="1"/>
  <c r="Z220" i="15" s="1"/>
  <c r="AA220" i="15" s="1"/>
  <c r="AL219" i="15"/>
  <c r="V219" i="15"/>
  <c r="U219" i="15"/>
  <c r="AO219" i="15" s="1"/>
  <c r="AQ219" i="15" s="1"/>
  <c r="AR219" i="15" s="1"/>
  <c r="N219" i="15"/>
  <c r="K219" i="15"/>
  <c r="B219" i="15"/>
  <c r="AL218" i="15"/>
  <c r="V218" i="15"/>
  <c r="U218" i="15"/>
  <c r="AO218" i="15" s="1"/>
  <c r="AQ218" i="15" s="1"/>
  <c r="AR218" i="15" s="1"/>
  <c r="N218" i="15"/>
  <c r="K218" i="15"/>
  <c r="B218" i="15"/>
  <c r="AL217" i="15"/>
  <c r="V217" i="15"/>
  <c r="U217" i="15"/>
  <c r="Y217" i="15" s="1"/>
  <c r="Z217" i="15" s="1"/>
  <c r="AA217" i="15" s="1"/>
  <c r="N217" i="15"/>
  <c r="K217" i="15"/>
  <c r="B217" i="15"/>
  <c r="AL216" i="15"/>
  <c r="V216" i="15"/>
  <c r="U216" i="15"/>
  <c r="N216" i="15"/>
  <c r="K216" i="15"/>
  <c r="B216" i="15"/>
  <c r="AL215" i="15"/>
  <c r="V215" i="15"/>
  <c r="U215" i="15"/>
  <c r="AO215" i="15" s="1"/>
  <c r="AQ215" i="15" s="1"/>
  <c r="AR215" i="15" s="1"/>
  <c r="N215" i="15"/>
  <c r="K215" i="15"/>
  <c r="B215" i="15"/>
  <c r="AL214" i="15"/>
  <c r="V214" i="15"/>
  <c r="U214" i="15"/>
  <c r="Y214" i="15" s="1"/>
  <c r="N214" i="15"/>
  <c r="K214" i="15"/>
  <c r="B214" i="15"/>
  <c r="AL213" i="15"/>
  <c r="U213" i="15"/>
  <c r="AO213" i="15" s="1"/>
  <c r="AQ213" i="15" s="1"/>
  <c r="AR213" i="15" s="1"/>
  <c r="N213" i="15"/>
  <c r="B213" i="15"/>
  <c r="AL212" i="15"/>
  <c r="V212" i="15"/>
  <c r="U212" i="15"/>
  <c r="N212" i="15"/>
  <c r="K212" i="15"/>
  <c r="B212" i="15"/>
  <c r="AL211" i="15"/>
  <c r="V211" i="15"/>
  <c r="U211" i="15"/>
  <c r="Y211" i="15" s="1"/>
  <c r="N211" i="15"/>
  <c r="K211" i="15"/>
  <c r="B211" i="15"/>
  <c r="AL210" i="15"/>
  <c r="V210" i="15"/>
  <c r="U210" i="15"/>
  <c r="Y210" i="15" s="1"/>
  <c r="N210" i="15"/>
  <c r="K210" i="15"/>
  <c r="B210" i="15"/>
  <c r="AL209" i="15"/>
  <c r="V209" i="15"/>
  <c r="U209" i="15"/>
  <c r="AO209" i="15" s="1"/>
  <c r="AQ209" i="15" s="1"/>
  <c r="AR209" i="15" s="1"/>
  <c r="N209" i="15"/>
  <c r="K209" i="15"/>
  <c r="B209" i="15"/>
  <c r="AL208" i="15"/>
  <c r="V208" i="15"/>
  <c r="U208" i="15"/>
  <c r="N208" i="15"/>
  <c r="K208" i="15"/>
  <c r="B208" i="15"/>
  <c r="AL207" i="15"/>
  <c r="V207" i="15"/>
  <c r="U207" i="15"/>
  <c r="AO207" i="15" s="1"/>
  <c r="AQ207" i="15" s="1"/>
  <c r="AR207" i="15" s="1"/>
  <c r="N207" i="15"/>
  <c r="K207" i="15"/>
  <c r="B207" i="15"/>
  <c r="AL206" i="15"/>
  <c r="V206" i="15"/>
  <c r="U206" i="15"/>
  <c r="AO206" i="15" s="1"/>
  <c r="AQ206" i="15" s="1"/>
  <c r="AR206" i="15" s="1"/>
  <c r="N206" i="15"/>
  <c r="K206" i="15"/>
  <c r="B206" i="15"/>
  <c r="AL205" i="15"/>
  <c r="V205" i="15"/>
  <c r="U205" i="15"/>
  <c r="Y205" i="15" s="1"/>
  <c r="Z205" i="15" s="1"/>
  <c r="AA205" i="15" s="1"/>
  <c r="N205" i="15"/>
  <c r="K205" i="15"/>
  <c r="B205" i="15"/>
  <c r="AL204" i="15"/>
  <c r="V204" i="15"/>
  <c r="U204" i="15"/>
  <c r="AO204" i="15" s="1"/>
  <c r="AQ204" i="15" s="1"/>
  <c r="AR204" i="15" s="1"/>
  <c r="N204" i="15"/>
  <c r="K204" i="15"/>
  <c r="B204" i="15"/>
  <c r="AL203" i="15"/>
  <c r="V203" i="15"/>
  <c r="U203" i="15"/>
  <c r="Y203" i="15" s="1"/>
  <c r="Z203" i="15" s="1"/>
  <c r="AA203" i="15" s="1"/>
  <c r="N203" i="15"/>
  <c r="K203" i="15"/>
  <c r="B203" i="15"/>
  <c r="AL202" i="15"/>
  <c r="U202" i="15"/>
  <c r="AO202" i="15" s="1"/>
  <c r="AQ202" i="15" s="1"/>
  <c r="AR202" i="15" s="1"/>
  <c r="N202" i="15"/>
  <c r="K202" i="15"/>
  <c r="B202" i="15"/>
  <c r="AL201" i="15"/>
  <c r="U201" i="15"/>
  <c r="N201" i="15"/>
  <c r="K201" i="15"/>
  <c r="B201" i="15"/>
  <c r="AL200" i="15"/>
  <c r="V200" i="15"/>
  <c r="U200" i="15"/>
  <c r="AO200" i="15" s="1"/>
  <c r="AQ200" i="15" s="1"/>
  <c r="AR200" i="15" s="1"/>
  <c r="N200" i="15"/>
  <c r="K200" i="15"/>
  <c r="B200" i="15"/>
  <c r="AL199" i="15"/>
  <c r="V199" i="15"/>
  <c r="U199" i="15"/>
  <c r="AO199" i="15" s="1"/>
  <c r="AQ199" i="15" s="1"/>
  <c r="AR199" i="15" s="1"/>
  <c r="N199" i="15"/>
  <c r="B199" i="15"/>
  <c r="AL198" i="15"/>
  <c r="V198" i="15"/>
  <c r="U198" i="15"/>
  <c r="Y198" i="15" s="1"/>
  <c r="Z198" i="15" s="1"/>
  <c r="AA198" i="15" s="1"/>
  <c r="N198" i="15"/>
  <c r="K198" i="15"/>
  <c r="B198" i="15"/>
  <c r="AL197" i="15"/>
  <c r="V197" i="15"/>
  <c r="U197" i="15"/>
  <c r="N197" i="15"/>
  <c r="K197" i="15"/>
  <c r="B197" i="15"/>
  <c r="AL196" i="15"/>
  <c r="V196" i="15"/>
  <c r="U196" i="15"/>
  <c r="AO196" i="15" s="1"/>
  <c r="AQ196" i="15" s="1"/>
  <c r="AR196" i="15" s="1"/>
  <c r="N196" i="15"/>
  <c r="B196" i="15"/>
  <c r="AL195" i="15"/>
  <c r="V195" i="15"/>
  <c r="U195" i="15"/>
  <c r="Y195" i="15" s="1"/>
  <c r="Z195" i="15" s="1"/>
  <c r="AA195" i="15" s="1"/>
  <c r="N195" i="15"/>
  <c r="K195" i="15"/>
  <c r="B195" i="15"/>
  <c r="AL194" i="15"/>
  <c r="V194" i="15"/>
  <c r="U194" i="15"/>
  <c r="AO194" i="15" s="1"/>
  <c r="AQ194" i="15" s="1"/>
  <c r="AR194" i="15" s="1"/>
  <c r="N194" i="15"/>
  <c r="B194" i="15"/>
  <c r="AL193" i="15"/>
  <c r="V193" i="15"/>
  <c r="U193" i="15"/>
  <c r="N193" i="15"/>
  <c r="K193" i="15"/>
  <c r="B193" i="15"/>
  <c r="AL192" i="15"/>
  <c r="V192" i="15"/>
  <c r="U192" i="15"/>
  <c r="AO192" i="15" s="1"/>
  <c r="AQ192" i="15" s="1"/>
  <c r="AR192" i="15" s="1"/>
  <c r="N192" i="15"/>
  <c r="K192" i="15"/>
  <c r="B192" i="15"/>
  <c r="AL191" i="15"/>
  <c r="V191" i="15"/>
  <c r="U191" i="15"/>
  <c r="AO191" i="15" s="1"/>
  <c r="AQ191" i="15" s="1"/>
  <c r="AR191" i="15" s="1"/>
  <c r="N191" i="15"/>
  <c r="K191" i="15"/>
  <c r="B191" i="15"/>
  <c r="AL190" i="15"/>
  <c r="V190" i="15"/>
  <c r="U190" i="15"/>
  <c r="N190" i="15"/>
  <c r="K190" i="15"/>
  <c r="B190" i="15"/>
  <c r="AL189" i="15"/>
  <c r="V189" i="15"/>
  <c r="U189" i="15"/>
  <c r="Y189" i="15" s="1"/>
  <c r="N189" i="15"/>
  <c r="K189" i="15"/>
  <c r="B189" i="15"/>
  <c r="AL188" i="15"/>
  <c r="U188" i="15"/>
  <c r="Y188" i="15" s="1"/>
  <c r="AL187" i="15"/>
  <c r="X187" i="15"/>
  <c r="U187" i="15"/>
  <c r="AO187" i="15" s="1"/>
  <c r="AQ187" i="15" s="1"/>
  <c r="AR187" i="15" s="1"/>
  <c r="N187" i="15"/>
  <c r="AL186" i="15"/>
  <c r="U186" i="15"/>
  <c r="AO186" i="15" s="1"/>
  <c r="AQ186" i="15" s="1"/>
  <c r="AR186" i="15" s="1"/>
  <c r="N186" i="15"/>
  <c r="AL185" i="15"/>
  <c r="V185" i="15"/>
  <c r="U185" i="15"/>
  <c r="AO185" i="15" s="1"/>
  <c r="AQ185" i="15" s="1"/>
  <c r="AR185" i="15" s="1"/>
  <c r="N185" i="15"/>
  <c r="K185" i="15"/>
  <c r="B185" i="15"/>
  <c r="AL184" i="15"/>
  <c r="V184" i="15"/>
  <c r="U184" i="15"/>
  <c r="N184" i="15"/>
  <c r="K184" i="15"/>
  <c r="B184" i="15"/>
  <c r="AL183" i="15"/>
  <c r="V183" i="15"/>
  <c r="U183" i="15"/>
  <c r="AO183" i="15" s="1"/>
  <c r="AQ183" i="15" s="1"/>
  <c r="AR183" i="15" s="1"/>
  <c r="N183" i="15"/>
  <c r="K183" i="15"/>
  <c r="B183" i="15"/>
  <c r="AW182" i="15"/>
  <c r="AW201" i="15" s="1"/>
  <c r="AL182" i="15"/>
  <c r="U182" i="15"/>
  <c r="N182" i="15"/>
  <c r="K182" i="15"/>
  <c r="B182" i="15"/>
  <c r="AW181" i="15"/>
  <c r="AL181" i="15"/>
  <c r="U181" i="15"/>
  <c r="N181" i="15"/>
  <c r="K181" i="15"/>
  <c r="B181" i="15"/>
  <c r="AL180" i="15"/>
  <c r="V180" i="15"/>
  <c r="U180" i="15"/>
  <c r="Y180" i="15" s="1"/>
  <c r="Z180" i="15" s="1"/>
  <c r="AA180" i="15" s="1"/>
  <c r="N180" i="15"/>
  <c r="K180" i="15"/>
  <c r="B180" i="15"/>
  <c r="AL179" i="15"/>
  <c r="V179" i="15"/>
  <c r="U179" i="15"/>
  <c r="AO179" i="15" s="1"/>
  <c r="AQ179" i="15" s="1"/>
  <c r="AR179" i="15" s="1"/>
  <c r="N179" i="15"/>
  <c r="K179" i="15"/>
  <c r="B179" i="15"/>
  <c r="AL178" i="15"/>
  <c r="V178" i="15"/>
  <c r="U178" i="15"/>
  <c r="Y178" i="15" s="1"/>
  <c r="N178" i="15"/>
  <c r="K178" i="15"/>
  <c r="B178" i="15"/>
  <c r="AL177" i="15"/>
  <c r="V177" i="15"/>
  <c r="U177" i="15"/>
  <c r="AO177" i="15" s="1"/>
  <c r="AQ177" i="15" s="1"/>
  <c r="AR177" i="15" s="1"/>
  <c r="N177" i="15"/>
  <c r="K177" i="15"/>
  <c r="B177" i="15"/>
  <c r="AL176" i="15"/>
  <c r="V176" i="15"/>
  <c r="U176" i="15"/>
  <c r="N176" i="15"/>
  <c r="B176" i="15"/>
  <c r="AL175" i="15"/>
  <c r="V175" i="15"/>
  <c r="U175" i="15"/>
  <c r="AO175" i="15" s="1"/>
  <c r="AQ175" i="15" s="1"/>
  <c r="AR175" i="15" s="1"/>
  <c r="N175" i="15"/>
  <c r="K175" i="15"/>
  <c r="B175" i="15"/>
  <c r="AL174" i="15"/>
  <c r="V174" i="15"/>
  <c r="U174" i="15"/>
  <c r="N174" i="15"/>
  <c r="B174" i="15"/>
  <c r="AL173" i="15"/>
  <c r="V173" i="15"/>
  <c r="U173" i="15"/>
  <c r="N173" i="15"/>
  <c r="K173" i="15"/>
  <c r="B173" i="15"/>
  <c r="AL172" i="15"/>
  <c r="V172" i="15"/>
  <c r="U172" i="15"/>
  <c r="Y172" i="15" s="1"/>
  <c r="S172" i="15" s="1"/>
  <c r="N172" i="15"/>
  <c r="B172" i="15"/>
  <c r="AL171" i="15"/>
  <c r="V171" i="15"/>
  <c r="U171" i="15"/>
  <c r="Y171" i="15" s="1"/>
  <c r="N171" i="15"/>
  <c r="K171" i="15"/>
  <c r="AL170" i="15"/>
  <c r="V170" i="15"/>
  <c r="U170" i="15"/>
  <c r="AO170" i="15" s="1"/>
  <c r="AQ170" i="15" s="1"/>
  <c r="AR170" i="15" s="1"/>
  <c r="N170" i="15"/>
  <c r="K170" i="15"/>
  <c r="B170" i="15"/>
  <c r="AL169" i="15"/>
  <c r="V169" i="15"/>
  <c r="U169" i="15"/>
  <c r="AO169" i="15" s="1"/>
  <c r="AQ169" i="15" s="1"/>
  <c r="AR169" i="15" s="1"/>
  <c r="N169" i="15"/>
  <c r="K169" i="15"/>
  <c r="B169" i="15"/>
  <c r="AL168" i="15"/>
  <c r="V168" i="15"/>
  <c r="U168" i="15"/>
  <c r="N168" i="15"/>
  <c r="K168" i="15"/>
  <c r="B168" i="15"/>
  <c r="AL167" i="15"/>
  <c r="V167" i="15"/>
  <c r="U167" i="15"/>
  <c r="AO167" i="15" s="1"/>
  <c r="AQ167" i="15" s="1"/>
  <c r="AR167" i="15" s="1"/>
  <c r="N167" i="15"/>
  <c r="K167" i="15"/>
  <c r="B167" i="15"/>
  <c r="AL166" i="15"/>
  <c r="W166" i="15"/>
  <c r="W283" i="15" s="1"/>
  <c r="W289" i="15" s="1"/>
  <c r="V166" i="15"/>
  <c r="U166" i="15"/>
  <c r="N166" i="15"/>
  <c r="B166" i="15"/>
  <c r="AL165" i="15"/>
  <c r="V165" i="15"/>
  <c r="U165" i="15"/>
  <c r="AO165" i="15" s="1"/>
  <c r="AQ165" i="15" s="1"/>
  <c r="AR165" i="15" s="1"/>
  <c r="N165" i="15"/>
  <c r="K165" i="15"/>
  <c r="B165" i="15"/>
  <c r="AL164" i="15"/>
  <c r="U164" i="15"/>
  <c r="AO164" i="15" s="1"/>
  <c r="AQ164" i="15" s="1"/>
  <c r="AR164" i="15" s="1"/>
  <c r="N164" i="15"/>
  <c r="K164" i="15"/>
  <c r="B164" i="15"/>
  <c r="AL163" i="15"/>
  <c r="U163" i="15"/>
  <c r="AO163" i="15" s="1"/>
  <c r="AQ163" i="15" s="1"/>
  <c r="AR163" i="15" s="1"/>
  <c r="N163" i="15"/>
  <c r="K163" i="15"/>
  <c r="B163" i="15"/>
  <c r="AL162" i="15"/>
  <c r="U162" i="15"/>
  <c r="Y162" i="15" s="1"/>
  <c r="N162" i="15"/>
  <c r="K162" i="15"/>
  <c r="B162" i="15"/>
  <c r="AL161" i="15"/>
  <c r="V161" i="15"/>
  <c r="U161" i="15"/>
  <c r="N161" i="15"/>
  <c r="K161" i="15"/>
  <c r="B161" i="15"/>
  <c r="AL160" i="15"/>
  <c r="V160" i="15"/>
  <c r="U160" i="15"/>
  <c r="AO160" i="15" s="1"/>
  <c r="AQ160" i="15" s="1"/>
  <c r="AR160" i="15" s="1"/>
  <c r="N160" i="15"/>
  <c r="K160" i="15"/>
  <c r="B160" i="15"/>
  <c r="AL159" i="15"/>
  <c r="V159" i="15"/>
  <c r="U159" i="15"/>
  <c r="AO159" i="15" s="1"/>
  <c r="AQ159" i="15" s="1"/>
  <c r="AR159" i="15" s="1"/>
  <c r="N159" i="15"/>
  <c r="K159" i="15"/>
  <c r="B159" i="15"/>
  <c r="AL158" i="15"/>
  <c r="V158" i="15"/>
  <c r="U158" i="15"/>
  <c r="Y158" i="15" s="1"/>
  <c r="Z158" i="15" s="1"/>
  <c r="AA158" i="15" s="1"/>
  <c r="N158" i="15"/>
  <c r="K158" i="15"/>
  <c r="B158" i="15"/>
  <c r="AL157" i="15"/>
  <c r="V157" i="15"/>
  <c r="U157" i="15"/>
  <c r="N157" i="15"/>
  <c r="K157" i="15"/>
  <c r="B157" i="15"/>
  <c r="AL156" i="15"/>
  <c r="U156" i="15"/>
  <c r="Y156" i="15" s="1"/>
  <c r="Z156" i="15" s="1"/>
  <c r="AA156" i="15" s="1"/>
  <c r="AL155" i="15"/>
  <c r="X155" i="15"/>
  <c r="U155" i="15"/>
  <c r="N155" i="15"/>
  <c r="AL154" i="15"/>
  <c r="U154" i="15"/>
  <c r="AO154" i="15" s="1"/>
  <c r="AQ154" i="15" s="1"/>
  <c r="AR154" i="15" s="1"/>
  <c r="N154" i="15"/>
  <c r="AL153" i="15"/>
  <c r="V153" i="15"/>
  <c r="U153" i="15"/>
  <c r="Y153" i="15" s="1"/>
  <c r="N153" i="15"/>
  <c r="K153" i="15"/>
  <c r="B153" i="15"/>
  <c r="AL152" i="15"/>
  <c r="U152" i="15"/>
  <c r="Y152" i="15" s="1"/>
  <c r="N152" i="15"/>
  <c r="AL151" i="15"/>
  <c r="U151" i="15"/>
  <c r="AL150" i="15"/>
  <c r="U150" i="15"/>
  <c r="AO150" i="15" s="1"/>
  <c r="AQ150" i="15" s="1"/>
  <c r="AR150" i="15" s="1"/>
  <c r="AL149" i="15"/>
  <c r="U149" i="15"/>
  <c r="AO149" i="15" s="1"/>
  <c r="AQ149" i="15" s="1"/>
  <c r="AR149" i="15" s="1"/>
  <c r="N149" i="15"/>
  <c r="K149" i="15"/>
  <c r="B149" i="15"/>
  <c r="AL148" i="15"/>
  <c r="U148" i="15"/>
  <c r="AO148" i="15" s="1"/>
  <c r="AQ148" i="15" s="1"/>
  <c r="AR148" i="15" s="1"/>
  <c r="N148" i="15"/>
  <c r="K148" i="15"/>
  <c r="B148" i="15"/>
  <c r="AL147" i="15"/>
  <c r="U147" i="15"/>
  <c r="Y147" i="15" s="1"/>
  <c r="Z147" i="15" s="1"/>
  <c r="AA147" i="15" s="1"/>
  <c r="N147" i="15"/>
  <c r="K147" i="15"/>
  <c r="B147" i="15"/>
  <c r="AL146" i="15"/>
  <c r="U146" i="15"/>
  <c r="Y146" i="15" s="1"/>
  <c r="N146" i="15"/>
  <c r="B146" i="15"/>
  <c r="AL145" i="15"/>
  <c r="V145" i="15"/>
  <c r="U145" i="15"/>
  <c r="AO145" i="15" s="1"/>
  <c r="AQ145" i="15" s="1"/>
  <c r="AR145" i="15" s="1"/>
  <c r="N145" i="15"/>
  <c r="K145" i="15"/>
  <c r="B145" i="15"/>
  <c r="AL144" i="15"/>
  <c r="V144" i="15"/>
  <c r="U144" i="15"/>
  <c r="Y144" i="15" s="1"/>
  <c r="Z144" i="15" s="1"/>
  <c r="AA144" i="15" s="1"/>
  <c r="AG144" i="15" s="1"/>
  <c r="N144" i="15"/>
  <c r="K144" i="15"/>
  <c r="B144" i="15"/>
  <c r="AL143" i="15"/>
  <c r="AJ143" i="15"/>
  <c r="U143" i="15"/>
  <c r="AL142" i="15"/>
  <c r="U142" i="15"/>
  <c r="Y142" i="15" s="1"/>
  <c r="Z142" i="15" s="1"/>
  <c r="AA142" i="15" s="1"/>
  <c r="AL141" i="15"/>
  <c r="V141" i="15"/>
  <c r="U141" i="15"/>
  <c r="AO141" i="15" s="1"/>
  <c r="AQ141" i="15" s="1"/>
  <c r="AR141" i="15" s="1"/>
  <c r="N141" i="15"/>
  <c r="K141" i="15"/>
  <c r="B141" i="15"/>
  <c r="AZ140" i="15"/>
  <c r="AY140" i="15"/>
  <c r="AL140" i="15"/>
  <c r="U140" i="15"/>
  <c r="AO140" i="15" s="1"/>
  <c r="AQ140" i="15" s="1"/>
  <c r="AR140" i="15" s="1"/>
  <c r="N140" i="15"/>
  <c r="AL139" i="15"/>
  <c r="U139" i="15"/>
  <c r="AO139" i="15" s="1"/>
  <c r="AQ139" i="15" s="1"/>
  <c r="AR139" i="15" s="1"/>
  <c r="N139" i="15"/>
  <c r="AL138" i="15"/>
  <c r="U138" i="15"/>
  <c r="AO138" i="15" s="1"/>
  <c r="AQ138" i="15" s="1"/>
  <c r="AR138" i="15" s="1"/>
  <c r="N138" i="15"/>
  <c r="K138" i="15"/>
  <c r="B138" i="15"/>
  <c r="AL137" i="15"/>
  <c r="V137" i="15"/>
  <c r="U137" i="15"/>
  <c r="AO137" i="15" s="1"/>
  <c r="AQ137" i="15" s="1"/>
  <c r="AR137" i="15" s="1"/>
  <c r="N137" i="15"/>
  <c r="K137" i="15"/>
  <c r="B137" i="15"/>
  <c r="AL136" i="15"/>
  <c r="V136" i="15"/>
  <c r="U136" i="15"/>
  <c r="AO136" i="15" s="1"/>
  <c r="AQ136" i="15" s="1"/>
  <c r="AR136" i="15" s="1"/>
  <c r="N136" i="15"/>
  <c r="K136" i="15"/>
  <c r="B136" i="15"/>
  <c r="AL135" i="15"/>
  <c r="U135" i="15"/>
  <c r="N135" i="15"/>
  <c r="K135" i="15"/>
  <c r="B135" i="15"/>
  <c r="AL134" i="15"/>
  <c r="V134" i="15"/>
  <c r="U134" i="15"/>
  <c r="Y134" i="15" s="1"/>
  <c r="N134" i="15"/>
  <c r="K134" i="15"/>
  <c r="B134" i="15"/>
  <c r="AQ133" i="15"/>
  <c r="AR133" i="15" s="1"/>
  <c r="AL133" i="15"/>
  <c r="V133" i="15"/>
  <c r="U133" i="15"/>
  <c r="N133" i="15"/>
  <c r="K133" i="15"/>
  <c r="B133" i="15"/>
  <c r="AQ132" i="15"/>
  <c r="AR132" i="15" s="1"/>
  <c r="AL132" i="15"/>
  <c r="V132" i="15"/>
  <c r="U132" i="15"/>
  <c r="N132" i="15"/>
  <c r="K132" i="15"/>
  <c r="B132" i="15"/>
  <c r="AL131" i="15"/>
  <c r="U131" i="15"/>
  <c r="Y131" i="15" s="1"/>
  <c r="N131" i="15"/>
  <c r="AY130" i="15"/>
  <c r="AY132" i="15" s="1"/>
  <c r="AL130" i="15"/>
  <c r="V130" i="15"/>
  <c r="U130" i="15"/>
  <c r="AO130" i="15" s="1"/>
  <c r="AQ130" i="15" s="1"/>
  <c r="AR130" i="15" s="1"/>
  <c r="N130" i="15"/>
  <c r="K130" i="15"/>
  <c r="B130" i="15"/>
  <c r="AL129" i="15"/>
  <c r="V129" i="15"/>
  <c r="U129" i="15"/>
  <c r="N129" i="15"/>
  <c r="K129" i="15"/>
  <c r="B129" i="15"/>
  <c r="AL128" i="15"/>
  <c r="V128" i="15"/>
  <c r="U128" i="15"/>
  <c r="AO128" i="15" s="1"/>
  <c r="AQ128" i="15" s="1"/>
  <c r="AR128" i="15" s="1"/>
  <c r="N128" i="15"/>
  <c r="K128" i="15"/>
  <c r="B128" i="15"/>
  <c r="AW127" i="15"/>
  <c r="AL127" i="15"/>
  <c r="V127" i="15"/>
  <c r="U127" i="15"/>
  <c r="AO127" i="15" s="1"/>
  <c r="AQ127" i="15" s="1"/>
  <c r="AR127" i="15" s="1"/>
  <c r="K127" i="15"/>
  <c r="B127" i="15"/>
  <c r="AW126" i="15"/>
  <c r="AQ126" i="15"/>
  <c r="AR126" i="15" s="1"/>
  <c r="AL126" i="15"/>
  <c r="V126" i="15"/>
  <c r="U126" i="15"/>
  <c r="N126" i="15"/>
  <c r="K126" i="15"/>
  <c r="B126" i="15"/>
  <c r="AL125" i="15"/>
  <c r="U125" i="15"/>
  <c r="AO125" i="15" s="1"/>
  <c r="AQ125" i="15" s="1"/>
  <c r="AR125" i="15" s="1"/>
  <c r="N125" i="15"/>
  <c r="K125" i="15"/>
  <c r="B125" i="15"/>
  <c r="AQ124" i="15"/>
  <c r="AR124" i="15" s="1"/>
  <c r="AL124" i="15"/>
  <c r="V124" i="15"/>
  <c r="U124" i="15"/>
  <c r="N124" i="15"/>
  <c r="K124" i="15"/>
  <c r="B124" i="15"/>
  <c r="AL123" i="15"/>
  <c r="V123" i="15"/>
  <c r="U123" i="15"/>
  <c r="AO123" i="15" s="1"/>
  <c r="AQ123" i="15" s="1"/>
  <c r="AR123" i="15" s="1"/>
  <c r="N123" i="15"/>
  <c r="B123" i="15"/>
  <c r="AY122" i="15"/>
  <c r="AW122" i="15"/>
  <c r="AQ122" i="15"/>
  <c r="AR122" i="15" s="1"/>
  <c r="AL122" i="15"/>
  <c r="V122" i="15"/>
  <c r="U122" i="15"/>
  <c r="N122" i="15"/>
  <c r="K122" i="15"/>
  <c r="B122" i="15"/>
  <c r="AQ121" i="15"/>
  <c r="AR121" i="15" s="1"/>
  <c r="AL121" i="15"/>
  <c r="V121" i="15"/>
  <c r="U121" i="15"/>
  <c r="N121" i="15"/>
  <c r="K121" i="15"/>
  <c r="B121" i="15"/>
  <c r="AL120" i="15"/>
  <c r="V120" i="15"/>
  <c r="U120" i="15"/>
  <c r="AO120" i="15" s="1"/>
  <c r="AQ120" i="15" s="1"/>
  <c r="AR120" i="15" s="1"/>
  <c r="N120" i="15"/>
  <c r="K120" i="15"/>
  <c r="B120" i="15"/>
  <c r="AL119" i="15"/>
  <c r="V119" i="15"/>
  <c r="U119" i="15"/>
  <c r="AO119" i="15" s="1"/>
  <c r="AQ119" i="15" s="1"/>
  <c r="AR119" i="15" s="1"/>
  <c r="N119" i="15"/>
  <c r="K119" i="15"/>
  <c r="B119" i="15"/>
  <c r="AL118" i="15"/>
  <c r="V118" i="15"/>
  <c r="U118" i="15"/>
  <c r="N118" i="15"/>
  <c r="K118" i="15"/>
  <c r="B118" i="15"/>
  <c r="AL117" i="15"/>
  <c r="U117" i="15"/>
  <c r="N117" i="15"/>
  <c r="K117" i="15"/>
  <c r="B117" i="15"/>
  <c r="AL116" i="15"/>
  <c r="V116" i="15"/>
  <c r="U116" i="15"/>
  <c r="AO116" i="15" s="1"/>
  <c r="AQ116" i="15" s="1"/>
  <c r="AR116" i="15" s="1"/>
  <c r="N116" i="15"/>
  <c r="K116" i="15"/>
  <c r="B116" i="15"/>
  <c r="AQ115" i="15"/>
  <c r="AR115" i="15" s="1"/>
  <c r="AL115" i="15"/>
  <c r="V115" i="15"/>
  <c r="U115" i="15"/>
  <c r="N115" i="15"/>
  <c r="K115" i="15"/>
  <c r="B115" i="15"/>
  <c r="AQ114" i="15"/>
  <c r="AR114" i="15" s="1"/>
  <c r="AL114" i="15"/>
  <c r="V114" i="15"/>
  <c r="U114" i="15"/>
  <c r="N114" i="15"/>
  <c r="K114" i="15"/>
  <c r="B114" i="15"/>
  <c r="AZ113" i="15"/>
  <c r="AZ114" i="15" s="1"/>
  <c r="AZ117" i="15" s="1"/>
  <c r="AZ103" i="15" s="1"/>
  <c r="AY113" i="15"/>
  <c r="AY114" i="15" s="1"/>
  <c r="AY117" i="15" s="1"/>
  <c r="AQ113" i="15"/>
  <c r="AR113" i="15" s="1"/>
  <c r="AL113" i="15"/>
  <c r="V113" i="15"/>
  <c r="U113" i="15"/>
  <c r="N113" i="15"/>
  <c r="K113" i="15"/>
  <c r="B113" i="15"/>
  <c r="AQ112" i="15"/>
  <c r="AR112" i="15" s="1"/>
  <c r="AL112" i="15"/>
  <c r="V112" i="15"/>
  <c r="U112" i="15"/>
  <c r="N112" i="15"/>
  <c r="K112" i="15"/>
  <c r="B112" i="15"/>
  <c r="AQ111" i="15"/>
  <c r="AR111" i="15" s="1"/>
  <c r="AL111" i="15"/>
  <c r="V111" i="15"/>
  <c r="U111" i="15"/>
  <c r="N111" i="15"/>
  <c r="K111" i="15"/>
  <c r="B111" i="15"/>
  <c r="AL110" i="15"/>
  <c r="V110" i="15"/>
  <c r="U110" i="15"/>
  <c r="N110" i="15"/>
  <c r="K110" i="15"/>
  <c r="B110" i="15"/>
  <c r="AL109" i="15"/>
  <c r="U109" i="15"/>
  <c r="N109" i="15"/>
  <c r="K109" i="15"/>
  <c r="B109" i="15"/>
  <c r="AL108" i="15"/>
  <c r="U108" i="15"/>
  <c r="AO108" i="15" s="1"/>
  <c r="AQ108" i="15" s="1"/>
  <c r="AR108" i="15" s="1"/>
  <c r="N108" i="15"/>
  <c r="K108" i="15"/>
  <c r="B108" i="15"/>
  <c r="AQ107" i="15"/>
  <c r="AR107" i="15" s="1"/>
  <c r="AL107" i="15"/>
  <c r="V107" i="15"/>
  <c r="U107" i="15"/>
  <c r="N107" i="15"/>
  <c r="K107" i="15"/>
  <c r="B107" i="15"/>
  <c r="AL106" i="15"/>
  <c r="V106" i="15"/>
  <c r="U106" i="15"/>
  <c r="AO106" i="15" s="1"/>
  <c r="AQ106" i="15" s="1"/>
  <c r="AR106" i="15" s="1"/>
  <c r="K106" i="15"/>
  <c r="B106" i="15"/>
  <c r="AQ105" i="15"/>
  <c r="AR105" i="15" s="1"/>
  <c r="AL105" i="15"/>
  <c r="V105" i="15"/>
  <c r="U105" i="15"/>
  <c r="N105" i="15"/>
  <c r="K105" i="15"/>
  <c r="B105" i="15"/>
  <c r="AL104" i="15"/>
  <c r="V104" i="15"/>
  <c r="U104" i="15"/>
  <c r="AO104" i="15" s="1"/>
  <c r="AQ104" i="15" s="1"/>
  <c r="AR104" i="15" s="1"/>
  <c r="N104" i="15"/>
  <c r="K104" i="15"/>
  <c r="B104" i="15"/>
  <c r="AQ103" i="15"/>
  <c r="AR103" i="15" s="1"/>
  <c r="AL103" i="15"/>
  <c r="V103" i="15"/>
  <c r="U103" i="15"/>
  <c r="N103" i="15"/>
  <c r="B103" i="15"/>
  <c r="AL102" i="15"/>
  <c r="V102" i="15"/>
  <c r="U102" i="15"/>
  <c r="N102" i="15"/>
  <c r="K102" i="15"/>
  <c r="B102" i="15"/>
  <c r="AL101" i="15"/>
  <c r="V101" i="15"/>
  <c r="U101" i="15"/>
  <c r="AO101" i="15" s="1"/>
  <c r="AQ101" i="15" s="1"/>
  <c r="AR101" i="15" s="1"/>
  <c r="N101" i="15"/>
  <c r="K101" i="15"/>
  <c r="B101" i="15"/>
  <c r="AL100" i="15"/>
  <c r="U100" i="15"/>
  <c r="AO100" i="15" s="1"/>
  <c r="AQ100" i="15" s="1"/>
  <c r="AR100" i="15" s="1"/>
  <c r="N100" i="15"/>
  <c r="B100" i="15"/>
  <c r="AQ99" i="15"/>
  <c r="AR99" i="15" s="1"/>
  <c r="AL99" i="15"/>
  <c r="V99" i="15"/>
  <c r="U99" i="15"/>
  <c r="N99" i="15"/>
  <c r="B99" i="15"/>
  <c r="AQ98" i="15"/>
  <c r="AR98" i="15" s="1"/>
  <c r="AL98" i="15"/>
  <c r="V98" i="15"/>
  <c r="U98" i="15"/>
  <c r="N98" i="15"/>
  <c r="K98" i="15"/>
  <c r="B98" i="15"/>
  <c r="AQ97" i="15"/>
  <c r="AR97" i="15" s="1"/>
  <c r="AL97" i="15"/>
  <c r="V97" i="15"/>
  <c r="U97" i="15"/>
  <c r="N97" i="15"/>
  <c r="K97" i="15"/>
  <c r="B97" i="15"/>
  <c r="AQ96" i="15"/>
  <c r="AR96" i="15" s="1"/>
  <c r="AL96" i="15"/>
  <c r="V96" i="15"/>
  <c r="U96" i="15"/>
  <c r="N96" i="15"/>
  <c r="K96" i="15"/>
  <c r="B96" i="15"/>
  <c r="AL95" i="15"/>
  <c r="V95" i="15"/>
  <c r="U95" i="15"/>
  <c r="AO95" i="15" s="1"/>
  <c r="AQ95" i="15" s="1"/>
  <c r="AR95" i="15" s="1"/>
  <c r="N95" i="15"/>
  <c r="K95" i="15"/>
  <c r="B95" i="15"/>
  <c r="AQ94" i="15"/>
  <c r="AR94" i="15" s="1"/>
  <c r="AL94" i="15"/>
  <c r="V94" i="15"/>
  <c r="U94" i="15"/>
  <c r="N94" i="15"/>
  <c r="K94" i="15"/>
  <c r="B94" i="15"/>
  <c r="AW93" i="15"/>
  <c r="AQ93" i="15"/>
  <c r="AR93" i="15" s="1"/>
  <c r="AL93" i="15"/>
  <c r="V93" i="15"/>
  <c r="U93" i="15"/>
  <c r="N93" i="15"/>
  <c r="K93" i="15"/>
  <c r="B93" i="15"/>
  <c r="AL92" i="15"/>
  <c r="V92" i="15"/>
  <c r="U92" i="15"/>
  <c r="N92" i="15"/>
  <c r="B92" i="15"/>
  <c r="AQ91" i="15"/>
  <c r="AR91" i="15" s="1"/>
  <c r="AL91" i="15"/>
  <c r="V91" i="15"/>
  <c r="U91" i="15"/>
  <c r="AQ90" i="15"/>
  <c r="AR90" i="15" s="1"/>
  <c r="AL90" i="15"/>
  <c r="V90" i="15"/>
  <c r="U90" i="15"/>
  <c r="K90" i="15"/>
  <c r="B90" i="15"/>
  <c r="AL89" i="15"/>
  <c r="V89" i="15"/>
  <c r="U89" i="15"/>
  <c r="AO89" i="15" s="1"/>
  <c r="AQ89" i="15" s="1"/>
  <c r="AR89" i="15" s="1"/>
  <c r="N89" i="15"/>
  <c r="K89" i="15"/>
  <c r="B89" i="15"/>
  <c r="AQ88" i="15"/>
  <c r="AR88" i="15" s="1"/>
  <c r="AL88" i="15"/>
  <c r="V88" i="15"/>
  <c r="U88" i="15"/>
  <c r="N88" i="15"/>
  <c r="K88" i="15"/>
  <c r="B88" i="15"/>
  <c r="AL87" i="15"/>
  <c r="V87" i="15"/>
  <c r="U87" i="15"/>
  <c r="N87" i="15"/>
  <c r="K87" i="15"/>
  <c r="B87" i="15"/>
  <c r="AL86" i="15"/>
  <c r="R86" i="15"/>
  <c r="U86" i="15" s="1"/>
  <c r="N86" i="15"/>
  <c r="K86" i="15"/>
  <c r="B86" i="15"/>
  <c r="AQ85" i="15"/>
  <c r="AR85" i="15" s="1"/>
  <c r="AL85" i="15"/>
  <c r="V85" i="15"/>
  <c r="U85" i="15"/>
  <c r="N85" i="15"/>
  <c r="K85" i="15"/>
  <c r="B85" i="15"/>
  <c r="AL84" i="15"/>
  <c r="U84" i="15"/>
  <c r="N84" i="15"/>
  <c r="B84" i="15"/>
  <c r="AL83" i="15"/>
  <c r="U83" i="15"/>
  <c r="N83" i="15"/>
  <c r="K83" i="15"/>
  <c r="B83" i="15"/>
  <c r="B82" i="15"/>
  <c r="B81" i="15"/>
  <c r="AS80" i="15"/>
  <c r="AP80" i="15"/>
  <c r="AN80" i="15"/>
  <c r="AM80" i="15"/>
  <c r="AL80" i="15"/>
  <c r="AL288" i="15" s="1"/>
  <c r="AK80" i="15"/>
  <c r="AK288" i="15" s="1"/>
  <c r="AD80" i="15"/>
  <c r="AD288" i="15" s="1"/>
  <c r="X80" i="15"/>
  <c r="X288" i="15" s="1"/>
  <c r="W80" i="15"/>
  <c r="W288" i="15" s="1"/>
  <c r="U80" i="15"/>
  <c r="U288" i="15" s="1"/>
  <c r="T80" i="15"/>
  <c r="T288" i="15" s="1"/>
  <c r="R80" i="15"/>
  <c r="R288" i="15" s="1"/>
  <c r="B80" i="15"/>
  <c r="AO79" i="15"/>
  <c r="AQ79" i="15" s="1"/>
  <c r="AR79" i="15" s="1"/>
  <c r="Y79" i="15"/>
  <c r="Z79" i="15" s="1"/>
  <c r="AA79" i="15" s="1"/>
  <c r="AO77" i="15"/>
  <c r="AQ77" i="15" s="1"/>
  <c r="AR77" i="15" s="1"/>
  <c r="Y77" i="15"/>
  <c r="Z77" i="15" s="1"/>
  <c r="AA77" i="15" s="1"/>
  <c r="AO76" i="15"/>
  <c r="AQ76" i="15" s="1"/>
  <c r="AR76" i="15" s="1"/>
  <c r="Y76" i="15"/>
  <c r="Z76" i="15" s="1"/>
  <c r="AA76" i="15" s="1"/>
  <c r="AO75" i="15"/>
  <c r="AQ75" i="15" s="1"/>
  <c r="AR75" i="15" s="1"/>
  <c r="Y75" i="15"/>
  <c r="Z75" i="15" s="1"/>
  <c r="AA75" i="15" s="1"/>
  <c r="AO221" i="15"/>
  <c r="Y221" i="15"/>
  <c r="Z221" i="15" s="1"/>
  <c r="AA221" i="15" s="1"/>
  <c r="AH221" i="15" s="1"/>
  <c r="B74" i="15"/>
  <c r="AS73" i="15"/>
  <c r="AK73" i="15"/>
  <c r="AI73" i="15"/>
  <c r="W73" i="15"/>
  <c r="R73" i="15"/>
  <c r="H73" i="15"/>
  <c r="G73" i="15"/>
  <c r="B73" i="15"/>
  <c r="AL72" i="15"/>
  <c r="V72" i="15"/>
  <c r="U72" i="15"/>
  <c r="Y72" i="15" s="1"/>
  <c r="N72" i="15"/>
  <c r="K72" i="15"/>
  <c r="B72" i="15"/>
  <c r="AL71" i="15"/>
  <c r="V71" i="15"/>
  <c r="U71" i="15"/>
  <c r="AO71" i="15" s="1"/>
  <c r="AQ71" i="15" s="1"/>
  <c r="AR71" i="15" s="1"/>
  <c r="N71" i="15"/>
  <c r="K71" i="15"/>
  <c r="B71" i="15"/>
  <c r="AL70" i="15"/>
  <c r="V70" i="15"/>
  <c r="U70" i="15"/>
  <c r="N70" i="15"/>
  <c r="K70" i="15"/>
  <c r="B70" i="15"/>
  <c r="AL69" i="15"/>
  <c r="V69" i="15"/>
  <c r="U69" i="15"/>
  <c r="AO69" i="15" s="1"/>
  <c r="AQ69" i="15" s="1"/>
  <c r="AR69" i="15" s="1"/>
  <c r="N69" i="15"/>
  <c r="K69" i="15"/>
  <c r="B69" i="15"/>
  <c r="AL68" i="15"/>
  <c r="V68" i="15"/>
  <c r="U68" i="15"/>
  <c r="Y68" i="15" s="1"/>
  <c r="N68" i="15"/>
  <c r="K68" i="15"/>
  <c r="B68" i="15"/>
  <c r="AL67" i="15"/>
  <c r="V67" i="15"/>
  <c r="U67" i="15"/>
  <c r="Y67" i="15" s="1"/>
  <c r="N67" i="15"/>
  <c r="K67" i="15"/>
  <c r="B67" i="15"/>
  <c r="AL66" i="15"/>
  <c r="V66" i="15"/>
  <c r="U66" i="15"/>
  <c r="N66" i="15"/>
  <c r="K66" i="15"/>
  <c r="B66" i="15"/>
  <c r="AL65" i="15"/>
  <c r="V65" i="15"/>
  <c r="U65" i="15"/>
  <c r="Y65" i="15" s="1"/>
  <c r="N65" i="15"/>
  <c r="K65" i="15"/>
  <c r="B65" i="15"/>
  <c r="AL64" i="15"/>
  <c r="V64" i="15"/>
  <c r="U64" i="15"/>
  <c r="AO64" i="15" s="1"/>
  <c r="AQ64" i="15" s="1"/>
  <c r="AR64" i="15" s="1"/>
  <c r="N64" i="15"/>
  <c r="K64" i="15"/>
  <c r="B64" i="15"/>
  <c r="AL63" i="15"/>
  <c r="V63" i="15"/>
  <c r="U63" i="15"/>
  <c r="AO63" i="15" s="1"/>
  <c r="AQ63" i="15" s="1"/>
  <c r="AR63" i="15" s="1"/>
  <c r="N63" i="15"/>
  <c r="K63" i="15"/>
  <c r="B63" i="15"/>
  <c r="AL62" i="15"/>
  <c r="V62" i="15"/>
  <c r="U62" i="15"/>
  <c r="N62" i="15"/>
  <c r="B62" i="15"/>
  <c r="AL61" i="15"/>
  <c r="V61" i="15"/>
  <c r="U61" i="15"/>
  <c r="AO61" i="15" s="1"/>
  <c r="AQ61" i="15" s="1"/>
  <c r="AR61" i="15" s="1"/>
  <c r="N61" i="15"/>
  <c r="K61" i="15"/>
  <c r="B61" i="15"/>
  <c r="AL60" i="15"/>
  <c r="V60" i="15"/>
  <c r="U60" i="15"/>
  <c r="N60" i="15"/>
  <c r="K60" i="15"/>
  <c r="B60" i="15"/>
  <c r="AL59" i="15"/>
  <c r="V59" i="15"/>
  <c r="U59" i="15"/>
  <c r="N59" i="15"/>
  <c r="K59" i="15"/>
  <c r="B59" i="15"/>
  <c r="AL58" i="15"/>
  <c r="V58" i="15"/>
  <c r="U58" i="15"/>
  <c r="Y58" i="15" s="1"/>
  <c r="S58" i="15" s="1"/>
  <c r="N58" i="15"/>
  <c r="K58" i="15"/>
  <c r="B58" i="15"/>
  <c r="AL57" i="15"/>
  <c r="V57" i="15"/>
  <c r="U57" i="15"/>
  <c r="Y57" i="15" s="1"/>
  <c r="N57" i="15"/>
  <c r="K57" i="15"/>
  <c r="B57" i="15"/>
  <c r="AL56" i="15"/>
  <c r="V56" i="15"/>
  <c r="U56" i="15"/>
  <c r="AO56" i="15" s="1"/>
  <c r="AQ56" i="15" s="1"/>
  <c r="AR56" i="15" s="1"/>
  <c r="N56" i="15"/>
  <c r="K56" i="15"/>
  <c r="B56" i="15"/>
  <c r="AL55" i="15"/>
  <c r="V55" i="15"/>
  <c r="U55" i="15"/>
  <c r="N55" i="15"/>
  <c r="K55" i="15"/>
  <c r="AY54" i="15"/>
  <c r="AL54" i="15"/>
  <c r="V54" i="15"/>
  <c r="U54" i="15"/>
  <c r="Y54" i="15" s="1"/>
  <c r="S54" i="15" s="1"/>
  <c r="N54" i="15"/>
  <c r="B54" i="15"/>
  <c r="AL53" i="15"/>
  <c r="V53" i="15"/>
  <c r="U53" i="15"/>
  <c r="AO53" i="15" s="1"/>
  <c r="AQ53" i="15" s="1"/>
  <c r="AR53" i="15" s="1"/>
  <c r="N53" i="15"/>
  <c r="K53" i="15"/>
  <c r="B53" i="15"/>
  <c r="AL52" i="15"/>
  <c r="V52" i="15"/>
  <c r="U52" i="15"/>
  <c r="AO52" i="15" s="1"/>
  <c r="AQ52" i="15" s="1"/>
  <c r="AR52" i="15" s="1"/>
  <c r="N52" i="15"/>
  <c r="B52" i="15"/>
  <c r="AL51" i="15"/>
  <c r="V51" i="15"/>
  <c r="U51" i="15"/>
  <c r="AO51" i="15" s="1"/>
  <c r="AQ51" i="15" s="1"/>
  <c r="AR51" i="15" s="1"/>
  <c r="N51" i="15"/>
  <c r="K51" i="15"/>
  <c r="B51" i="15"/>
  <c r="AL50" i="15"/>
  <c r="V50" i="15"/>
  <c r="U50" i="15"/>
  <c r="AO50" i="15" s="1"/>
  <c r="AQ50" i="15" s="1"/>
  <c r="AR50" i="15" s="1"/>
  <c r="N50" i="15"/>
  <c r="K50" i="15"/>
  <c r="B50" i="15"/>
  <c r="AL49" i="15"/>
  <c r="V49" i="15"/>
  <c r="U49" i="15"/>
  <c r="N49" i="15"/>
  <c r="K49" i="15"/>
  <c r="B49" i="15"/>
  <c r="AL48" i="15"/>
  <c r="V48" i="15"/>
  <c r="U48" i="15"/>
  <c r="Y48" i="15" s="1"/>
  <c r="N48" i="15"/>
  <c r="K48" i="15"/>
  <c r="B48" i="15"/>
  <c r="AY47" i="15"/>
  <c r="AL47" i="15"/>
  <c r="V47" i="15"/>
  <c r="U47" i="15"/>
  <c r="Y47" i="15" s="1"/>
  <c r="Z47" i="15" s="1"/>
  <c r="AA47" i="15" s="1"/>
  <c r="N47" i="15"/>
  <c r="K47" i="15"/>
  <c r="B47" i="15"/>
  <c r="AL46" i="15"/>
  <c r="V46" i="15"/>
  <c r="U46" i="15"/>
  <c r="Y46" i="15" s="1"/>
  <c r="N46" i="15"/>
  <c r="K46" i="15"/>
  <c r="B46" i="15"/>
  <c r="AL45" i="15"/>
  <c r="V45" i="15"/>
  <c r="U45" i="15"/>
  <c r="N45" i="15"/>
  <c r="K45" i="15"/>
  <c r="B45" i="15"/>
  <c r="AY44" i="15"/>
  <c r="AL44" i="15"/>
  <c r="V44" i="15"/>
  <c r="U44" i="15"/>
  <c r="N44" i="15"/>
  <c r="K44" i="15"/>
  <c r="B44" i="15"/>
  <c r="AL43" i="15"/>
  <c r="V43" i="15"/>
  <c r="U43" i="15"/>
  <c r="AO43" i="15" s="1"/>
  <c r="AQ43" i="15" s="1"/>
  <c r="AR43" i="15" s="1"/>
  <c r="N43" i="15"/>
  <c r="K43" i="15"/>
  <c r="B43" i="15"/>
  <c r="AL42" i="15"/>
  <c r="V42" i="15"/>
  <c r="U42" i="15"/>
  <c r="N42" i="15"/>
  <c r="K42" i="15"/>
  <c r="B42" i="15"/>
  <c r="AL41" i="15"/>
  <c r="V41" i="15"/>
  <c r="U41" i="15"/>
  <c r="AO41" i="15" s="1"/>
  <c r="AQ41" i="15" s="1"/>
  <c r="AR41" i="15" s="1"/>
  <c r="N41" i="15"/>
  <c r="K41" i="15"/>
  <c r="B41" i="15"/>
  <c r="AL40" i="15"/>
  <c r="V40" i="15"/>
  <c r="U40" i="15"/>
  <c r="AO40" i="15" s="1"/>
  <c r="AQ40" i="15" s="1"/>
  <c r="AR40" i="15" s="1"/>
  <c r="N40" i="15"/>
  <c r="K40" i="15"/>
  <c r="B40" i="15"/>
  <c r="AL39" i="15"/>
  <c r="V39" i="15"/>
  <c r="U39" i="15"/>
  <c r="AO39" i="15" s="1"/>
  <c r="AQ39" i="15" s="1"/>
  <c r="AR39" i="15" s="1"/>
  <c r="N39" i="15"/>
  <c r="K39" i="15"/>
  <c r="B39" i="15"/>
  <c r="AL38" i="15"/>
  <c r="V38" i="15"/>
  <c r="U38" i="15"/>
  <c r="AO38" i="15" s="1"/>
  <c r="AQ38" i="15" s="1"/>
  <c r="AR38" i="15" s="1"/>
  <c r="N38" i="15"/>
  <c r="B38" i="15"/>
  <c r="AL37" i="15"/>
  <c r="V37" i="15"/>
  <c r="U37" i="15"/>
  <c r="Y37" i="15" s="1"/>
  <c r="N37" i="15"/>
  <c r="K37" i="15"/>
  <c r="B37" i="15"/>
  <c r="AL36" i="15"/>
  <c r="V36" i="15"/>
  <c r="U36" i="15"/>
  <c r="Y36" i="15" s="1"/>
  <c r="N36" i="15"/>
  <c r="K36" i="15"/>
  <c r="B36" i="15"/>
  <c r="AY35" i="15"/>
  <c r="AY45" i="15" s="1"/>
  <c r="AL35" i="15"/>
  <c r="V35" i="15"/>
  <c r="U35" i="15"/>
  <c r="Y35" i="15" s="1"/>
  <c r="N35" i="15"/>
  <c r="K35" i="15"/>
  <c r="B35" i="15"/>
  <c r="AL34" i="15"/>
  <c r="V34" i="15"/>
  <c r="U34" i="15"/>
  <c r="N34" i="15"/>
  <c r="K34" i="15"/>
  <c r="B34" i="15"/>
  <c r="AL33" i="15"/>
  <c r="V33" i="15"/>
  <c r="U33" i="15"/>
  <c r="AO33" i="15" s="1"/>
  <c r="AQ33" i="15" s="1"/>
  <c r="AR33" i="15" s="1"/>
  <c r="N33" i="15"/>
  <c r="K33" i="15"/>
  <c r="B33" i="15"/>
  <c r="AL32" i="15"/>
  <c r="V32" i="15"/>
  <c r="U32" i="15"/>
  <c r="N32" i="15"/>
  <c r="K32" i="15"/>
  <c r="B32" i="15"/>
  <c r="AL31" i="15"/>
  <c r="V31" i="15"/>
  <c r="U31" i="15"/>
  <c r="Y31" i="15" s="1"/>
  <c r="Z31" i="15" s="1"/>
  <c r="AA31" i="15" s="1"/>
  <c r="N31" i="15"/>
  <c r="K31" i="15"/>
  <c r="B31" i="15"/>
  <c r="AL30" i="15"/>
  <c r="V30" i="15"/>
  <c r="U30" i="15"/>
  <c r="AO30" i="15" s="1"/>
  <c r="AQ30" i="15" s="1"/>
  <c r="AR30" i="15" s="1"/>
  <c r="N30" i="15"/>
  <c r="B30" i="15"/>
  <c r="AL29" i="15"/>
  <c r="V29" i="15"/>
  <c r="U29" i="15"/>
  <c r="N29" i="15"/>
  <c r="K29" i="15"/>
  <c r="B29" i="15"/>
  <c r="AL28" i="15"/>
  <c r="V28" i="15"/>
  <c r="U28" i="15"/>
  <c r="N28" i="15"/>
  <c r="K28" i="15"/>
  <c r="B28" i="15"/>
  <c r="AL27" i="15"/>
  <c r="V27" i="15"/>
  <c r="U27" i="15"/>
  <c r="AO27" i="15" s="1"/>
  <c r="AQ27" i="15" s="1"/>
  <c r="AR27" i="15" s="1"/>
  <c r="N27" i="15"/>
  <c r="K27" i="15"/>
  <c r="B27" i="15"/>
  <c r="AL26" i="15"/>
  <c r="V26" i="15"/>
  <c r="U26" i="15"/>
  <c r="AO26" i="15" s="1"/>
  <c r="AQ26" i="15" s="1"/>
  <c r="AR26" i="15" s="1"/>
  <c r="N26" i="15"/>
  <c r="K26" i="15"/>
  <c r="B26" i="15"/>
  <c r="AL25" i="15"/>
  <c r="V25" i="15"/>
  <c r="U25" i="15"/>
  <c r="Y25" i="15" s="1"/>
  <c r="Z25" i="15" s="1"/>
  <c r="AA25" i="15" s="1"/>
  <c r="N25" i="15"/>
  <c r="K25" i="15"/>
  <c r="B25" i="15"/>
  <c r="AL24" i="15"/>
  <c r="V24" i="15"/>
  <c r="U24" i="15"/>
  <c r="AO24" i="15" s="1"/>
  <c r="AQ24" i="15" s="1"/>
  <c r="AR24" i="15" s="1"/>
  <c r="N24" i="15"/>
  <c r="B24" i="15"/>
  <c r="AL23" i="15"/>
  <c r="V23" i="15"/>
  <c r="U23" i="15"/>
  <c r="AO23" i="15" s="1"/>
  <c r="AQ23" i="15" s="1"/>
  <c r="AR23" i="15" s="1"/>
  <c r="N23" i="15"/>
  <c r="K23" i="15"/>
  <c r="B23" i="15"/>
  <c r="AL22" i="15"/>
  <c r="V22" i="15"/>
  <c r="U22" i="15"/>
  <c r="N22" i="15"/>
  <c r="B22" i="15"/>
  <c r="AL21" i="15"/>
  <c r="V21" i="15"/>
  <c r="U21" i="15"/>
  <c r="AO21" i="15" s="1"/>
  <c r="AQ21" i="15" s="1"/>
  <c r="AR21" i="15" s="1"/>
  <c r="AL20" i="15"/>
  <c r="V20" i="15"/>
  <c r="U20" i="15"/>
  <c r="AO20" i="15" s="1"/>
  <c r="AQ20" i="15" s="1"/>
  <c r="AR20" i="15" s="1"/>
  <c r="N20" i="15"/>
  <c r="K20" i="15"/>
  <c r="B20" i="15"/>
  <c r="AL19" i="15"/>
  <c r="V19" i="15"/>
  <c r="U19" i="15"/>
  <c r="AO19" i="15" s="1"/>
  <c r="AQ19" i="15" s="1"/>
  <c r="AR19" i="15" s="1"/>
  <c r="N19" i="15"/>
  <c r="K19" i="15"/>
  <c r="B19" i="15"/>
  <c r="AL18" i="15"/>
  <c r="V18" i="15"/>
  <c r="U18" i="15"/>
  <c r="Y18" i="15" s="1"/>
  <c r="Z18" i="15" s="1"/>
  <c r="AA18" i="15" s="1"/>
  <c r="N18" i="15"/>
  <c r="K18" i="15"/>
  <c r="B18" i="15"/>
  <c r="AL17" i="15"/>
  <c r="V17" i="15"/>
  <c r="U17" i="15"/>
  <c r="N17" i="15"/>
  <c r="AL16" i="15"/>
  <c r="V16" i="15"/>
  <c r="U16" i="15"/>
  <c r="AO16" i="15" s="1"/>
  <c r="AQ16" i="15" s="1"/>
  <c r="AR16" i="15" s="1"/>
  <c r="N16" i="15"/>
  <c r="K16" i="15"/>
  <c r="B16" i="15"/>
  <c r="AL15" i="15"/>
  <c r="V15" i="15"/>
  <c r="U15" i="15"/>
  <c r="AO15" i="15" s="1"/>
  <c r="AQ15" i="15" s="1"/>
  <c r="AR15" i="15" s="1"/>
  <c r="N15" i="15"/>
  <c r="K15" i="15"/>
  <c r="B15" i="15"/>
  <c r="AL14" i="15"/>
  <c r="V14" i="15"/>
  <c r="U14" i="15"/>
  <c r="N14" i="15"/>
  <c r="K14" i="15"/>
  <c r="B14" i="15"/>
  <c r="AO156" i="15" l="1"/>
  <c r="AQ156" i="15" s="1"/>
  <c r="AR156" i="15" s="1"/>
  <c r="Y234" i="15"/>
  <c r="Z234" i="15" s="1"/>
  <c r="AA234" i="15" s="1"/>
  <c r="AH75" i="15"/>
  <c r="AF75" i="15"/>
  <c r="AG75" i="15"/>
  <c r="AW128" i="15"/>
  <c r="Y138" i="15"/>
  <c r="Z138" i="15" s="1"/>
  <c r="AA138" i="15" s="1"/>
  <c r="AO227" i="15"/>
  <c r="AQ227" i="15" s="1"/>
  <c r="AR227" i="15" s="1"/>
  <c r="Y235" i="15"/>
  <c r="S235" i="15" s="1"/>
  <c r="J290" i="15"/>
  <c r="Y187" i="15"/>
  <c r="Z187" i="15" s="1"/>
  <c r="AA187" i="15" s="1"/>
  <c r="AH187" i="15" s="1"/>
  <c r="AO214" i="15"/>
  <c r="AQ214" i="15" s="1"/>
  <c r="AR214" i="15" s="1"/>
  <c r="Y251" i="15"/>
  <c r="Z251" i="15" s="1"/>
  <c r="AA251" i="15" s="1"/>
  <c r="AH251" i="15" s="1"/>
  <c r="AY254" i="15"/>
  <c r="Y241" i="15"/>
  <c r="Z241" i="15" s="1"/>
  <c r="AA241" i="15" s="1"/>
  <c r="Y280" i="15"/>
  <c r="Z280" i="15" s="1"/>
  <c r="AA280" i="15" s="1"/>
  <c r="AC280" i="15" s="1"/>
  <c r="AE280" i="15" s="1"/>
  <c r="AO249" i="15"/>
  <c r="AQ249" i="15" s="1"/>
  <c r="AR249" i="15" s="1"/>
  <c r="Y279" i="15"/>
  <c r="S279" i="15" s="1"/>
  <c r="Y150" i="15"/>
  <c r="Z150" i="15" s="1"/>
  <c r="AA150" i="15" s="1"/>
  <c r="Y200" i="15"/>
  <c r="S200" i="15" s="1"/>
  <c r="Y215" i="15"/>
  <c r="S215" i="15" s="1"/>
  <c r="S35" i="15"/>
  <c r="AO58" i="15"/>
  <c r="AQ58" i="15" s="1"/>
  <c r="AR58" i="15" s="1"/>
  <c r="AO72" i="15"/>
  <c r="AQ72" i="15" s="1"/>
  <c r="AR72" i="15" s="1"/>
  <c r="AO248" i="15"/>
  <c r="AQ248" i="15" s="1"/>
  <c r="AR248" i="15" s="1"/>
  <c r="S234" i="15"/>
  <c r="Z35" i="15"/>
  <c r="AA35" i="15" s="1"/>
  <c r="AG35" i="15" s="1"/>
  <c r="Y163" i="15"/>
  <c r="Z163" i="15" s="1"/>
  <c r="AA163" i="15" s="1"/>
  <c r="AF163" i="15" s="1"/>
  <c r="AO205" i="15"/>
  <c r="AQ205" i="15" s="1"/>
  <c r="AR205" i="15" s="1"/>
  <c r="Y177" i="15"/>
  <c r="AO171" i="15"/>
  <c r="AQ171" i="15" s="1"/>
  <c r="AR171" i="15" s="1"/>
  <c r="AO261" i="15"/>
  <c r="AQ261" i="15" s="1"/>
  <c r="AR261" i="15" s="1"/>
  <c r="Y155" i="15"/>
  <c r="Z155" i="15" s="1"/>
  <c r="AA155" i="15" s="1"/>
  <c r="AH155" i="15" s="1"/>
  <c r="AO80" i="15"/>
  <c r="AO288" i="15" s="1"/>
  <c r="AO48" i="15"/>
  <c r="AQ48" i="15" s="1"/>
  <c r="AR48" i="15" s="1"/>
  <c r="AQ221" i="15"/>
  <c r="AR221" i="15" s="1"/>
  <c r="AR80" i="15" s="1"/>
  <c r="AR288" i="15" s="1"/>
  <c r="Z178" i="15"/>
  <c r="AA178" i="15" s="1"/>
  <c r="Y219" i="15"/>
  <c r="S219" i="15" s="1"/>
  <c r="AO252" i="15"/>
  <c r="AQ252" i="15" s="1"/>
  <c r="AR252" i="15" s="1"/>
  <c r="S210" i="15"/>
  <c r="Z219" i="15"/>
  <c r="AA219" i="15" s="1"/>
  <c r="AD219" i="15" s="1"/>
  <c r="Y127" i="15"/>
  <c r="Z127" i="15" s="1"/>
  <c r="AA127" i="15" s="1"/>
  <c r="AG127" i="15" s="1"/>
  <c r="Y183" i="15"/>
  <c r="Y224" i="15"/>
  <c r="Z224" i="15" s="1"/>
  <c r="AA224" i="15" s="1"/>
  <c r="Z269" i="15"/>
  <c r="AA269" i="15" s="1"/>
  <c r="Y130" i="15"/>
  <c r="Z130" i="15" s="1"/>
  <c r="AA130" i="15" s="1"/>
  <c r="Y185" i="15"/>
  <c r="AO217" i="15"/>
  <c r="AQ217" i="15" s="1"/>
  <c r="AR217" i="15" s="1"/>
  <c r="Y226" i="15"/>
  <c r="S226" i="15" s="1"/>
  <c r="Y244" i="15"/>
  <c r="S244" i="15" s="1"/>
  <c r="AO269" i="15"/>
  <c r="AQ269" i="15" s="1"/>
  <c r="AR269" i="15" s="1"/>
  <c r="Y40" i="15"/>
  <c r="Z40" i="15" s="1"/>
  <c r="AA40" i="15" s="1"/>
  <c r="AG40" i="15" s="1"/>
  <c r="AO29" i="15"/>
  <c r="AQ29" i="15" s="1"/>
  <c r="AR29" i="15" s="1"/>
  <c r="S65" i="15"/>
  <c r="Y196" i="15"/>
  <c r="S196" i="15" s="1"/>
  <c r="Y262" i="15"/>
  <c r="Z262" i="15" s="1"/>
  <c r="AA262" i="15" s="1"/>
  <c r="AO262" i="15"/>
  <c r="AQ262" i="15" s="1"/>
  <c r="AR262" i="15" s="1"/>
  <c r="Y264" i="15"/>
  <c r="Z264" i="15" s="1"/>
  <c r="AA264" i="15" s="1"/>
  <c r="Y207" i="15"/>
  <c r="Z207" i="15" s="1"/>
  <c r="AA207" i="15" s="1"/>
  <c r="Y39" i="15"/>
  <c r="S39" i="15" s="1"/>
  <c r="S48" i="15"/>
  <c r="Y71" i="15"/>
  <c r="Z71" i="15" s="1"/>
  <c r="AA71" i="15" s="1"/>
  <c r="AD71" i="15" s="1"/>
  <c r="Z162" i="15"/>
  <c r="AA162" i="15" s="1"/>
  <c r="AC162" i="15" s="1"/>
  <c r="S205" i="15"/>
  <c r="AO220" i="15"/>
  <c r="AQ220" i="15" s="1"/>
  <c r="AR220" i="15" s="1"/>
  <c r="Y28" i="15"/>
  <c r="Z28" i="15" s="1"/>
  <c r="AA28" i="15" s="1"/>
  <c r="AG28" i="15" s="1"/>
  <c r="Y140" i="15"/>
  <c r="Z140" i="15" s="1"/>
  <c r="AA140" i="15" s="1"/>
  <c r="Y167" i="15"/>
  <c r="Z167" i="15" s="1"/>
  <c r="AA167" i="15" s="1"/>
  <c r="AH167" i="15" s="1"/>
  <c r="Y175" i="15"/>
  <c r="Z175" i="15" s="1"/>
  <c r="AA175" i="15" s="1"/>
  <c r="AH175" i="15" s="1"/>
  <c r="S31" i="15"/>
  <c r="Z58" i="15"/>
  <c r="AA58" i="15" s="1"/>
  <c r="AH58" i="15" s="1"/>
  <c r="AA80" i="15"/>
  <c r="AA288" i="15" s="1"/>
  <c r="Y202" i="15"/>
  <c r="S202" i="15" s="1"/>
  <c r="AO267" i="15"/>
  <c r="AQ267" i="15" s="1"/>
  <c r="AR267" i="15" s="1"/>
  <c r="Y273" i="15"/>
  <c r="Z273" i="15" s="1"/>
  <c r="AA273" i="15" s="1"/>
  <c r="Z54" i="15"/>
  <c r="AA54" i="15" s="1"/>
  <c r="AG54" i="15" s="1"/>
  <c r="Y151" i="15"/>
  <c r="Z151" i="15" s="1"/>
  <c r="AA151" i="15" s="1"/>
  <c r="Y159" i="15"/>
  <c r="S159" i="15" s="1"/>
  <c r="Y246" i="15"/>
  <c r="Z246" i="15" s="1"/>
  <c r="AA246" i="15" s="1"/>
  <c r="AG246" i="15" s="1"/>
  <c r="Y266" i="15"/>
  <c r="Z266" i="15" s="1"/>
  <c r="AA266" i="15" s="1"/>
  <c r="AH266" i="15" s="1"/>
  <c r="Y278" i="15"/>
  <c r="Z278" i="15" s="1"/>
  <c r="AA278" i="15" s="1"/>
  <c r="Z153" i="15"/>
  <c r="AA153" i="15" s="1"/>
  <c r="Y84" i="15"/>
  <c r="Z84" i="15" s="1"/>
  <c r="AA84" i="15" s="1"/>
  <c r="Y30" i="15"/>
  <c r="Z30" i="15" s="1"/>
  <c r="AA30" i="15" s="1"/>
  <c r="AD30" i="15" s="1"/>
  <c r="AO31" i="15"/>
  <c r="AQ31" i="15" s="1"/>
  <c r="AR31" i="15" s="1"/>
  <c r="Z36" i="15"/>
  <c r="AA36" i="15" s="1"/>
  <c r="AC36" i="15" s="1"/>
  <c r="AE36" i="15" s="1"/>
  <c r="Y53" i="15"/>
  <c r="S53" i="15" s="1"/>
  <c r="Y64" i="15"/>
  <c r="Z64" i="15" s="1"/>
  <c r="AA64" i="15" s="1"/>
  <c r="Z65" i="15"/>
  <c r="AA65" i="15" s="1"/>
  <c r="AF65" i="15" s="1"/>
  <c r="Y165" i="15"/>
  <c r="S165" i="15" s="1"/>
  <c r="Z188" i="15"/>
  <c r="AA188" i="15" s="1"/>
  <c r="AC188" i="15" s="1"/>
  <c r="Z228" i="15"/>
  <c r="AA228" i="15" s="1"/>
  <c r="Y256" i="15"/>
  <c r="Z256" i="15" s="1"/>
  <c r="AA256" i="15" s="1"/>
  <c r="Y259" i="15"/>
  <c r="Z259" i="15" s="1"/>
  <c r="AA259" i="15" s="1"/>
  <c r="Y267" i="15"/>
  <c r="S267" i="15" s="1"/>
  <c r="Y270" i="15"/>
  <c r="Z270" i="15" s="1"/>
  <c r="AA270" i="15" s="1"/>
  <c r="Y51" i="15"/>
  <c r="S51" i="15" s="1"/>
  <c r="AO28" i="15"/>
  <c r="AQ28" i="15" s="1"/>
  <c r="AR28" i="15" s="1"/>
  <c r="Y21" i="15"/>
  <c r="Y45" i="15"/>
  <c r="Z45" i="15" s="1"/>
  <c r="AA45" i="15" s="1"/>
  <c r="Z48" i="15"/>
  <c r="AA48" i="15" s="1"/>
  <c r="AC48" i="15" s="1"/>
  <c r="AO54" i="15"/>
  <c r="AQ54" i="15" s="1"/>
  <c r="AR54" i="15" s="1"/>
  <c r="Y63" i="15"/>
  <c r="S63" i="15" s="1"/>
  <c r="Y91" i="15"/>
  <c r="Z91" i="15" s="1"/>
  <c r="AA91" i="15" s="1"/>
  <c r="Y141" i="15"/>
  <c r="S141" i="15" s="1"/>
  <c r="Y179" i="15"/>
  <c r="Z179" i="15" s="1"/>
  <c r="AA179" i="15" s="1"/>
  <c r="AD179" i="15" s="1"/>
  <c r="Z211" i="15"/>
  <c r="AA211" i="15" s="1"/>
  <c r="AD211" i="15" s="1"/>
  <c r="Z215" i="15"/>
  <c r="AA215" i="15" s="1"/>
  <c r="AC215" i="15" s="1"/>
  <c r="AO223" i="15"/>
  <c r="AQ223" i="15" s="1"/>
  <c r="AR223" i="15" s="1"/>
  <c r="AO84" i="15"/>
  <c r="AQ84" i="15" s="1"/>
  <c r="AR84" i="15" s="1"/>
  <c r="AO153" i="15"/>
  <c r="AQ153" i="15" s="1"/>
  <c r="AR153" i="15" s="1"/>
  <c r="AO172" i="15"/>
  <c r="AQ172" i="15" s="1"/>
  <c r="AR172" i="15" s="1"/>
  <c r="AO195" i="15"/>
  <c r="AQ195" i="15" s="1"/>
  <c r="AR195" i="15" s="1"/>
  <c r="Y213" i="15"/>
  <c r="Z213" i="15" s="1"/>
  <c r="AA213" i="15" s="1"/>
  <c r="Z258" i="15"/>
  <c r="AA258" i="15" s="1"/>
  <c r="AG258" i="15" s="1"/>
  <c r="AO259" i="15"/>
  <c r="AQ259" i="15" s="1"/>
  <c r="AR259" i="15" s="1"/>
  <c r="Y181" i="15"/>
  <c r="S181" i="15" s="1"/>
  <c r="Y199" i="15"/>
  <c r="S199" i="15" s="1"/>
  <c r="Y218" i="15"/>
  <c r="S218" i="15" s="1"/>
  <c r="Y222" i="15"/>
  <c r="S222" i="15" s="1"/>
  <c r="Y245" i="15"/>
  <c r="S245" i="15" s="1"/>
  <c r="Y23" i="15"/>
  <c r="S23" i="15" s="1"/>
  <c r="Y44" i="15"/>
  <c r="S44" i="15" s="1"/>
  <c r="AO65" i="15"/>
  <c r="AQ65" i="15" s="1"/>
  <c r="AR65" i="15" s="1"/>
  <c r="Z146" i="15"/>
  <c r="AA146" i="15" s="1"/>
  <c r="AH146" i="15" s="1"/>
  <c r="Y148" i="15"/>
  <c r="Z148" i="15" s="1"/>
  <c r="AA148" i="15" s="1"/>
  <c r="Z152" i="15"/>
  <c r="AA152" i="15" s="1"/>
  <c r="AH152" i="15" s="1"/>
  <c r="Y169" i="15"/>
  <c r="Z169" i="15" s="1"/>
  <c r="AA169" i="15" s="1"/>
  <c r="AG169" i="15" s="1"/>
  <c r="Y192" i="15"/>
  <c r="Z192" i="15" s="1"/>
  <c r="AA192" i="15" s="1"/>
  <c r="Y194" i="15"/>
  <c r="Z194" i="15" s="1"/>
  <c r="AA194" i="15" s="1"/>
  <c r="Z210" i="15"/>
  <c r="AA210" i="15" s="1"/>
  <c r="Z214" i="15"/>
  <c r="AA214" i="15" s="1"/>
  <c r="AD214" i="15" s="1"/>
  <c r="Y255" i="15"/>
  <c r="Z255" i="15" s="1"/>
  <c r="AA255" i="15" s="1"/>
  <c r="Y265" i="15"/>
  <c r="Z265" i="15" s="1"/>
  <c r="AA265" i="15" s="1"/>
  <c r="AC265" i="15" s="1"/>
  <c r="AE265" i="15" s="1"/>
  <c r="S25" i="15"/>
  <c r="Y41" i="15"/>
  <c r="S41" i="15" s="1"/>
  <c r="AO47" i="15"/>
  <c r="AQ47" i="15" s="1"/>
  <c r="AR47" i="15" s="1"/>
  <c r="Y52" i="15"/>
  <c r="Z52" i="15" s="1"/>
  <c r="AA52" i="15" s="1"/>
  <c r="AH52" i="15" s="1"/>
  <c r="AO67" i="15"/>
  <c r="AQ67" i="15" s="1"/>
  <c r="AR67" i="15" s="1"/>
  <c r="Y110" i="15"/>
  <c r="S110" i="15" s="1"/>
  <c r="AO222" i="15"/>
  <c r="AQ222" i="15" s="1"/>
  <c r="AR222" i="15" s="1"/>
  <c r="AO245" i="15"/>
  <c r="AQ245" i="15" s="1"/>
  <c r="AR245" i="15" s="1"/>
  <c r="Y254" i="15"/>
  <c r="S254" i="15" s="1"/>
  <c r="AO258" i="15"/>
  <c r="AQ258" i="15" s="1"/>
  <c r="AR258" i="15" s="1"/>
  <c r="Z183" i="15"/>
  <c r="AA183" i="15" s="1"/>
  <c r="AH183" i="15" s="1"/>
  <c r="S37" i="15"/>
  <c r="AO110" i="15"/>
  <c r="AQ110" i="15" s="1"/>
  <c r="AR110" i="15" s="1"/>
  <c r="Z68" i="15"/>
  <c r="AA68" i="15" s="1"/>
  <c r="AF68" i="15" s="1"/>
  <c r="Z196" i="15"/>
  <c r="AA196" i="15" s="1"/>
  <c r="Y16" i="15"/>
  <c r="S16" i="15" s="1"/>
  <c r="AD47" i="15"/>
  <c r="AC47" i="15"/>
  <c r="AH47" i="15"/>
  <c r="AG47" i="15"/>
  <c r="AF47" i="15"/>
  <c r="AD18" i="15"/>
  <c r="AC18" i="15"/>
  <c r="AH18" i="15"/>
  <c r="AG18" i="15"/>
  <c r="AF18" i="15"/>
  <c r="AD25" i="15"/>
  <c r="AC25" i="15"/>
  <c r="AH25" i="15"/>
  <c r="AG25" i="15"/>
  <c r="AF25" i="15"/>
  <c r="AH71" i="15"/>
  <c r="AF71" i="15"/>
  <c r="AC71" i="15"/>
  <c r="AH31" i="15"/>
  <c r="AC31" i="15"/>
  <c r="AF31" i="15"/>
  <c r="AG31" i="15"/>
  <c r="AD31" i="15"/>
  <c r="AH54" i="15"/>
  <c r="AO34" i="15"/>
  <c r="AQ34" i="15" s="1"/>
  <c r="AR34" i="15" s="1"/>
  <c r="AF58" i="15"/>
  <c r="Y20" i="15"/>
  <c r="Z20" i="15" s="1"/>
  <c r="AA20" i="15" s="1"/>
  <c r="AO35" i="15"/>
  <c r="AQ35" i="15" s="1"/>
  <c r="AR35" i="15" s="1"/>
  <c r="Y49" i="15"/>
  <c r="S49" i="15" s="1"/>
  <c r="AO49" i="15"/>
  <c r="AQ49" i="15" s="1"/>
  <c r="AR49" i="15" s="1"/>
  <c r="AL73" i="15"/>
  <c r="AL287" i="15" s="1"/>
  <c r="Y14" i="15"/>
  <c r="S14" i="15" s="1"/>
  <c r="S18" i="15"/>
  <c r="Y19" i="15"/>
  <c r="S19" i="15" s="1"/>
  <c r="AO25" i="15"/>
  <c r="AQ25" i="15" s="1"/>
  <c r="AR25" i="15" s="1"/>
  <c r="AO36" i="15"/>
  <c r="AQ36" i="15" s="1"/>
  <c r="AR36" i="15" s="1"/>
  <c r="Y38" i="15"/>
  <c r="S38" i="15" s="1"/>
  <c r="Z46" i="15"/>
  <c r="AA46" i="15" s="1"/>
  <c r="AF48" i="15"/>
  <c r="Y50" i="15"/>
  <c r="S50" i="15" s="1"/>
  <c r="Y55" i="15"/>
  <c r="Z55" i="15" s="1"/>
  <c r="AA55" i="15" s="1"/>
  <c r="AO55" i="15"/>
  <c r="AQ55" i="15" s="1"/>
  <c r="AR55" i="15" s="1"/>
  <c r="AH77" i="15"/>
  <c r="AG77" i="15"/>
  <c r="AF77" i="15"/>
  <c r="AC77" i="15"/>
  <c r="AE77" i="15" s="1"/>
  <c r="AO14" i="15"/>
  <c r="U73" i="15"/>
  <c r="AO18" i="15"/>
  <c r="AQ18" i="15" s="1"/>
  <c r="AR18" i="15" s="1"/>
  <c r="AD35" i="15"/>
  <c r="AC35" i="15"/>
  <c r="Z51" i="15"/>
  <c r="AA51" i="15" s="1"/>
  <c r="AO62" i="15"/>
  <c r="AQ62" i="15" s="1"/>
  <c r="AR62" i="15" s="1"/>
  <c r="AH76" i="15"/>
  <c r="AG76" i="15"/>
  <c r="AF76" i="15"/>
  <c r="AC76" i="15"/>
  <c r="AE76" i="15" s="1"/>
  <c r="Z37" i="15"/>
  <c r="AA37" i="15" s="1"/>
  <c r="Y42" i="15"/>
  <c r="S42" i="15" s="1"/>
  <c r="AO42" i="15"/>
  <c r="AQ42" i="15" s="1"/>
  <c r="AR42" i="15" s="1"/>
  <c r="S47" i="15"/>
  <c r="AC68" i="15"/>
  <c r="AH68" i="15"/>
  <c r="V73" i="15"/>
  <c r="AF35" i="15"/>
  <c r="S36" i="15"/>
  <c r="AO37" i="15"/>
  <c r="AQ37" i="15" s="1"/>
  <c r="AR37" i="15" s="1"/>
  <c r="Y62" i="15"/>
  <c r="Z62" i="15" s="1"/>
  <c r="AA62" i="15" s="1"/>
  <c r="AH79" i="15"/>
  <c r="AG79" i="15"/>
  <c r="AF79" i="15"/>
  <c r="AC79" i="15"/>
  <c r="AE79" i="15" s="1"/>
  <c r="U283" i="15"/>
  <c r="AO83" i="15"/>
  <c r="AQ83" i="15" s="1"/>
  <c r="AO92" i="15"/>
  <c r="AQ92" i="15" s="1"/>
  <c r="AR92" i="15" s="1"/>
  <c r="Y32" i="15"/>
  <c r="Z32" i="15" s="1"/>
  <c r="AA32" i="15" s="1"/>
  <c r="AO32" i="15"/>
  <c r="AQ32" i="15" s="1"/>
  <c r="AR32" i="15" s="1"/>
  <c r="Y34" i="15"/>
  <c r="S34" i="15" s="1"/>
  <c r="Z57" i="15"/>
  <c r="AA57" i="15" s="1"/>
  <c r="Y61" i="15"/>
  <c r="Z61" i="15" s="1"/>
  <c r="AA61" i="15" s="1"/>
  <c r="Z67" i="15"/>
  <c r="AA67" i="15" s="1"/>
  <c r="S67" i="15"/>
  <c r="AC75" i="15"/>
  <c r="AE75" i="15" s="1"/>
  <c r="AO70" i="15"/>
  <c r="AQ70" i="15" s="1"/>
  <c r="AR70" i="15" s="1"/>
  <c r="Y70" i="15"/>
  <c r="S70" i="15" s="1"/>
  <c r="AS288" i="15"/>
  <c r="AS290" i="15" s="1"/>
  <c r="AS283" i="15"/>
  <c r="AH35" i="15"/>
  <c r="AH65" i="15"/>
  <c r="AG65" i="15"/>
  <c r="Y66" i="15"/>
  <c r="Z66" i="15" s="1"/>
  <c r="AA66" i="15" s="1"/>
  <c r="AO66" i="15"/>
  <c r="AQ66" i="15" s="1"/>
  <c r="AR66" i="15" s="1"/>
  <c r="AD68" i="15"/>
  <c r="Z72" i="15"/>
  <c r="AA72" i="15" s="1"/>
  <c r="S72" i="15"/>
  <c r="AO17" i="15"/>
  <c r="AQ17" i="15" s="1"/>
  <c r="AR17" i="15" s="1"/>
  <c r="A14" i="15"/>
  <c r="Y17" i="15"/>
  <c r="S17" i="15" s="1"/>
  <c r="AO22" i="15"/>
  <c r="AQ22" i="15" s="1"/>
  <c r="AR22" i="15" s="1"/>
  <c r="Y60" i="15"/>
  <c r="S60" i="15" s="1"/>
  <c r="AO60" i="15"/>
  <c r="AQ60" i="15" s="1"/>
  <c r="AR60" i="15" s="1"/>
  <c r="AH147" i="15"/>
  <c r="AG147" i="15"/>
  <c r="AF147" i="15"/>
  <c r="AD147" i="15"/>
  <c r="AC147" i="15"/>
  <c r="AH178" i="15"/>
  <c r="AG178" i="15"/>
  <c r="AF178" i="15"/>
  <c r="AC178" i="15"/>
  <c r="AE178" i="15" s="1"/>
  <c r="R287" i="15"/>
  <c r="AC221" i="15"/>
  <c r="AE221" i="15" s="1"/>
  <c r="S46" i="15"/>
  <c r="S57" i="15"/>
  <c r="AO59" i="15"/>
  <c r="AQ59" i="15" s="1"/>
  <c r="AR59" i="15" s="1"/>
  <c r="S68" i="15"/>
  <c r="AK284" i="15"/>
  <c r="AK290" i="15" s="1"/>
  <c r="AK287" i="15"/>
  <c r="AF221" i="15"/>
  <c r="AO87" i="15"/>
  <c r="AQ87" i="15" s="1"/>
  <c r="AR87" i="15" s="1"/>
  <c r="Y59" i="15"/>
  <c r="S59" i="15" s="1"/>
  <c r="AO68" i="15"/>
  <c r="AQ68" i="15" s="1"/>
  <c r="AR68" i="15" s="1"/>
  <c r="Y69" i="15"/>
  <c r="S69" i="15" s="1"/>
  <c r="W284" i="15"/>
  <c r="W290" i="15" s="1"/>
  <c r="W287" i="15"/>
  <c r="AG221" i="15"/>
  <c r="Y80" i="15"/>
  <c r="Y288" i="15" s="1"/>
  <c r="AM284" i="15"/>
  <c r="AM290" i="15" s="1"/>
  <c r="AM288" i="15"/>
  <c r="AL283" i="15"/>
  <c r="AH140" i="15"/>
  <c r="AG140" i="15"/>
  <c r="AF140" i="15"/>
  <c r="AD140" i="15"/>
  <c r="AC140" i="15"/>
  <c r="Y161" i="15"/>
  <c r="S161" i="15" s="1"/>
  <c r="AO161" i="15"/>
  <c r="AQ161" i="15" s="1"/>
  <c r="AR161" i="15" s="1"/>
  <c r="AO44" i="15"/>
  <c r="AQ44" i="15" s="1"/>
  <c r="AR44" i="15" s="1"/>
  <c r="AO45" i="15"/>
  <c r="AQ45" i="15" s="1"/>
  <c r="AR45" i="15" s="1"/>
  <c r="AO46" i="15"/>
  <c r="AQ46" i="15" s="1"/>
  <c r="AR46" i="15" s="1"/>
  <c r="AO57" i="15"/>
  <c r="AQ57" i="15" s="1"/>
  <c r="AR57" i="15" s="1"/>
  <c r="Z80" i="15"/>
  <c r="Z288" i="15" s="1"/>
  <c r="AN284" i="15"/>
  <c r="AN290" i="15" s="1"/>
  <c r="AN288" i="15"/>
  <c r="Y100" i="15"/>
  <c r="Z100" i="15" s="1"/>
  <c r="AA100" i="15" s="1"/>
  <c r="S134" i="15"/>
  <c r="AH158" i="15"/>
  <c r="AG158" i="15"/>
  <c r="AF158" i="15"/>
  <c r="AD158" i="15"/>
  <c r="AC158" i="15"/>
  <c r="Y33" i="15"/>
  <c r="S33" i="15" s="1"/>
  <c r="Y43" i="15"/>
  <c r="S43" i="15" s="1"/>
  <c r="Y56" i="15"/>
  <c r="S56" i="15" s="1"/>
  <c r="AP284" i="15"/>
  <c r="AP288" i="15"/>
  <c r="AP290" i="15" s="1"/>
  <c r="AP283" i="15"/>
  <c r="R283" i="15"/>
  <c r="R289" i="15" s="1"/>
  <c r="AO86" i="15"/>
  <c r="AQ86" i="15" s="1"/>
  <c r="AR86" i="15" s="1"/>
  <c r="AO129" i="15"/>
  <c r="AQ129" i="15" s="1"/>
  <c r="AR129" i="15" s="1"/>
  <c r="AS284" i="15"/>
  <c r="AO102" i="15"/>
  <c r="AQ102" i="15" s="1"/>
  <c r="AR102" i="15" s="1"/>
  <c r="Z131" i="15"/>
  <c r="AA131" i="15" s="1"/>
  <c r="AH203" i="15"/>
  <c r="AG203" i="15"/>
  <c r="AF203" i="15"/>
  <c r="AC203" i="15"/>
  <c r="AE203" i="15" s="1"/>
  <c r="AI287" i="15"/>
  <c r="AI284" i="15"/>
  <c r="AI290" i="15" s="1"/>
  <c r="V283" i="15"/>
  <c r="AY133" i="15"/>
  <c r="AH153" i="15"/>
  <c r="AG153" i="15"/>
  <c r="AF153" i="15"/>
  <c r="AD153" i="15"/>
  <c r="AC153" i="15"/>
  <c r="AO157" i="15"/>
  <c r="AQ157" i="15" s="1"/>
  <c r="AR157" i="15" s="1"/>
  <c r="Y157" i="15"/>
  <c r="S157" i="15" s="1"/>
  <c r="AY103" i="15"/>
  <c r="AH138" i="15"/>
  <c r="AG138" i="15"/>
  <c r="AF138" i="15"/>
  <c r="AD138" i="15"/>
  <c r="AO109" i="15"/>
  <c r="AQ109" i="15" s="1"/>
  <c r="AR109" i="15" s="1"/>
  <c r="AO117" i="15"/>
  <c r="AQ117" i="15" s="1"/>
  <c r="AR117" i="15" s="1"/>
  <c r="AC138" i="15"/>
  <c r="AD142" i="15"/>
  <c r="AC142" i="15"/>
  <c r="AH142" i="15"/>
  <c r="AF142" i="15"/>
  <c r="AG152" i="15"/>
  <c r="AF169" i="15"/>
  <c r="AO118" i="15"/>
  <c r="AQ118" i="15" s="1"/>
  <c r="AR118" i="15" s="1"/>
  <c r="AD144" i="15"/>
  <c r="AC144" i="15"/>
  <c r="AH144" i="15"/>
  <c r="AF144" i="15"/>
  <c r="AO135" i="15"/>
  <c r="AQ135" i="15" s="1"/>
  <c r="AR135" i="15" s="1"/>
  <c r="AG142" i="15"/>
  <c r="AH156" i="15"/>
  <c r="AG156" i="15"/>
  <c r="AF156" i="15"/>
  <c r="AC156" i="15"/>
  <c r="AE156" i="15" s="1"/>
  <c r="AO134" i="15"/>
  <c r="AQ134" i="15" s="1"/>
  <c r="AR134" i="15" s="1"/>
  <c r="Z134" i="15"/>
  <c r="AA134" i="15" s="1"/>
  <c r="AO143" i="15"/>
  <c r="Y143" i="15"/>
  <c r="Z143" i="15" s="1"/>
  <c r="AA143" i="15" s="1"/>
  <c r="Y168" i="15"/>
  <c r="S168" i="15" s="1"/>
  <c r="AO168" i="15"/>
  <c r="AQ168" i="15" s="1"/>
  <c r="AR168" i="15" s="1"/>
  <c r="AO131" i="15"/>
  <c r="AQ131" i="15" s="1"/>
  <c r="AR131" i="15" s="1"/>
  <c r="AO146" i="15"/>
  <c r="AQ146" i="15" s="1"/>
  <c r="AR146" i="15" s="1"/>
  <c r="AH195" i="15"/>
  <c r="AG195" i="15"/>
  <c r="AF195" i="15"/>
  <c r="AD195" i="15"/>
  <c r="AC195" i="15"/>
  <c r="AH198" i="15"/>
  <c r="AG198" i="15"/>
  <c r="AF198" i="15"/>
  <c r="AD198" i="15"/>
  <c r="AC198" i="15"/>
  <c r="AO208" i="15"/>
  <c r="AQ208" i="15" s="1"/>
  <c r="AR208" i="15" s="1"/>
  <c r="Y208" i="15"/>
  <c r="S208" i="15" s="1"/>
  <c r="AG265" i="15"/>
  <c r="Y176" i="15"/>
  <c r="S176" i="15" s="1"/>
  <c r="Y184" i="15"/>
  <c r="S184" i="15" s="1"/>
  <c r="Z189" i="15"/>
  <c r="AA189" i="15" s="1"/>
  <c r="S189" i="15"/>
  <c r="AH192" i="15"/>
  <c r="AG192" i="15"/>
  <c r="AF192" i="15"/>
  <c r="AC192" i="15"/>
  <c r="AE192" i="15" s="1"/>
  <c r="AH240" i="15"/>
  <c r="AG240" i="15"/>
  <c r="AF240" i="15"/>
  <c r="AD240" i="15"/>
  <c r="AC240" i="15"/>
  <c r="AO151" i="15"/>
  <c r="AQ151" i="15" s="1"/>
  <c r="AR151" i="15" s="1"/>
  <c r="AC180" i="15"/>
  <c r="AH180" i="15"/>
  <c r="AG180" i="15"/>
  <c r="AF180" i="15"/>
  <c r="AF223" i="15"/>
  <c r="AD223" i="15"/>
  <c r="AC223" i="15"/>
  <c r="AH223" i="15"/>
  <c r="AG223" i="15"/>
  <c r="S144" i="15"/>
  <c r="Y170" i="15"/>
  <c r="S170" i="15" s="1"/>
  <c r="Z171" i="15"/>
  <c r="AA171" i="15" s="1"/>
  <c r="S171" i="15"/>
  <c r="Y154" i="15"/>
  <c r="Z154" i="15" s="1"/>
  <c r="AA154" i="15" s="1"/>
  <c r="AO162" i="15"/>
  <c r="AR162" i="15" s="1"/>
  <c r="Z172" i="15"/>
  <c r="AA172" i="15" s="1"/>
  <c r="AO176" i="15"/>
  <c r="AQ176" i="15" s="1"/>
  <c r="AR176" i="15" s="1"/>
  <c r="AD180" i="15"/>
  <c r="AO184" i="15"/>
  <c r="AQ184" i="15" s="1"/>
  <c r="AR184" i="15" s="1"/>
  <c r="AG205" i="15"/>
  <c r="AH205" i="15"/>
  <c r="AF205" i="15"/>
  <c r="AD205" i="15"/>
  <c r="AC205" i="15"/>
  <c r="AO142" i="15"/>
  <c r="AQ142" i="15" s="1"/>
  <c r="AR142" i="15" s="1"/>
  <c r="AO144" i="15"/>
  <c r="AQ144" i="15" s="1"/>
  <c r="AR144" i="15" s="1"/>
  <c r="Y145" i="15"/>
  <c r="Z145" i="15" s="1"/>
  <c r="AA145" i="15" s="1"/>
  <c r="Y160" i="15"/>
  <c r="S160" i="15" s="1"/>
  <c r="AC175" i="15"/>
  <c r="AH179" i="15"/>
  <c r="AF179" i="15"/>
  <c r="AF207" i="15"/>
  <c r="AF228" i="15"/>
  <c r="AH228" i="15"/>
  <c r="AG228" i="15"/>
  <c r="AD228" i="15"/>
  <c r="AC228" i="15"/>
  <c r="S138" i="15"/>
  <c r="S153" i="15"/>
  <c r="S162" i="15"/>
  <c r="AH246" i="15"/>
  <c r="AF246" i="15"/>
  <c r="S158" i="15"/>
  <c r="AO158" i="15"/>
  <c r="AQ158" i="15" s="1"/>
  <c r="AR158" i="15" s="1"/>
  <c r="Y193" i="15"/>
  <c r="S193" i="15" s="1"/>
  <c r="AO155" i="15"/>
  <c r="AQ155" i="15" s="1"/>
  <c r="AR155" i="15" s="1"/>
  <c r="AH252" i="15"/>
  <c r="AF252" i="15"/>
  <c r="AC252" i="15"/>
  <c r="AE252" i="15" s="1"/>
  <c r="AG252" i="15"/>
  <c r="AO147" i="15"/>
  <c r="AQ147" i="15" s="1"/>
  <c r="AR147" i="15" s="1"/>
  <c r="AO152" i="15"/>
  <c r="AQ152" i="15" s="1"/>
  <c r="AR152" i="15" s="1"/>
  <c r="AC196" i="15"/>
  <c r="AE196" i="15" s="1"/>
  <c r="AH196" i="15"/>
  <c r="AG196" i="15"/>
  <c r="AF196" i="15"/>
  <c r="AO212" i="15"/>
  <c r="AQ212" i="15" s="1"/>
  <c r="AR212" i="15" s="1"/>
  <c r="Y212" i="15"/>
  <c r="Z212" i="15" s="1"/>
  <c r="AA212" i="15" s="1"/>
  <c r="AF217" i="15"/>
  <c r="AC217" i="15"/>
  <c r="AH217" i="15"/>
  <c r="AG217" i="15"/>
  <c r="AD217" i="15"/>
  <c r="AH227" i="15"/>
  <c r="AG227" i="15"/>
  <c r="AF227" i="15"/>
  <c r="AD227" i="15"/>
  <c r="AC227" i="15"/>
  <c r="S177" i="15"/>
  <c r="Z177" i="15"/>
  <c r="AA177" i="15" s="1"/>
  <c r="S185" i="15"/>
  <c r="Z185" i="15"/>
  <c r="AA185" i="15" s="1"/>
  <c r="AO193" i="15"/>
  <c r="AQ193" i="15" s="1"/>
  <c r="AR193" i="15" s="1"/>
  <c r="S183" i="15"/>
  <c r="S192" i="15"/>
  <c r="S198" i="15"/>
  <c r="AO198" i="15"/>
  <c r="AQ198" i="15" s="1"/>
  <c r="AR198" i="15" s="1"/>
  <c r="AO201" i="15"/>
  <c r="AQ201" i="15" s="1"/>
  <c r="AR201" i="15" s="1"/>
  <c r="Z202" i="15"/>
  <c r="AA202" i="15" s="1"/>
  <c r="AH241" i="15"/>
  <c r="AG241" i="15"/>
  <c r="AF241" i="15"/>
  <c r="AC241" i="15"/>
  <c r="AE241" i="15" s="1"/>
  <c r="AG220" i="15"/>
  <c r="AF220" i="15"/>
  <c r="AO166" i="15"/>
  <c r="AQ166" i="15" s="1"/>
  <c r="AR166" i="15" s="1"/>
  <c r="AO174" i="15"/>
  <c r="AQ174" i="15" s="1"/>
  <c r="AR174" i="15" s="1"/>
  <c r="AO182" i="15"/>
  <c r="AQ182" i="15" s="1"/>
  <c r="AR182" i="15" s="1"/>
  <c r="AC220" i="15"/>
  <c r="AE220" i="15" s="1"/>
  <c r="AG249" i="15"/>
  <c r="AH249" i="15"/>
  <c r="AF249" i="15"/>
  <c r="AD249" i="15"/>
  <c r="AC249" i="15"/>
  <c r="Y166" i="15"/>
  <c r="Y174" i="15"/>
  <c r="S174" i="15" s="1"/>
  <c r="S180" i="15"/>
  <c r="AO181" i="15"/>
  <c r="AQ181" i="15" s="1"/>
  <c r="AR181" i="15" s="1"/>
  <c r="Y182" i="15"/>
  <c r="S182" i="15" s="1"/>
  <c r="AO197" i="15"/>
  <c r="AQ197" i="15" s="1"/>
  <c r="AR197" i="15" s="1"/>
  <c r="Y201" i="15"/>
  <c r="S201" i="15" s="1"/>
  <c r="AO211" i="15"/>
  <c r="AQ211" i="15" s="1"/>
  <c r="AR211" i="15" s="1"/>
  <c r="AH220" i="15"/>
  <c r="AG247" i="15"/>
  <c r="AF247" i="15"/>
  <c r="AD247" i="15"/>
  <c r="AC247" i="15"/>
  <c r="AO173" i="15"/>
  <c r="AQ173" i="15" s="1"/>
  <c r="AR173" i="15" s="1"/>
  <c r="S179" i="15"/>
  <c r="AO190" i="15"/>
  <c r="AQ190" i="15" s="1"/>
  <c r="AR190" i="15" s="1"/>
  <c r="Y191" i="15"/>
  <c r="Z191" i="15" s="1"/>
  <c r="AA191" i="15" s="1"/>
  <c r="S211" i="15"/>
  <c r="AH269" i="15"/>
  <c r="AG269" i="15"/>
  <c r="AF269" i="15"/>
  <c r="AD269" i="15"/>
  <c r="AC269" i="15"/>
  <c r="Y173" i="15"/>
  <c r="S173" i="15" s="1"/>
  <c r="AO180" i="15"/>
  <c r="AQ180" i="15" s="1"/>
  <c r="AR180" i="15" s="1"/>
  <c r="AO189" i="15"/>
  <c r="AQ189" i="15" s="1"/>
  <c r="AR189" i="15" s="1"/>
  <c r="Y190" i="15"/>
  <c r="Z190" i="15" s="1"/>
  <c r="AA190" i="15" s="1"/>
  <c r="Y197" i="15"/>
  <c r="S197" i="15" s="1"/>
  <c r="Y204" i="15"/>
  <c r="Z204" i="15" s="1"/>
  <c r="AA204" i="15" s="1"/>
  <c r="Y209" i="15"/>
  <c r="Z209" i="15" s="1"/>
  <c r="AA209" i="15" s="1"/>
  <c r="AG215" i="15"/>
  <c r="AH219" i="15"/>
  <c r="AG219" i="15"/>
  <c r="AF219" i="15"/>
  <c r="AC219" i="15"/>
  <c r="AE219" i="15" s="1"/>
  <c r="Z261" i="15"/>
  <c r="AA261" i="15" s="1"/>
  <c r="S261" i="15"/>
  <c r="S178" i="15"/>
  <c r="AO188" i="15"/>
  <c r="AQ188" i="15" s="1"/>
  <c r="AR188" i="15" s="1"/>
  <c r="S195" i="15"/>
  <c r="S203" i="15"/>
  <c r="AO203" i="15"/>
  <c r="AQ203" i="15" s="1"/>
  <c r="AR203" i="15" s="1"/>
  <c r="Y206" i="15"/>
  <c r="Z206" i="15" s="1"/>
  <c r="AA206" i="15" s="1"/>
  <c r="Y225" i="15"/>
  <c r="S225" i="15" s="1"/>
  <c r="AO225" i="15"/>
  <c r="AQ225" i="15" s="1"/>
  <c r="AR225" i="15" s="1"/>
  <c r="AO178" i="15"/>
  <c r="AQ178" i="15" s="1"/>
  <c r="AR178" i="15" s="1"/>
  <c r="AD248" i="15"/>
  <c r="AC248" i="15"/>
  <c r="AH248" i="15"/>
  <c r="AG248" i="15"/>
  <c r="AF248" i="15"/>
  <c r="AG251" i="15"/>
  <c r="AF251" i="15"/>
  <c r="AD251" i="15"/>
  <c r="AC251" i="15"/>
  <c r="Y216" i="15"/>
  <c r="S216" i="15" s="1"/>
  <c r="AO216" i="15"/>
  <c r="AQ216" i="15" s="1"/>
  <c r="AR216" i="15" s="1"/>
  <c r="AH234" i="15"/>
  <c r="AG234" i="15"/>
  <c r="AF234" i="15"/>
  <c r="AD234" i="15"/>
  <c r="AC234" i="15"/>
  <c r="AG229" i="15"/>
  <c r="AC229" i="15"/>
  <c r="AE229" i="15" s="1"/>
  <c r="AH229" i="15"/>
  <c r="AF229" i="15"/>
  <c r="AO231" i="15"/>
  <c r="AQ231" i="15" s="1"/>
  <c r="AR231" i="15" s="1"/>
  <c r="Y231" i="15"/>
  <c r="Z231" i="15" s="1"/>
  <c r="AA231" i="15" s="1"/>
  <c r="AO260" i="15"/>
  <c r="AQ260" i="15" s="1"/>
  <c r="AR260" i="15" s="1"/>
  <c r="Y260" i="15"/>
  <c r="Z260" i="15" s="1"/>
  <c r="AA260" i="15" s="1"/>
  <c r="Z235" i="15"/>
  <c r="AA235" i="15" s="1"/>
  <c r="AO210" i="15"/>
  <c r="AQ210" i="15" s="1"/>
  <c r="AR210" i="15" s="1"/>
  <c r="S217" i="15"/>
  <c r="S223" i="15"/>
  <c r="AO247" i="15"/>
  <c r="AQ247" i="15" s="1"/>
  <c r="AR247" i="15" s="1"/>
  <c r="S247" i="15"/>
  <c r="AH280" i="15"/>
  <c r="AO239" i="15"/>
  <c r="AQ239" i="15" s="1"/>
  <c r="AR239" i="15" s="1"/>
  <c r="AO230" i="15"/>
  <c r="AQ230" i="15" s="1"/>
  <c r="AR230" i="15" s="1"/>
  <c r="AO233" i="15"/>
  <c r="AQ233" i="15" s="1"/>
  <c r="AR233" i="15" s="1"/>
  <c r="AO271" i="15"/>
  <c r="AQ271" i="15" s="1"/>
  <c r="AR271" i="15" s="1"/>
  <c r="S214" i="15"/>
  <c r="S229" i="15"/>
  <c r="Y237" i="15"/>
  <c r="Z237" i="15" s="1"/>
  <c r="AA237" i="15" s="1"/>
  <c r="Y239" i="15"/>
  <c r="Z239" i="15" s="1"/>
  <c r="AA239" i="15" s="1"/>
  <c r="AO255" i="15"/>
  <c r="AQ255" i="15" s="1"/>
  <c r="AR255" i="15" s="1"/>
  <c r="S255" i="15"/>
  <c r="AO229" i="15"/>
  <c r="AQ229" i="15" s="1"/>
  <c r="AR229" i="15" s="1"/>
  <c r="Y230" i="15"/>
  <c r="Z230" i="15" s="1"/>
  <c r="AA230" i="15" s="1"/>
  <c r="Y233" i="15"/>
  <c r="Z233" i="15" s="1"/>
  <c r="AA233" i="15" s="1"/>
  <c r="AO236" i="15"/>
  <c r="AQ236" i="15" s="1"/>
  <c r="AR236" i="15" s="1"/>
  <c r="S246" i="15"/>
  <c r="S227" i="15"/>
  <c r="AO228" i="15"/>
  <c r="AQ228" i="15" s="1"/>
  <c r="AR228" i="15" s="1"/>
  <c r="Y236" i="15"/>
  <c r="Z236" i="15" s="1"/>
  <c r="AA236" i="15" s="1"/>
  <c r="Y243" i="15"/>
  <c r="S243" i="15" s="1"/>
  <c r="Y257" i="15"/>
  <c r="S257" i="15" s="1"/>
  <c r="AO240" i="15"/>
  <c r="AQ240" i="15" s="1"/>
  <c r="AR240" i="15" s="1"/>
  <c r="AC276" i="15"/>
  <c r="AE276" i="15" s="1"/>
  <c r="AH276" i="15"/>
  <c r="AG276" i="15"/>
  <c r="AF276" i="15"/>
  <c r="AH278" i="15"/>
  <c r="AG278" i="15"/>
  <c r="AF278" i="15"/>
  <c r="AD278" i="15"/>
  <c r="AC278" i="15"/>
  <c r="Y232" i="15"/>
  <c r="Z232" i="15" s="1"/>
  <c r="AA232" i="15" s="1"/>
  <c r="Y242" i="15"/>
  <c r="Z242" i="15" s="1"/>
  <c r="AA242" i="15" s="1"/>
  <c r="Y253" i="15"/>
  <c r="Z253" i="15" s="1"/>
  <c r="AA253" i="15" s="1"/>
  <c r="AO253" i="15"/>
  <c r="AQ253" i="15" s="1"/>
  <c r="AR253" i="15" s="1"/>
  <c r="AO272" i="15"/>
  <c r="AQ272" i="15" s="1"/>
  <c r="AR272" i="15" s="1"/>
  <c r="S278" i="15"/>
  <c r="AG270" i="15"/>
  <c r="AO277" i="15"/>
  <c r="AQ277" i="15" s="1"/>
  <c r="AR277" i="15" s="1"/>
  <c r="AO274" i="15"/>
  <c r="AQ274" i="15" s="1"/>
  <c r="AR274" i="15" s="1"/>
  <c r="Y277" i="15"/>
  <c r="Z277" i="15" s="1"/>
  <c r="AA277" i="15" s="1"/>
  <c r="AO268" i="15"/>
  <c r="AQ268" i="15" s="1"/>
  <c r="AR268" i="15" s="1"/>
  <c r="Y274" i="15"/>
  <c r="Z274" i="15" s="1"/>
  <c r="AA274" i="15" s="1"/>
  <c r="AO276" i="15"/>
  <c r="AQ276" i="15" s="1"/>
  <c r="AR276" i="15" s="1"/>
  <c r="AO282" i="15"/>
  <c r="AQ282" i="15" s="1"/>
  <c r="AR282" i="15" s="1"/>
  <c r="Y268" i="15"/>
  <c r="S268" i="15" s="1"/>
  <c r="AO281" i="15"/>
  <c r="AQ281" i="15" s="1"/>
  <c r="AR281" i="15" s="1"/>
  <c r="Y282" i="15"/>
  <c r="S282" i="15" s="1"/>
  <c r="S265" i="15"/>
  <c r="Y281" i="15"/>
  <c r="Z281" i="15" s="1"/>
  <c r="AA281" i="15" s="1"/>
  <c r="AO273" i="15"/>
  <c r="AQ273" i="15" s="1"/>
  <c r="AR273" i="15" s="1"/>
  <c r="T20" i="2"/>
  <c r="L20" i="2"/>
  <c r="T23" i="2"/>
  <c r="L23" i="2"/>
  <c r="S130" i="15" l="1"/>
  <c r="AD127" i="15"/>
  <c r="AF127" i="15"/>
  <c r="AH127" i="15"/>
  <c r="S127" i="15"/>
  <c r="AC127" i="15"/>
  <c r="AE127" i="15"/>
  <c r="S266" i="15"/>
  <c r="AG163" i="15"/>
  <c r="AF280" i="15"/>
  <c r="Z200" i="15"/>
  <c r="AA200" i="15" s="1"/>
  <c r="AC200" i="15" s="1"/>
  <c r="AE200" i="15" s="1"/>
  <c r="AC152" i="15"/>
  <c r="AC40" i="15"/>
  <c r="AG280" i="15"/>
  <c r="S224" i="15"/>
  <c r="AF152" i="15"/>
  <c r="S40" i="15"/>
  <c r="S262" i="15"/>
  <c r="AG167" i="15"/>
  <c r="AH265" i="15"/>
  <c r="AC163" i="15"/>
  <c r="AH163" i="15"/>
  <c r="S64" i="15"/>
  <c r="S52" i="15"/>
  <c r="AD40" i="15"/>
  <c r="AE40" i="15" s="1"/>
  <c r="S280" i="15"/>
  <c r="AC167" i="15"/>
  <c r="AE167" i="15" s="1"/>
  <c r="AD163" i="15"/>
  <c r="AD54" i="15"/>
  <c r="AF52" i="15"/>
  <c r="AU14" i="15"/>
  <c r="AF167" i="15"/>
  <c r="AF265" i="15"/>
  <c r="AE147" i="15"/>
  <c r="AF54" i="15"/>
  <c r="AJ54" i="15" s="1"/>
  <c r="AF40" i="15"/>
  <c r="AD187" i="15"/>
  <c r="AF187" i="15"/>
  <c r="AC155" i="15"/>
  <c r="AE155" i="15" s="1"/>
  <c r="AG187" i="15"/>
  <c r="AF155" i="15"/>
  <c r="AC187" i="15"/>
  <c r="AE18" i="15"/>
  <c r="AE249" i="15"/>
  <c r="AD52" i="15"/>
  <c r="AE223" i="15"/>
  <c r="AJ75" i="15"/>
  <c r="AT75" i="15" s="1"/>
  <c r="AG155" i="15"/>
  <c r="AD130" i="15"/>
  <c r="AH130" i="15"/>
  <c r="AC130" i="15"/>
  <c r="AD175" i="15"/>
  <c r="AE175" i="15" s="1"/>
  <c r="Z218" i="15"/>
  <c r="AA218" i="15" s="1"/>
  <c r="AF175" i="15"/>
  <c r="AD152" i="15"/>
  <c r="AE152" i="15" s="1"/>
  <c r="AG68" i="15"/>
  <c r="AJ68" i="15" s="1"/>
  <c r="AD48" i="15"/>
  <c r="AC54" i="15"/>
  <c r="AC52" i="15"/>
  <c r="AE52" i="15" s="1"/>
  <c r="Z279" i="15"/>
  <c r="AA279" i="15" s="1"/>
  <c r="AG175" i="15"/>
  <c r="AH169" i="15"/>
  <c r="AQ80" i="15"/>
  <c r="AQ288" i="15" s="1"/>
  <c r="AE68" i="15"/>
  <c r="AC169" i="15"/>
  <c r="S169" i="15"/>
  <c r="AD169" i="15"/>
  <c r="S30" i="15"/>
  <c r="AH40" i="15"/>
  <c r="Z245" i="15"/>
  <c r="AA245" i="15" s="1"/>
  <c r="AF245" i="15" s="1"/>
  <c r="S230" i="15"/>
  <c r="AE247" i="15"/>
  <c r="AG71" i="15"/>
  <c r="S167" i="15"/>
  <c r="AD262" i="15"/>
  <c r="AC262" i="15"/>
  <c r="AG262" i="15"/>
  <c r="AH262" i="15"/>
  <c r="AF262" i="15"/>
  <c r="AE228" i="15"/>
  <c r="Z53" i="15"/>
  <c r="AA53" i="15" s="1"/>
  <c r="AG53" i="15" s="1"/>
  <c r="S175" i="15"/>
  <c r="AF130" i="15"/>
  <c r="AG52" i="15"/>
  <c r="AJ52" i="15" s="1"/>
  <c r="Z39" i="15"/>
  <c r="AA39" i="15" s="1"/>
  <c r="AH258" i="15"/>
  <c r="AE195" i="15"/>
  <c r="AJ138" i="15"/>
  <c r="AG130" i="15"/>
  <c r="S45" i="15"/>
  <c r="AC211" i="15"/>
  <c r="AE211" i="15" s="1"/>
  <c r="AD258" i="15"/>
  <c r="AE188" i="15"/>
  <c r="AE47" i="15"/>
  <c r="AF211" i="15"/>
  <c r="AF258" i="15"/>
  <c r="AF188" i="15"/>
  <c r="Z141" i="15"/>
  <c r="AA141" i="15" s="1"/>
  <c r="AC258" i="15"/>
  <c r="AE258" i="15" s="1"/>
  <c r="AJ247" i="15"/>
  <c r="AG188" i="15"/>
  <c r="AC146" i="15"/>
  <c r="Z254" i="15"/>
  <c r="AA254" i="15" s="1"/>
  <c r="AE138" i="15"/>
  <c r="AT138" i="15" s="1"/>
  <c r="AH188" i="15"/>
  <c r="AC273" i="15"/>
  <c r="AG273" i="15"/>
  <c r="AH273" i="15"/>
  <c r="AF273" i="15"/>
  <c r="AD273" i="15"/>
  <c r="AH194" i="15"/>
  <c r="AF194" i="15"/>
  <c r="AG194" i="15"/>
  <c r="AD194" i="15"/>
  <c r="AE194" i="15" s="1"/>
  <c r="AC194" i="15"/>
  <c r="AC264" i="15"/>
  <c r="AG264" i="15"/>
  <c r="AH264" i="15"/>
  <c r="AJ264" i="15" s="1"/>
  <c r="AF264" i="15"/>
  <c r="AD264" i="15"/>
  <c r="AE264" i="15" s="1"/>
  <c r="AG148" i="15"/>
  <c r="AH148" i="15"/>
  <c r="AH256" i="15"/>
  <c r="AF256" i="15"/>
  <c r="AD256" i="15"/>
  <c r="AE256" i="15" s="1"/>
  <c r="AG256" i="15"/>
  <c r="AH84" i="15"/>
  <c r="AC84" i="15"/>
  <c r="AF84" i="15"/>
  <c r="AC245" i="15"/>
  <c r="AE245" i="15" s="1"/>
  <c r="AG245" i="15"/>
  <c r="AG214" i="15"/>
  <c r="AJ265" i="15"/>
  <c r="AE31" i="15"/>
  <c r="S264" i="15"/>
  <c r="S71" i="15"/>
  <c r="S260" i="15"/>
  <c r="AH215" i="15"/>
  <c r="S256" i="15"/>
  <c r="AF215" i="15"/>
  <c r="AE251" i="15"/>
  <c r="AH245" i="15"/>
  <c r="AJ245" i="15" s="1"/>
  <c r="AJ158" i="15"/>
  <c r="AC58" i="15"/>
  <c r="Z244" i="15"/>
  <c r="AA244" i="15" s="1"/>
  <c r="AH214" i="15"/>
  <c r="AJ31" i="15"/>
  <c r="AJ142" i="15"/>
  <c r="Z23" i="15"/>
  <c r="AA23" i="15" s="1"/>
  <c r="AC23" i="15" s="1"/>
  <c r="AD58" i="15"/>
  <c r="AC28" i="15"/>
  <c r="AJ47" i="15"/>
  <c r="Z176" i="15"/>
  <c r="AA176" i="15" s="1"/>
  <c r="AF176" i="15" s="1"/>
  <c r="AF214" i="15"/>
  <c r="AJ127" i="15"/>
  <c r="AT127" i="15" s="1"/>
  <c r="S242" i="15"/>
  <c r="S194" i="15"/>
  <c r="AE217" i="15"/>
  <c r="AF210" i="15"/>
  <c r="AH48" i="15"/>
  <c r="AD28" i="15"/>
  <c r="AE48" i="15"/>
  <c r="AC210" i="15"/>
  <c r="AE210" i="15" s="1"/>
  <c r="AE234" i="15"/>
  <c r="S206" i="15"/>
  <c r="AJ252" i="15"/>
  <c r="AT252" i="15" s="1"/>
  <c r="AG210" i="15"/>
  <c r="S61" i="15"/>
  <c r="AG48" i="15"/>
  <c r="AH28" i="15"/>
  <c r="AJ28" i="15" s="1"/>
  <c r="AG207" i="15"/>
  <c r="AJ169" i="15"/>
  <c r="AH210" i="15"/>
  <c r="S66" i="15"/>
  <c r="AC30" i="15"/>
  <c r="AF28" i="15"/>
  <c r="S207" i="15"/>
  <c r="Z110" i="15"/>
  <c r="AA110" i="15" s="1"/>
  <c r="AD215" i="15"/>
  <c r="AE215" i="15" s="1"/>
  <c r="AG183" i="15"/>
  <c r="S191" i="15"/>
  <c r="AE162" i="15"/>
  <c r="AC207" i="15"/>
  <c r="AE198" i="15"/>
  <c r="AE140" i="15"/>
  <c r="AF30" i="15"/>
  <c r="Z226" i="15"/>
  <c r="AA226" i="15" s="1"/>
  <c r="Z44" i="15"/>
  <c r="AA44" i="15" s="1"/>
  <c r="AF44" i="15" s="1"/>
  <c r="AC214" i="15"/>
  <c r="AE214" i="15" s="1"/>
  <c r="AD207" i="15"/>
  <c r="AE207" i="15" s="1"/>
  <c r="S55" i="15"/>
  <c r="AH30" i="15"/>
  <c r="S28" i="15"/>
  <c r="AH207" i="15"/>
  <c r="AE269" i="15"/>
  <c r="AE227" i="15"/>
  <c r="AE240" i="15"/>
  <c r="Z184" i="15"/>
  <c r="AA184" i="15" s="1"/>
  <c r="AC184" i="15" s="1"/>
  <c r="AE184" i="15" s="1"/>
  <c r="AJ198" i="15"/>
  <c r="AG30" i="15"/>
  <c r="AG58" i="15"/>
  <c r="AJ58" i="15" s="1"/>
  <c r="AD91" i="15"/>
  <c r="AC91" i="15"/>
  <c r="AH91" i="15"/>
  <c r="AG91" i="15"/>
  <c r="AF91" i="15"/>
  <c r="AH255" i="15"/>
  <c r="AD255" i="15"/>
  <c r="AC255" i="15"/>
  <c r="AG255" i="15"/>
  <c r="AF255" i="15"/>
  <c r="AG213" i="15"/>
  <c r="AD213" i="15"/>
  <c r="AC213" i="15"/>
  <c r="AH213" i="15"/>
  <c r="AF213" i="15"/>
  <c r="AF259" i="15"/>
  <c r="AD259" i="15"/>
  <c r="AC259" i="15"/>
  <c r="AH259" i="15"/>
  <c r="AG259" i="15"/>
  <c r="AH151" i="15"/>
  <c r="AG151" i="15"/>
  <c r="AC151" i="15"/>
  <c r="AE151" i="15" s="1"/>
  <c r="AF151" i="15"/>
  <c r="AC45" i="15"/>
  <c r="AF45" i="15"/>
  <c r="AG45" i="15"/>
  <c r="AH45" i="15"/>
  <c r="AD45" i="15"/>
  <c r="AE45" i="15" s="1"/>
  <c r="AE30" i="15"/>
  <c r="AH64" i="15"/>
  <c r="AC64" i="15"/>
  <c r="S277" i="15"/>
  <c r="Z257" i="15"/>
  <c r="AA257" i="15" s="1"/>
  <c r="Z268" i="15"/>
  <c r="AA268" i="15" s="1"/>
  <c r="AF268" i="15" s="1"/>
  <c r="Z225" i="15"/>
  <c r="AA225" i="15" s="1"/>
  <c r="AG225" i="15" s="1"/>
  <c r="S209" i="15"/>
  <c r="Z182" i="15"/>
  <c r="AA182" i="15" s="1"/>
  <c r="AC246" i="15"/>
  <c r="AE246" i="15" s="1"/>
  <c r="AC179" i="15"/>
  <c r="AE179" i="15" s="1"/>
  <c r="AG179" i="15"/>
  <c r="Z170" i="15"/>
  <c r="AA170" i="15" s="1"/>
  <c r="AG170" i="15" s="1"/>
  <c r="AJ192" i="15"/>
  <c r="AT192" i="15" s="1"/>
  <c r="AT265" i="15"/>
  <c r="AJ144" i="15"/>
  <c r="AE153" i="15"/>
  <c r="AE25" i="15"/>
  <c r="Z222" i="15"/>
  <c r="AA222" i="15" s="1"/>
  <c r="AG36" i="15"/>
  <c r="AH36" i="15"/>
  <c r="AF36" i="15"/>
  <c r="AJ195" i="15"/>
  <c r="AJ156" i="15"/>
  <c r="AT156" i="15" s="1"/>
  <c r="AE144" i="15"/>
  <c r="AJ153" i="15"/>
  <c r="AC80" i="15"/>
  <c r="AC288" i="15" s="1"/>
  <c r="AE58" i="15"/>
  <c r="AC148" i="15"/>
  <c r="AF148" i="15"/>
  <c r="AD148" i="15"/>
  <c r="AH211" i="15"/>
  <c r="AG211" i="15"/>
  <c r="Z243" i="15"/>
  <c r="AA243" i="15" s="1"/>
  <c r="AC243" i="15" s="1"/>
  <c r="AE243" i="15" s="1"/>
  <c r="AJ280" i="15"/>
  <c r="AT280" i="15" s="1"/>
  <c r="Z193" i="15"/>
  <c r="AA193" i="15" s="1"/>
  <c r="AG193" i="15" s="1"/>
  <c r="AJ175" i="15"/>
  <c r="AJ223" i="15"/>
  <c r="AT223" i="15" s="1"/>
  <c r="S145" i="15"/>
  <c r="Z208" i="15"/>
  <c r="AA208" i="15" s="1"/>
  <c r="AH208" i="15" s="1"/>
  <c r="AE142" i="15"/>
  <c r="AD146" i="15"/>
  <c r="AE146" i="15" s="1"/>
  <c r="Z60" i="15"/>
  <c r="AA60" i="15" s="1"/>
  <c r="AC60" i="15" s="1"/>
  <c r="Z70" i="15"/>
  <c r="AA70" i="15" s="1"/>
  <c r="AC70" i="15" s="1"/>
  <c r="AE35" i="15"/>
  <c r="AG84" i="15"/>
  <c r="AD53" i="15"/>
  <c r="Z41" i="15"/>
  <c r="AA41" i="15" s="1"/>
  <c r="Z165" i="15"/>
  <c r="AA165" i="15" s="1"/>
  <c r="S21" i="15"/>
  <c r="Z21" i="15"/>
  <c r="AA21" i="15" s="1"/>
  <c r="AJ251" i="15"/>
  <c r="AH80" i="15"/>
  <c r="AH288" i="15" s="1"/>
  <c r="AC53" i="15"/>
  <c r="AF53" i="15"/>
  <c r="AE71" i="15"/>
  <c r="Z63" i="15"/>
  <c r="AA63" i="15" s="1"/>
  <c r="AC183" i="15"/>
  <c r="AE183" i="15" s="1"/>
  <c r="AJ180" i="15"/>
  <c r="AF146" i="15"/>
  <c r="AD64" i="15"/>
  <c r="S32" i="15"/>
  <c r="Z199" i="15"/>
  <c r="AA199" i="15" s="1"/>
  <c r="AC199" i="15" s="1"/>
  <c r="AE199" i="15" s="1"/>
  <c r="Z168" i="15"/>
  <c r="AA168" i="15" s="1"/>
  <c r="AF168" i="15" s="1"/>
  <c r="S259" i="15"/>
  <c r="Z201" i="15"/>
  <c r="AA201" i="15" s="1"/>
  <c r="AH201" i="15" s="1"/>
  <c r="AF183" i="15"/>
  <c r="AJ183" i="15" s="1"/>
  <c r="AG146" i="15"/>
  <c r="AF64" i="15"/>
  <c r="AD84" i="15"/>
  <c r="AE84" i="15" s="1"/>
  <c r="AJ71" i="15"/>
  <c r="Z159" i="15"/>
  <c r="AA159" i="15" s="1"/>
  <c r="Z267" i="15"/>
  <c r="AA267" i="15" s="1"/>
  <c r="AG64" i="15"/>
  <c r="AC270" i="15"/>
  <c r="AE270" i="15" s="1"/>
  <c r="AH270" i="15"/>
  <c r="AF270" i="15"/>
  <c r="AJ227" i="15"/>
  <c r="AE205" i="15"/>
  <c r="AE180" i="15"/>
  <c r="Z157" i="15"/>
  <c r="AA157" i="15" s="1"/>
  <c r="AF157" i="15" s="1"/>
  <c r="AE158" i="15"/>
  <c r="AT158" i="15" s="1"/>
  <c r="Z38" i="15"/>
  <c r="AA38" i="15" s="1"/>
  <c r="AH38" i="15" s="1"/>
  <c r="Z181" i="15"/>
  <c r="AA181" i="15" s="1"/>
  <c r="AE278" i="15"/>
  <c r="AJ269" i="15"/>
  <c r="AT269" i="15" s="1"/>
  <c r="AJ220" i="15"/>
  <c r="AT220" i="15" s="1"/>
  <c r="AJ152" i="15"/>
  <c r="AJ35" i="15"/>
  <c r="S62" i="15"/>
  <c r="AC266" i="15"/>
  <c r="AG266" i="15"/>
  <c r="AF266" i="15"/>
  <c r="AD266" i="15"/>
  <c r="AD65" i="15"/>
  <c r="AC65" i="15"/>
  <c r="Z16" i="15"/>
  <c r="AA16" i="15" s="1"/>
  <c r="AH16" i="15" s="1"/>
  <c r="AH154" i="15"/>
  <c r="AF154" i="15"/>
  <c r="AC154" i="15"/>
  <c r="AE154" i="15" s="1"/>
  <c r="AC236" i="15"/>
  <c r="AH236" i="15"/>
  <c r="AG236" i="15"/>
  <c r="AF236" i="15"/>
  <c r="AD236" i="15"/>
  <c r="AH231" i="15"/>
  <c r="AG231" i="15"/>
  <c r="AF231" i="15"/>
  <c r="AD231" i="15"/>
  <c r="AC231" i="15"/>
  <c r="AD190" i="15"/>
  <c r="AC190" i="15"/>
  <c r="AH190" i="15"/>
  <c r="AG190" i="15"/>
  <c r="AF190" i="15"/>
  <c r="AG100" i="15"/>
  <c r="AD100" i="15"/>
  <c r="AC100" i="15"/>
  <c r="AH100" i="15"/>
  <c r="AF100" i="15"/>
  <c r="AF204" i="15"/>
  <c r="AD204" i="15"/>
  <c r="AC204" i="15"/>
  <c r="AH204" i="15"/>
  <c r="AG204" i="15"/>
  <c r="AG61" i="15"/>
  <c r="AF61" i="15"/>
  <c r="AC61" i="15"/>
  <c r="AD61" i="15"/>
  <c r="AH61" i="15"/>
  <c r="AD233" i="15"/>
  <c r="AF233" i="15"/>
  <c r="AC233" i="15"/>
  <c r="AH233" i="15"/>
  <c r="AG233" i="15"/>
  <c r="AG212" i="15"/>
  <c r="AD212" i="15"/>
  <c r="AH212" i="15"/>
  <c r="AF212" i="15"/>
  <c r="AC212" i="15"/>
  <c r="AH232" i="15"/>
  <c r="AG232" i="15"/>
  <c r="AF232" i="15"/>
  <c r="AC232" i="15"/>
  <c r="AE232" i="15" s="1"/>
  <c r="AH32" i="15"/>
  <c r="AG32" i="15"/>
  <c r="AF32" i="15"/>
  <c r="AD32" i="15"/>
  <c r="AC32" i="15"/>
  <c r="AF191" i="15"/>
  <c r="AD191" i="15"/>
  <c r="AC191" i="15"/>
  <c r="AH191" i="15"/>
  <c r="AG191" i="15"/>
  <c r="AG237" i="15"/>
  <c r="AF237" i="15"/>
  <c r="AD237" i="15"/>
  <c r="AC237" i="15"/>
  <c r="AH237" i="15"/>
  <c r="AH66" i="15"/>
  <c r="AG66" i="15"/>
  <c r="AF66" i="15"/>
  <c r="AC66" i="15"/>
  <c r="AD66" i="15"/>
  <c r="Z174" i="15"/>
  <c r="AA174" i="15" s="1"/>
  <c r="V287" i="15"/>
  <c r="V290" i="15" s="1"/>
  <c r="V284" i="15"/>
  <c r="AH242" i="15"/>
  <c r="AG242" i="15"/>
  <c r="AF242" i="15"/>
  <c r="AD242" i="15"/>
  <c r="AC242" i="15"/>
  <c r="S232" i="15"/>
  <c r="S231" i="15"/>
  <c r="AE248" i="15"/>
  <c r="Z166" i="15"/>
  <c r="AA166" i="15" s="1"/>
  <c r="S166" i="15"/>
  <c r="AJ217" i="15"/>
  <c r="AJ214" i="15"/>
  <c r="AJ179" i="15"/>
  <c r="AJ65" i="15"/>
  <c r="U289" i="15"/>
  <c r="U284" i="15"/>
  <c r="U290" i="15" s="1"/>
  <c r="Z42" i="15"/>
  <c r="AA42" i="15" s="1"/>
  <c r="Z50" i="15"/>
  <c r="AA50" i="15" s="1"/>
  <c r="Z69" i="15"/>
  <c r="AA69" i="15" s="1"/>
  <c r="AJ25" i="15"/>
  <c r="AT25" i="15" s="1"/>
  <c r="AH230" i="15"/>
  <c r="AD230" i="15"/>
  <c r="AC230" i="15"/>
  <c r="AG230" i="15"/>
  <c r="AF230" i="15"/>
  <c r="AH171" i="15"/>
  <c r="AG171" i="15"/>
  <c r="AF171" i="15"/>
  <c r="AD171" i="15"/>
  <c r="AC171" i="15"/>
  <c r="AL289" i="15"/>
  <c r="AL284" i="15"/>
  <c r="AL290" i="15" s="1"/>
  <c r="AE80" i="15"/>
  <c r="AE288" i="15" s="1"/>
  <c r="AD70" i="15"/>
  <c r="AG260" i="15"/>
  <c r="AD260" i="15"/>
  <c r="AH260" i="15"/>
  <c r="AF260" i="15"/>
  <c r="AC260" i="15"/>
  <c r="AJ228" i="15"/>
  <c r="AT228" i="15" s="1"/>
  <c r="Z282" i="15"/>
  <c r="AA282" i="15" s="1"/>
  <c r="Z216" i="15"/>
  <c r="AA216" i="15" s="1"/>
  <c r="AJ246" i="15"/>
  <c r="AT246" i="15" s="1"/>
  <c r="AJ205" i="15"/>
  <c r="Z173" i="15"/>
  <c r="AA173" i="15" s="1"/>
  <c r="AD189" i="15"/>
  <c r="AC189" i="15"/>
  <c r="AH189" i="15"/>
  <c r="AG189" i="15"/>
  <c r="AF189" i="15"/>
  <c r="Z161" i="15"/>
  <c r="AA161" i="15" s="1"/>
  <c r="AJ147" i="15"/>
  <c r="AT147" i="15" s="1"/>
  <c r="Z17" i="15"/>
  <c r="AA17" i="15" s="1"/>
  <c r="A15" i="15"/>
  <c r="AJ77" i="15"/>
  <c r="AT77" i="15" s="1"/>
  <c r="AC46" i="15"/>
  <c r="AG46" i="15"/>
  <c r="AF46" i="15"/>
  <c r="AD46" i="15"/>
  <c r="AH46" i="15"/>
  <c r="AH20" i="15"/>
  <c r="AF20" i="15"/>
  <c r="AG20" i="15"/>
  <c r="AC20" i="15"/>
  <c r="AE20" i="15" s="1"/>
  <c r="Z19" i="15"/>
  <c r="AA19" i="15" s="1"/>
  <c r="AH253" i="15"/>
  <c r="AG253" i="15"/>
  <c r="AF253" i="15"/>
  <c r="AC253" i="15"/>
  <c r="AE253" i="15" s="1"/>
  <c r="AD268" i="15"/>
  <c r="AF239" i="15"/>
  <c r="AD239" i="15"/>
  <c r="AC239" i="15"/>
  <c r="AH239" i="15"/>
  <c r="AG239" i="15"/>
  <c r="S233" i="15"/>
  <c r="AJ229" i="15"/>
  <c r="AT229" i="15" s="1"/>
  <c r="AJ219" i="15"/>
  <c r="AT219" i="15" s="1"/>
  <c r="S190" i="15"/>
  <c r="S212" i="15"/>
  <c r="AF193" i="15"/>
  <c r="AC193" i="15"/>
  <c r="AE193" i="15" s="1"/>
  <c r="Z160" i="15"/>
  <c r="AA160" i="15" s="1"/>
  <c r="AC172" i="15"/>
  <c r="AH172" i="15"/>
  <c r="AG172" i="15"/>
  <c r="AF172" i="15"/>
  <c r="AD172" i="15"/>
  <c r="AC143" i="15"/>
  <c r="AE143" i="15" s="1"/>
  <c r="AT143" i="15" s="1"/>
  <c r="AJ163" i="15"/>
  <c r="AH131" i="15"/>
  <c r="AG131" i="15"/>
  <c r="AF131" i="15"/>
  <c r="AD131" i="15"/>
  <c r="AC131" i="15"/>
  <c r="AJ178" i="15"/>
  <c r="AT178" i="15" s="1"/>
  <c r="AJ79" i="15"/>
  <c r="AT79" i="15" s="1"/>
  <c r="AG37" i="15"/>
  <c r="AF37" i="15"/>
  <c r="AH37" i="15"/>
  <c r="AC37" i="15"/>
  <c r="AE37" i="15" s="1"/>
  <c r="Z49" i="15"/>
  <c r="AA49" i="15" s="1"/>
  <c r="AF200" i="15"/>
  <c r="AC72" i="15"/>
  <c r="AH72" i="15"/>
  <c r="AG72" i="15"/>
  <c r="AF72" i="15"/>
  <c r="AD72" i="15"/>
  <c r="AD281" i="15"/>
  <c r="AC281" i="15"/>
  <c r="AH281" i="15"/>
  <c r="AG281" i="15"/>
  <c r="AF281" i="15"/>
  <c r="AH225" i="15"/>
  <c r="AG218" i="15"/>
  <c r="AD218" i="15"/>
  <c r="AH218" i="15"/>
  <c r="AF218" i="15"/>
  <c r="AC218" i="15"/>
  <c r="AJ234" i="15"/>
  <c r="S204" i="15"/>
  <c r="AJ241" i="15"/>
  <c r="AT241" i="15" s="1"/>
  <c r="AJ240" i="15"/>
  <c r="AG80" i="15"/>
  <c r="AG288" i="15" s="1"/>
  <c r="R284" i="15"/>
  <c r="R290" i="15" s="1"/>
  <c r="Z59" i="15"/>
  <c r="AA59" i="15" s="1"/>
  <c r="Z33" i="15"/>
  <c r="AA33" i="15" s="1"/>
  <c r="Z56" i="15"/>
  <c r="AA56" i="15" s="1"/>
  <c r="Z14" i="15"/>
  <c r="AA14" i="15" s="1"/>
  <c r="AJ40" i="15"/>
  <c r="AG184" i="15"/>
  <c r="AF184" i="15"/>
  <c r="AJ278" i="15"/>
  <c r="AT278" i="15" s="1"/>
  <c r="AH261" i="15"/>
  <c r="AF261" i="15"/>
  <c r="AG261" i="15"/>
  <c r="AD261" i="15"/>
  <c r="AC261" i="15"/>
  <c r="AH185" i="15"/>
  <c r="AG185" i="15"/>
  <c r="AF185" i="15"/>
  <c r="AD185" i="15"/>
  <c r="AC185" i="15"/>
  <c r="AJ196" i="15"/>
  <c r="AT196" i="15" s="1"/>
  <c r="AH199" i="15"/>
  <c r="AG199" i="15"/>
  <c r="AF199" i="15"/>
  <c r="AJ162" i="15"/>
  <c r="AH134" i="15"/>
  <c r="AG134" i="15"/>
  <c r="AC134" i="15"/>
  <c r="AF134" i="15"/>
  <c r="AD134" i="15"/>
  <c r="AJ203" i="15"/>
  <c r="AT203" i="15" s="1"/>
  <c r="AH67" i="15"/>
  <c r="AG67" i="15"/>
  <c r="AF67" i="15"/>
  <c r="AD67" i="15"/>
  <c r="AC67" i="15"/>
  <c r="AH62" i="15"/>
  <c r="AG62" i="15"/>
  <c r="AD62" i="15"/>
  <c r="AC62" i="15"/>
  <c r="AF62" i="15"/>
  <c r="AJ76" i="15"/>
  <c r="AT76" i="15" s="1"/>
  <c r="AG51" i="15"/>
  <c r="AF51" i="15"/>
  <c r="AC51" i="15"/>
  <c r="AH51" i="15"/>
  <c r="AD51" i="15"/>
  <c r="S20" i="15"/>
  <c r="AF274" i="15"/>
  <c r="AD274" i="15"/>
  <c r="AC274" i="15"/>
  <c r="AG274" i="15"/>
  <c r="AH274" i="15"/>
  <c r="AH176" i="15"/>
  <c r="AH150" i="15"/>
  <c r="AG150" i="15"/>
  <c r="AF150" i="15"/>
  <c r="AC150" i="15"/>
  <c r="AE150" i="15" s="1"/>
  <c r="AD145" i="15"/>
  <c r="AC145" i="15"/>
  <c r="AG145" i="15"/>
  <c r="AH145" i="15"/>
  <c r="AF145" i="15"/>
  <c r="AC57" i="15"/>
  <c r="AH57" i="15"/>
  <c r="AG57" i="15"/>
  <c r="AF57" i="15"/>
  <c r="AD57" i="15"/>
  <c r="U287" i="15"/>
  <c r="T73" i="15"/>
  <c r="T287" i="15" s="1"/>
  <c r="T290" i="15" s="1"/>
  <c r="AG277" i="15"/>
  <c r="AF277" i="15"/>
  <c r="AD277" i="15"/>
  <c r="AC277" i="15"/>
  <c r="AH277" i="15"/>
  <c r="AG182" i="15"/>
  <c r="AF182" i="15"/>
  <c r="AD182" i="15"/>
  <c r="AC182" i="15"/>
  <c r="AH182" i="15"/>
  <c r="AH55" i="15"/>
  <c r="AG55" i="15"/>
  <c r="AF55" i="15"/>
  <c r="AD55" i="15"/>
  <c r="AC55" i="15"/>
  <c r="AG235" i="15"/>
  <c r="AH235" i="15"/>
  <c r="AF235" i="15"/>
  <c r="AD235" i="15"/>
  <c r="AC235" i="15"/>
  <c r="AG224" i="15"/>
  <c r="AF224" i="15"/>
  <c r="AD224" i="15"/>
  <c r="AC224" i="15"/>
  <c r="AH224" i="15"/>
  <c r="Z34" i="15"/>
  <c r="AA34" i="15" s="1"/>
  <c r="AO287" i="15"/>
  <c r="AO290" i="15" s="1"/>
  <c r="AO73" i="15"/>
  <c r="AO284" i="15" s="1"/>
  <c r="AQ14" i="15"/>
  <c r="AR14" i="15" s="1"/>
  <c r="AD257" i="15"/>
  <c r="AE257" i="15" s="1"/>
  <c r="AF257" i="15"/>
  <c r="AH257" i="15"/>
  <c r="AG257" i="15"/>
  <c r="AJ262" i="15"/>
  <c r="AH177" i="15"/>
  <c r="AG177" i="15"/>
  <c r="AF177" i="15"/>
  <c r="AC177" i="15"/>
  <c r="AE177" i="15" s="1"/>
  <c r="AJ194" i="15"/>
  <c r="Z197" i="15"/>
  <c r="AA197" i="15" s="1"/>
  <c r="AJ276" i="15"/>
  <c r="AT276" i="15" s="1"/>
  <c r="AJ248" i="15"/>
  <c r="AC206" i="15"/>
  <c r="AH206" i="15"/>
  <c r="AG206" i="15"/>
  <c r="AF206" i="15"/>
  <c r="AD206" i="15"/>
  <c r="AC209" i="15"/>
  <c r="AD209" i="15"/>
  <c r="AH209" i="15"/>
  <c r="AG209" i="15"/>
  <c r="AF209" i="15"/>
  <c r="AJ249" i="15"/>
  <c r="AF202" i="15"/>
  <c r="AH202" i="15"/>
  <c r="AG202" i="15"/>
  <c r="AD202" i="15"/>
  <c r="AC202" i="15"/>
  <c r="AO283" i="15"/>
  <c r="AJ140" i="15"/>
  <c r="AF80" i="15"/>
  <c r="AF288" i="15" s="1"/>
  <c r="AJ221" i="15"/>
  <c r="AT221" i="15" s="1"/>
  <c r="AT80" i="15" s="1"/>
  <c r="Z43" i="15"/>
  <c r="AA43" i="15" s="1"/>
  <c r="AQ283" i="15"/>
  <c r="AQ289" i="15" s="1"/>
  <c r="AR83" i="15"/>
  <c r="AR283" i="15" s="1"/>
  <c r="AR289" i="15" s="1"/>
  <c r="AJ18" i="15"/>
  <c r="AT18" i="15" s="1"/>
  <c r="AE130" i="15" l="1"/>
  <c r="AC44" i="15"/>
  <c r="AJ187" i="15"/>
  <c r="AJ45" i="15"/>
  <c r="AG200" i="15"/>
  <c r="AE61" i="15"/>
  <c r="AJ30" i="15"/>
  <c r="AJ48" i="15"/>
  <c r="AT48" i="15" s="1"/>
  <c r="AE187" i="15"/>
  <c r="AC176" i="15"/>
  <c r="AH200" i="15"/>
  <c r="AT214" i="15"/>
  <c r="AE54" i="15"/>
  <c r="AT54" i="15" s="1"/>
  <c r="AE163" i="15"/>
  <c r="AG176" i="15"/>
  <c r="AC201" i="15"/>
  <c r="AE201" i="15" s="1"/>
  <c r="AH60" i="15"/>
  <c r="AT68" i="15"/>
  <c r="AJ167" i="15"/>
  <c r="AT167" i="15" s="1"/>
  <c r="AT249" i="15"/>
  <c r="AF201" i="15"/>
  <c r="AG70" i="15"/>
  <c r="AT140" i="15"/>
  <c r="AG201" i="15"/>
  <c r="AT234" i="15"/>
  <c r="AH70" i="15"/>
  <c r="AE230" i="15"/>
  <c r="AT180" i="15"/>
  <c r="AE64" i="15"/>
  <c r="AJ255" i="15"/>
  <c r="AT198" i="15"/>
  <c r="AT40" i="15"/>
  <c r="AT245" i="15"/>
  <c r="AT194" i="15"/>
  <c r="AE235" i="15"/>
  <c r="AT240" i="15"/>
  <c r="AE131" i="15"/>
  <c r="AF70" i="15"/>
  <c r="AJ70" i="15" s="1"/>
  <c r="AT179" i="15"/>
  <c r="AT144" i="15"/>
  <c r="AJ258" i="15"/>
  <c r="AJ155" i="15"/>
  <c r="AT155" i="15" s="1"/>
  <c r="AH268" i="15"/>
  <c r="AD176" i="15"/>
  <c r="AE176" i="15" s="1"/>
  <c r="AE237" i="15"/>
  <c r="AE213" i="15"/>
  <c r="AJ207" i="15"/>
  <c r="AT207" i="15" s="1"/>
  <c r="AT152" i="15"/>
  <c r="AJ259" i="15"/>
  <c r="AE169" i="15"/>
  <c r="AT169" i="15" s="1"/>
  <c r="AE66" i="15"/>
  <c r="AJ64" i="15"/>
  <c r="AT64" i="15" s="1"/>
  <c r="AJ213" i="15"/>
  <c r="AJ84" i="15"/>
  <c r="AT84" i="15" s="1"/>
  <c r="AJ273" i="15"/>
  <c r="AE262" i="15"/>
  <c r="AT262" i="15" s="1"/>
  <c r="AJ215" i="15"/>
  <c r="AT215" i="15" s="1"/>
  <c r="AG168" i="15"/>
  <c r="AE260" i="15"/>
  <c r="AC38" i="15"/>
  <c r="AH279" i="15"/>
  <c r="AF279" i="15"/>
  <c r="AG279" i="15"/>
  <c r="AD279" i="15"/>
  <c r="AC279" i="15"/>
  <c r="AE218" i="15"/>
  <c r="AD168" i="15"/>
  <c r="AG60" i="15"/>
  <c r="AD38" i="15"/>
  <c r="AT195" i="15"/>
  <c r="AT247" i="15"/>
  <c r="AE28" i="15"/>
  <c r="AJ188" i="15"/>
  <c r="AT188" i="15" s="1"/>
  <c r="AJ210" i="15"/>
  <c r="AT210" i="15" s="1"/>
  <c r="AT251" i="15"/>
  <c r="AE62" i="15"/>
  <c r="AT30" i="15"/>
  <c r="AH193" i="15"/>
  <c r="AT142" i="15"/>
  <c r="AE55" i="15"/>
  <c r="AH184" i="15"/>
  <c r="AD60" i="15"/>
  <c r="AE60" i="15" s="1"/>
  <c r="AG268" i="15"/>
  <c r="AE46" i="15"/>
  <c r="AE190" i="15"/>
  <c r="AE273" i="15"/>
  <c r="AG141" i="15"/>
  <c r="AH141" i="15"/>
  <c r="AF141" i="15"/>
  <c r="AD141" i="15"/>
  <c r="AC141" i="15"/>
  <c r="AH170" i="15"/>
  <c r="AF60" i="15"/>
  <c r="AT35" i="15"/>
  <c r="AT264" i="15"/>
  <c r="AH254" i="15"/>
  <c r="AC254" i="15"/>
  <c r="AG254" i="15"/>
  <c r="AF254" i="15"/>
  <c r="AD254" i="15"/>
  <c r="AE209" i="15"/>
  <c r="AE67" i="15"/>
  <c r="AC268" i="15"/>
  <c r="AE268" i="15" s="1"/>
  <c r="AT28" i="15"/>
  <c r="AF243" i="15"/>
  <c r="AJ146" i="15"/>
  <c r="AF39" i="15"/>
  <c r="AH39" i="15"/>
  <c r="AC39" i="15"/>
  <c r="AD39" i="15"/>
  <c r="AG39" i="15"/>
  <c r="AG157" i="15"/>
  <c r="AG243" i="15"/>
  <c r="AH53" i="15"/>
  <c r="AJ53" i="15" s="1"/>
  <c r="AH157" i="15"/>
  <c r="AH243" i="15"/>
  <c r="AJ130" i="15"/>
  <c r="AT130" i="15" s="1"/>
  <c r="AE185" i="15"/>
  <c r="AD44" i="15"/>
  <c r="AE44" i="15" s="1"/>
  <c r="AT47" i="15"/>
  <c r="AE70" i="15"/>
  <c r="AJ256" i="15"/>
  <c r="AT256" i="15" s="1"/>
  <c r="AT31" i="15"/>
  <c r="AE202" i="15"/>
  <c r="AE134" i="15"/>
  <c r="AH168" i="15"/>
  <c r="AJ168" i="15" s="1"/>
  <c r="AT227" i="15"/>
  <c r="AJ211" i="15"/>
  <c r="AT211" i="15" s="1"/>
  <c r="AJ151" i="15"/>
  <c r="AT151" i="15" s="1"/>
  <c r="AJ206" i="15"/>
  <c r="AC168" i="15"/>
  <c r="AE239" i="15"/>
  <c r="AT258" i="15"/>
  <c r="AW162" i="15" s="1"/>
  <c r="AJ231" i="15"/>
  <c r="AE236" i="15"/>
  <c r="AT52" i="15"/>
  <c r="AF110" i="15"/>
  <c r="AD110" i="15"/>
  <c r="AC110" i="15"/>
  <c r="AH110" i="15"/>
  <c r="AG110" i="15"/>
  <c r="AC226" i="15"/>
  <c r="AF226" i="15"/>
  <c r="AH226" i="15"/>
  <c r="AG226" i="15"/>
  <c r="AD226" i="15"/>
  <c r="AT45" i="15"/>
  <c r="AF23" i="15"/>
  <c r="AT162" i="15"/>
  <c r="AE261" i="15"/>
  <c r="AE72" i="15"/>
  <c r="AC208" i="15"/>
  <c r="AT163" i="15"/>
  <c r="AC157" i="15"/>
  <c r="AE157" i="15" s="1"/>
  <c r="AE100" i="15"/>
  <c r="AT175" i="15"/>
  <c r="AJ148" i="15"/>
  <c r="AJ36" i="15"/>
  <c r="AT36" i="15" s="1"/>
  <c r="AG23" i="15"/>
  <c r="AE145" i="15"/>
  <c r="AD208" i="15"/>
  <c r="AF244" i="15"/>
  <c r="AD244" i="15"/>
  <c r="AC244" i="15"/>
  <c r="AH244" i="15"/>
  <c r="AG244" i="15"/>
  <c r="AH23" i="15"/>
  <c r="AF208" i="15"/>
  <c r="AD23" i="15"/>
  <c r="AE23" i="15" s="1"/>
  <c r="AJ261" i="15"/>
  <c r="AG208" i="15"/>
  <c r="AT58" i="15"/>
  <c r="AE51" i="15"/>
  <c r="AC170" i="15"/>
  <c r="AT205" i="15"/>
  <c r="AD170" i="15"/>
  <c r="AJ37" i="15"/>
  <c r="AT37" i="15" s="1"/>
  <c r="AJ266" i="15"/>
  <c r="AJ91" i="15"/>
  <c r="AF170" i="15"/>
  <c r="AE172" i="15"/>
  <c r="AT217" i="15"/>
  <c r="AE204" i="15"/>
  <c r="AT183" i="15"/>
  <c r="AT187" i="15"/>
  <c r="AE91" i="15"/>
  <c r="AH44" i="15"/>
  <c r="AG44" i="15"/>
  <c r="AJ235" i="15"/>
  <c r="AT235" i="15" s="1"/>
  <c r="AJ131" i="15"/>
  <c r="AT131" i="15" s="1"/>
  <c r="AJ270" i="15"/>
  <c r="AT270" i="15" s="1"/>
  <c r="AT153" i="15"/>
  <c r="AG159" i="15"/>
  <c r="AD159" i="15"/>
  <c r="AF159" i="15"/>
  <c r="AC159" i="15"/>
  <c r="AH159" i="15"/>
  <c r="AJ176" i="15"/>
  <c r="AR73" i="15"/>
  <c r="AR284" i="15" s="1"/>
  <c r="AR290" i="15" s="1"/>
  <c r="AE212" i="15"/>
  <c r="AE32" i="15"/>
  <c r="AJ212" i="15"/>
  <c r="AE65" i="15"/>
  <c r="AT65" i="15" s="1"/>
  <c r="AE277" i="15"/>
  <c r="AE281" i="15"/>
  <c r="AE171" i="15"/>
  <c r="AJ66" i="15"/>
  <c r="AT66" i="15" s="1"/>
  <c r="AJ32" i="15"/>
  <c r="AG63" i="15"/>
  <c r="AD63" i="15"/>
  <c r="AC63" i="15"/>
  <c r="AH63" i="15"/>
  <c r="AF63" i="15"/>
  <c r="AT71" i="15"/>
  <c r="AJ51" i="15"/>
  <c r="AF38" i="15"/>
  <c r="AF21" i="15"/>
  <c r="AC21" i="15"/>
  <c r="AE21" i="15" s="1"/>
  <c r="AH21" i="15"/>
  <c r="AG21" i="15"/>
  <c r="AF222" i="15"/>
  <c r="AD222" i="15"/>
  <c r="AC222" i="15"/>
  <c r="AH222" i="15"/>
  <c r="AG222" i="15"/>
  <c r="AE224" i="15"/>
  <c r="AJ55" i="15"/>
  <c r="AJ239" i="15"/>
  <c r="AG38" i="15"/>
  <c r="AE148" i="15"/>
  <c r="AJ224" i="15"/>
  <c r="AE57" i="15"/>
  <c r="AE274" i="15"/>
  <c r="AJ201" i="15"/>
  <c r="AT201" i="15" s="1"/>
  <c r="AC225" i="15"/>
  <c r="AJ72" i="15"/>
  <c r="AJ200" i="15"/>
  <c r="AT200" i="15" s="1"/>
  <c r="AE266" i="15"/>
  <c r="AH165" i="15"/>
  <c r="AG165" i="15"/>
  <c r="AC165" i="15"/>
  <c r="AF165" i="15"/>
  <c r="AD165" i="15"/>
  <c r="AE255" i="15"/>
  <c r="AT255" i="15" s="1"/>
  <c r="AE206" i="15"/>
  <c r="AJ145" i="15"/>
  <c r="AJ150" i="15"/>
  <c r="AJ134" i="15"/>
  <c r="AT134" i="15" s="1"/>
  <c r="AD225" i="15"/>
  <c r="AE233" i="15"/>
  <c r="AC181" i="15"/>
  <c r="AH181" i="15"/>
  <c r="AF181" i="15"/>
  <c r="AG181" i="15"/>
  <c r="AD181" i="15"/>
  <c r="AE53" i="15"/>
  <c r="AH41" i="15"/>
  <c r="AG41" i="15"/>
  <c r="AF41" i="15"/>
  <c r="AD41" i="15"/>
  <c r="AC41" i="15"/>
  <c r="AE259" i="15"/>
  <c r="AT259" i="15" s="1"/>
  <c r="AT146" i="15"/>
  <c r="AJ185" i="15"/>
  <c r="AF225" i="15"/>
  <c r="AJ225" i="15" s="1"/>
  <c r="AE191" i="15"/>
  <c r="AJ233" i="15"/>
  <c r="AE231" i="15"/>
  <c r="AJ209" i="15"/>
  <c r="AT209" i="15" s="1"/>
  <c r="AE182" i="15"/>
  <c r="AE189" i="15"/>
  <c r="AE242" i="15"/>
  <c r="AJ237" i="15"/>
  <c r="AT237" i="15" s="1"/>
  <c r="AJ100" i="15"/>
  <c r="AH267" i="15"/>
  <c r="AG267" i="15"/>
  <c r="AF267" i="15"/>
  <c r="AD267" i="15"/>
  <c r="AC267" i="15"/>
  <c r="AC16" i="15"/>
  <c r="AD16" i="15"/>
  <c r="AF16" i="15"/>
  <c r="AG16" i="15"/>
  <c r="AT288" i="15"/>
  <c r="AH160" i="15"/>
  <c r="AD160" i="15"/>
  <c r="AC160" i="15"/>
  <c r="AG160" i="15"/>
  <c r="AF160" i="15"/>
  <c r="AH161" i="15"/>
  <c r="AG161" i="15"/>
  <c r="AF161" i="15"/>
  <c r="AC161" i="15"/>
  <c r="AE161" i="15" s="1"/>
  <c r="AJ177" i="15"/>
  <c r="AT177" i="15" s="1"/>
  <c r="AQ73" i="15"/>
  <c r="AQ284" i="15" s="1"/>
  <c r="AQ290" i="15" s="1"/>
  <c r="AJ253" i="15"/>
  <c r="AT253" i="15" s="1"/>
  <c r="AJ230" i="15"/>
  <c r="AT230" i="15" s="1"/>
  <c r="AF166" i="15"/>
  <c r="AC166" i="15"/>
  <c r="AH166" i="15"/>
  <c r="AG166" i="15"/>
  <c r="AD166" i="15"/>
  <c r="AJ204" i="15"/>
  <c r="AJ154" i="15"/>
  <c r="AT154" i="15" s="1"/>
  <c r="AJ46" i="15"/>
  <c r="AD173" i="15"/>
  <c r="AH173" i="15"/>
  <c r="AG173" i="15"/>
  <c r="AF173" i="15"/>
  <c r="AC173" i="15"/>
  <c r="AJ277" i="15"/>
  <c r="AQ287" i="15"/>
  <c r="AJ281" i="15"/>
  <c r="AJ193" i="15"/>
  <c r="AT193" i="15" s="1"/>
  <c r="AU15" i="15"/>
  <c r="A16" i="15"/>
  <c r="AJ260" i="15"/>
  <c r="AT260" i="15" s="1"/>
  <c r="AJ57" i="15"/>
  <c r="AT57" i="15" s="1"/>
  <c r="AJ274" i="15"/>
  <c r="AJ67" i="15"/>
  <c r="AT67" i="15" s="1"/>
  <c r="AJ218" i="15"/>
  <c r="AH17" i="15"/>
  <c r="AF17" i="15"/>
  <c r="AG17" i="15"/>
  <c r="AD17" i="15"/>
  <c r="AC17" i="15"/>
  <c r="AT248" i="15"/>
  <c r="AJ191" i="15"/>
  <c r="AJ61" i="15"/>
  <c r="AT61" i="15" s="1"/>
  <c r="AJ202" i="15"/>
  <c r="AJ199" i="15"/>
  <c r="AT199" i="15" s="1"/>
  <c r="AD33" i="15"/>
  <c r="AC33" i="15"/>
  <c r="AH33" i="15"/>
  <c r="AG33" i="15"/>
  <c r="AF33" i="15"/>
  <c r="AC19" i="15"/>
  <c r="AE19" i="15" s="1"/>
  <c r="AH19" i="15"/>
  <c r="AF19" i="15"/>
  <c r="AG19" i="15"/>
  <c r="AJ171" i="15"/>
  <c r="AT171" i="15" s="1"/>
  <c r="AH69" i="15"/>
  <c r="AG69" i="15"/>
  <c r="AD69" i="15"/>
  <c r="AC69" i="15"/>
  <c r="AF69" i="15"/>
  <c r="AJ242" i="15"/>
  <c r="AJ236" i="15"/>
  <c r="AF50" i="15"/>
  <c r="AD50" i="15"/>
  <c r="AH50" i="15"/>
  <c r="AG50" i="15"/>
  <c r="AC50" i="15"/>
  <c r="AJ80" i="15"/>
  <c r="AJ288" i="15" s="1"/>
  <c r="AJ62" i="15"/>
  <c r="AH216" i="15"/>
  <c r="AG216" i="15"/>
  <c r="AF216" i="15"/>
  <c r="AD216" i="15"/>
  <c r="AC216" i="15"/>
  <c r="AF174" i="15"/>
  <c r="AC174" i="15"/>
  <c r="AH174" i="15"/>
  <c r="AG174" i="15"/>
  <c r="AD174" i="15"/>
  <c r="AD49" i="15"/>
  <c r="AC49" i="15"/>
  <c r="AH49" i="15"/>
  <c r="AG49" i="15"/>
  <c r="AF49" i="15"/>
  <c r="AD59" i="15"/>
  <c r="AC59" i="15"/>
  <c r="AG59" i="15"/>
  <c r="AH59" i="15"/>
  <c r="AF59" i="15"/>
  <c r="AJ172" i="15"/>
  <c r="AT172" i="15" s="1"/>
  <c r="AD282" i="15"/>
  <c r="AC282" i="15"/>
  <c r="AH282" i="15"/>
  <c r="AG282" i="15"/>
  <c r="AF282" i="15"/>
  <c r="AH42" i="15"/>
  <c r="AG42" i="15"/>
  <c r="AD42" i="15"/>
  <c r="AC42" i="15"/>
  <c r="AF42" i="15"/>
  <c r="AJ243" i="15"/>
  <c r="AT243" i="15" s="1"/>
  <c r="AJ232" i="15"/>
  <c r="AT232" i="15" s="1"/>
  <c r="AF14" i="15"/>
  <c r="AD14" i="15"/>
  <c r="AC14" i="15"/>
  <c r="AG14" i="15"/>
  <c r="AH14" i="15"/>
  <c r="AH43" i="15"/>
  <c r="AC43" i="15"/>
  <c r="AF43" i="15"/>
  <c r="AG43" i="15"/>
  <c r="AD43" i="15"/>
  <c r="AH197" i="15"/>
  <c r="AD197" i="15"/>
  <c r="AC197" i="15"/>
  <c r="AG197" i="15"/>
  <c r="AF197" i="15"/>
  <c r="AJ257" i="15"/>
  <c r="AT257" i="15" s="1"/>
  <c r="AC34" i="15"/>
  <c r="AH34" i="15"/>
  <c r="AD34" i="15"/>
  <c r="AG34" i="15"/>
  <c r="AF34" i="15"/>
  <c r="AJ182" i="15"/>
  <c r="AJ184" i="15"/>
  <c r="AT184" i="15" s="1"/>
  <c r="AH56" i="15"/>
  <c r="AD56" i="15"/>
  <c r="AC56" i="15"/>
  <c r="AG56" i="15"/>
  <c r="AF56" i="15"/>
  <c r="AJ268" i="15"/>
  <c r="AT268" i="15" s="1"/>
  <c r="AJ20" i="15"/>
  <c r="AT20" i="15" s="1"/>
  <c r="AJ189" i="15"/>
  <c r="AJ190" i="15"/>
  <c r="AT190" i="15" s="1"/>
  <c r="AT150" i="15" l="1"/>
  <c r="AJ23" i="15"/>
  <c r="AJ157" i="15"/>
  <c r="AT157" i="15" s="1"/>
  <c r="AT213" i="15"/>
  <c r="AT100" i="15"/>
  <c r="AT62" i="15"/>
  <c r="AJ170" i="15"/>
  <c r="AE279" i="15"/>
  <c r="AT182" i="15"/>
  <c r="AT231" i="15"/>
  <c r="AT204" i="15"/>
  <c r="AT277" i="15"/>
  <c r="AE267" i="15"/>
  <c r="AE41" i="15"/>
  <c r="AR287" i="15"/>
  <c r="AT148" i="15"/>
  <c r="AJ44" i="15"/>
  <c r="AT44" i="15" s="1"/>
  <c r="AE43" i="15"/>
  <c r="AE282" i="15"/>
  <c r="AE168" i="15"/>
  <c r="AT273" i="15"/>
  <c r="AE38" i="15"/>
  <c r="AE50" i="15"/>
  <c r="AT239" i="15"/>
  <c r="AT55" i="15"/>
  <c r="AJ279" i="15"/>
  <c r="AE181" i="15"/>
  <c r="AT266" i="15"/>
  <c r="AJ282" i="15"/>
  <c r="AT242" i="15"/>
  <c r="AE166" i="15"/>
  <c r="AT72" i="15"/>
  <c r="AT145" i="15"/>
  <c r="AT274" i="15"/>
  <c r="AJ267" i="15"/>
  <c r="AT185" i="15"/>
  <c r="AE141" i="15"/>
  <c r="AE226" i="15"/>
  <c r="AT46" i="15"/>
  <c r="AE165" i="15"/>
  <c r="AT51" i="15"/>
  <c r="AE254" i="15"/>
  <c r="AE208" i="15"/>
  <c r="AE110" i="15"/>
  <c r="AT218" i="15"/>
  <c r="AJ60" i="15"/>
  <c r="AT60" i="15" s="1"/>
  <c r="AT168" i="15"/>
  <c r="AE216" i="15"/>
  <c r="AE39" i="15"/>
  <c r="AT236" i="15"/>
  <c r="AT53" i="15"/>
  <c r="AJ39" i="15"/>
  <c r="AJ254" i="15"/>
  <c r="AE34" i="15"/>
  <c r="AT281" i="15"/>
  <c r="AJ161" i="15"/>
  <c r="AT161" i="15" s="1"/>
  <c r="AT206" i="15"/>
  <c r="AT224" i="15"/>
  <c r="AJ208" i="15"/>
  <c r="AT208" i="15" s="1"/>
  <c r="AJ141" i="15"/>
  <c r="AT141" i="15" s="1"/>
  <c r="AT91" i="15"/>
  <c r="AJ244" i="15"/>
  <c r="AE69" i="15"/>
  <c r="AJ165" i="15"/>
  <c r="AT165" i="15" s="1"/>
  <c r="AE170" i="15"/>
  <c r="AT189" i="15"/>
  <c r="AT70" i="15"/>
  <c r="AE159" i="15"/>
  <c r="AT191" i="15"/>
  <c r="AE42" i="15"/>
  <c r="AE17" i="15"/>
  <c r="AJ38" i="15"/>
  <c r="AT38" i="15" s="1"/>
  <c r="AT233" i="15"/>
  <c r="AJ226" i="15"/>
  <c r="AT226" i="15" s="1"/>
  <c r="AT202" i="15"/>
  <c r="AE59" i="15"/>
  <c r="AE222" i="15"/>
  <c r="AT176" i="15"/>
  <c r="AE244" i="15"/>
  <c r="AT244" i="15" s="1"/>
  <c r="AJ197" i="15"/>
  <c r="AT261" i="15"/>
  <c r="AE63" i="15"/>
  <c r="AJ110" i="15"/>
  <c r="AT110" i="15" s="1"/>
  <c r="AT23" i="15"/>
  <c r="AE33" i="15"/>
  <c r="AE160" i="15"/>
  <c r="AJ181" i="15"/>
  <c r="AT181" i="15" s="1"/>
  <c r="AJ166" i="15"/>
  <c r="AJ21" i="15"/>
  <c r="AT21" i="15" s="1"/>
  <c r="AT32" i="15"/>
  <c r="AE174" i="15"/>
  <c r="AJ16" i="15"/>
  <c r="AJ174" i="15"/>
  <c r="AE225" i="15"/>
  <c r="AT225" i="15" s="1"/>
  <c r="AE16" i="15"/>
  <c r="AJ41" i="15"/>
  <c r="AT41" i="15" s="1"/>
  <c r="AJ33" i="15"/>
  <c r="AJ17" i="15"/>
  <c r="AT212" i="15"/>
  <c r="AJ159" i="15"/>
  <c r="AE173" i="15"/>
  <c r="AJ34" i="15"/>
  <c r="AJ222" i="15"/>
  <c r="AE56" i="15"/>
  <c r="AE14" i="15"/>
  <c r="AE197" i="15"/>
  <c r="AE49" i="15"/>
  <c r="AJ63" i="15"/>
  <c r="AU16" i="15"/>
  <c r="AJ14" i="15"/>
  <c r="AJ69" i="15"/>
  <c r="AJ160" i="15"/>
  <c r="AJ49" i="15"/>
  <c r="AJ56" i="15"/>
  <c r="AJ43" i="15"/>
  <c r="AT43" i="15" s="1"/>
  <c r="AJ173" i="15"/>
  <c r="AJ42" i="15"/>
  <c r="AJ216" i="15"/>
  <c r="AJ50" i="15"/>
  <c r="A17" i="15"/>
  <c r="AJ59" i="15"/>
  <c r="AT59" i="15" s="1"/>
  <c r="AJ19" i="15"/>
  <c r="AT19" i="15" s="1"/>
  <c r="T22" i="2"/>
  <c r="L22" i="2"/>
  <c r="AT282" i="15" l="1"/>
  <c r="AT170" i="15"/>
  <c r="AT50" i="15"/>
  <c r="AT166" i="15"/>
  <c r="AT49" i="15"/>
  <c r="AT17" i="15"/>
  <c r="AT267" i="15"/>
  <c r="AT279" i="15"/>
  <c r="AT34" i="15"/>
  <c r="AT160" i="15"/>
  <c r="AT254" i="15"/>
  <c r="AT222" i="15"/>
  <c r="AT63" i="15"/>
  <c r="AT159" i="15"/>
  <c r="AT216" i="15"/>
  <c r="AT56" i="15"/>
  <c r="AT69" i="15"/>
  <c r="AT39" i="15"/>
  <c r="AT197" i="15"/>
  <c r="AT42" i="15"/>
  <c r="AT14" i="15"/>
  <c r="AT33" i="15"/>
  <c r="AT174" i="15"/>
  <c r="AT173" i="15"/>
  <c r="AT16" i="15"/>
  <c r="AU17" i="15"/>
  <c r="A18" i="15"/>
  <c r="AU18" i="15" l="1"/>
  <c r="A19" i="15"/>
  <c r="T21" i="2"/>
  <c r="L21" i="2"/>
  <c r="Q11" i="2"/>
  <c r="T11" i="2" s="1"/>
  <c r="I11" i="2"/>
  <c r="L11" i="2" s="1"/>
  <c r="Q12" i="2"/>
  <c r="T12" i="2" s="1"/>
  <c r="I12" i="2"/>
  <c r="L12" i="2" s="1"/>
  <c r="AU19" i="15" l="1"/>
  <c r="A20" i="15"/>
  <c r="A21" i="15" l="1"/>
  <c r="AU20" i="15"/>
  <c r="AU21" i="15" l="1"/>
  <c r="A22" i="15"/>
  <c r="AU22" i="15" l="1"/>
  <c r="A23" i="15"/>
  <c r="AU23" i="15" l="1"/>
  <c r="A24" i="15"/>
  <c r="AU24" i="15" l="1"/>
  <c r="A25" i="15"/>
  <c r="AU25" i="15" l="1"/>
  <c r="A26" i="15"/>
  <c r="Q14" i="2"/>
  <c r="I18" i="2"/>
  <c r="I14" i="2"/>
  <c r="AU26" i="15" l="1"/>
  <c r="A27" i="15"/>
  <c r="AU27" i="15" l="1"/>
  <c r="A28" i="15"/>
  <c r="AU28" i="15" l="1"/>
  <c r="A29" i="15" l="1"/>
  <c r="T14" i="2"/>
  <c r="L14" i="2"/>
  <c r="AU29" i="15" l="1"/>
  <c r="A30" i="15"/>
  <c r="AU30" i="15" l="1"/>
  <c r="A31" i="15"/>
  <c r="AU31" i="15" l="1"/>
  <c r="A32" i="15"/>
  <c r="AU32" i="15" l="1"/>
  <c r="A33" i="15"/>
  <c r="AU33" i="15" l="1"/>
  <c r="A34" i="15"/>
  <c r="AU34" i="15" l="1"/>
  <c r="A35" i="15"/>
  <c r="AU35" i="15" l="1"/>
  <c r="A36" i="15"/>
  <c r="AU36" i="15" l="1"/>
  <c r="A37" i="15"/>
  <c r="AU37" i="15" l="1"/>
  <c r="A38" i="15"/>
  <c r="AU38" i="15" l="1"/>
  <c r="A39" i="15"/>
  <c r="AU39" i="15" l="1"/>
  <c r="A40" i="15"/>
  <c r="AU40" i="15" l="1"/>
  <c r="A41" i="15"/>
  <c r="AU41" i="15" l="1"/>
  <c r="A42" i="15"/>
  <c r="AU42" i="15" l="1"/>
  <c r="A43" i="15"/>
  <c r="AU43" i="15" l="1"/>
  <c r="A44" i="15"/>
  <c r="AU44" i="15" l="1"/>
  <c r="A45" i="15"/>
  <c r="AU45" i="15" l="1"/>
  <c r="A46" i="15"/>
  <c r="AU46" i="15" l="1"/>
  <c r="A47" i="15"/>
  <c r="AU47" i="15" l="1"/>
  <c r="A48" i="15"/>
  <c r="AU48" i="15" l="1"/>
  <c r="A49" i="15"/>
  <c r="AU49" i="15" l="1"/>
  <c r="A50" i="15"/>
  <c r="AU50" i="15" l="1"/>
  <c r="A51" i="15"/>
  <c r="AU51" i="15" l="1"/>
  <c r="A52" i="15"/>
  <c r="AU52" i="15" l="1"/>
  <c r="A53" i="15"/>
  <c r="AU53" i="15" l="1"/>
  <c r="A54" i="15"/>
  <c r="AU54" i="15" l="1"/>
  <c r="A55" i="15"/>
  <c r="AU55" i="15" l="1"/>
  <c r="A56" i="15"/>
  <c r="AU56" i="15" l="1"/>
  <c r="A57" i="15"/>
  <c r="AU57" i="15" l="1"/>
  <c r="A58" i="15"/>
  <c r="AU58" i="15" l="1"/>
  <c r="A59" i="15"/>
  <c r="AU59" i="15" l="1"/>
  <c r="A60" i="15"/>
  <c r="AU60" i="15" l="1"/>
  <c r="A61" i="15"/>
  <c r="AU61" i="15" l="1"/>
  <c r="A62" i="15"/>
  <c r="AU62" i="15" l="1"/>
  <c r="A63" i="15"/>
  <c r="AX11" i="11"/>
  <c r="AY11" i="11"/>
  <c r="AY13" i="11"/>
  <c r="B14" i="11"/>
  <c r="K14" i="11"/>
  <c r="T14" i="11"/>
  <c r="U14" i="11"/>
  <c r="W14" i="11"/>
  <c r="AK14" i="11"/>
  <c r="AT14" i="11"/>
  <c r="AY14" i="11"/>
  <c r="B15" i="11"/>
  <c r="K15" i="11"/>
  <c r="T15" i="11"/>
  <c r="U15" i="11"/>
  <c r="AK15" i="11"/>
  <c r="AT15" i="11"/>
  <c r="B16" i="11"/>
  <c r="K16" i="11"/>
  <c r="T16" i="11"/>
  <c r="AN16" i="11" s="1"/>
  <c r="AP16" i="11" s="1"/>
  <c r="AQ16" i="11" s="1"/>
  <c r="U16" i="11"/>
  <c r="W16" i="11"/>
  <c r="X15" i="15" s="1"/>
  <c r="Y15" i="15" s="1"/>
  <c r="AK16" i="11"/>
  <c r="AK87" i="11" s="1"/>
  <c r="AK286" i="11" s="1"/>
  <c r="AT16" i="11"/>
  <c r="B17" i="11"/>
  <c r="K17" i="11"/>
  <c r="T17" i="11"/>
  <c r="U17" i="11"/>
  <c r="AK17" i="11"/>
  <c r="AT17" i="11"/>
  <c r="B18" i="11"/>
  <c r="K18" i="11"/>
  <c r="T18" i="11"/>
  <c r="U18" i="11"/>
  <c r="W18" i="11"/>
  <c r="AK18" i="11"/>
  <c r="AT18" i="11"/>
  <c r="B19" i="11"/>
  <c r="K19" i="11"/>
  <c r="T19" i="11"/>
  <c r="U19" i="11"/>
  <c r="W19" i="11"/>
  <c r="X19" i="11" s="1"/>
  <c r="AK19" i="11"/>
  <c r="AN19" i="11"/>
  <c r="AP19" i="11" s="1"/>
  <c r="AQ19" i="11" s="1"/>
  <c r="AT19" i="11"/>
  <c r="B20" i="11"/>
  <c r="K20" i="11"/>
  <c r="T20" i="11"/>
  <c r="U20" i="11"/>
  <c r="X20" i="11"/>
  <c r="AK20" i="11"/>
  <c r="AT20" i="11"/>
  <c r="B21" i="11"/>
  <c r="T21" i="11"/>
  <c r="X21" i="11" s="1"/>
  <c r="U21" i="11"/>
  <c r="AK21" i="11"/>
  <c r="AT21" i="11"/>
  <c r="B22" i="11"/>
  <c r="T22" i="11"/>
  <c r="X22" i="11" s="1"/>
  <c r="U22" i="11"/>
  <c r="AK22" i="11"/>
  <c r="AT22" i="11"/>
  <c r="B23" i="11"/>
  <c r="T23" i="11"/>
  <c r="U23" i="11"/>
  <c r="W23" i="11"/>
  <c r="X22" i="15" s="1"/>
  <c r="Y22" i="15" s="1"/>
  <c r="AK23" i="11"/>
  <c r="AN23" i="11"/>
  <c r="AP23" i="11" s="1"/>
  <c r="AQ23" i="11" s="1"/>
  <c r="AT23" i="11"/>
  <c r="B24" i="11"/>
  <c r="T24" i="11"/>
  <c r="AN24" i="11"/>
  <c r="AP24" i="11" s="1"/>
  <c r="AQ24" i="11" s="1"/>
  <c r="U24" i="11"/>
  <c r="W24" i="11"/>
  <c r="X24" i="15" s="1"/>
  <c r="Y24" i="15" s="1"/>
  <c r="AK24" i="11"/>
  <c r="AT24" i="11"/>
  <c r="B25" i="11"/>
  <c r="T25" i="11"/>
  <c r="X25" i="11" s="1"/>
  <c r="U25" i="11"/>
  <c r="AK25" i="11"/>
  <c r="AT25" i="11"/>
  <c r="B26" i="11"/>
  <c r="K26" i="11"/>
  <c r="T26" i="11"/>
  <c r="AN26" i="11" s="1"/>
  <c r="AP26" i="11" s="1"/>
  <c r="AQ26" i="11" s="1"/>
  <c r="U26" i="11"/>
  <c r="W26" i="11"/>
  <c r="AK26" i="11"/>
  <c r="AT26" i="11"/>
  <c r="B27" i="11"/>
  <c r="K27" i="11"/>
  <c r="T27" i="11"/>
  <c r="AN27" i="11" s="1"/>
  <c r="AP27" i="11" s="1"/>
  <c r="AQ27" i="11" s="1"/>
  <c r="U27" i="11"/>
  <c r="W27" i="11"/>
  <c r="AK27" i="1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AN30" i="11" s="1"/>
  <c r="AP30" i="11" s="1"/>
  <c r="AQ30" i="11" s="1"/>
  <c r="U30" i="11"/>
  <c r="U87" i="11" s="1"/>
  <c r="W30" i="11"/>
  <c r="AK30" i="11"/>
  <c r="AT30" i="11"/>
  <c r="B31" i="11"/>
  <c r="K31" i="11"/>
  <c r="T31" i="11"/>
  <c r="U31" i="11"/>
  <c r="W31" i="11"/>
  <c r="AK31" i="11"/>
  <c r="AT31" i="11"/>
  <c r="B32" i="11"/>
  <c r="K32" i="11"/>
  <c r="T32" i="11"/>
  <c r="AN32" i="11" s="1"/>
  <c r="AP32" i="11" s="1"/>
  <c r="AQ32" i="11" s="1"/>
  <c r="U32" i="11"/>
  <c r="AK32" i="1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s="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X42" i="11" s="1"/>
  <c r="U42" i="11"/>
  <c r="AK42" i="11"/>
  <c r="AT42" i="11"/>
  <c r="B43" i="11"/>
  <c r="K43" i="11"/>
  <c r="T43" i="11"/>
  <c r="X43" i="11" s="1"/>
  <c r="U43" i="11"/>
  <c r="AK43" i="11"/>
  <c r="AN43" i="11"/>
  <c r="AP43" i="11" s="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T50" i="11"/>
  <c r="AX50" i="11"/>
  <c r="B51" i="11"/>
  <c r="K51" i="11"/>
  <c r="T51" i="11"/>
  <c r="X51" i="11" s="1"/>
  <c r="U51" i="11"/>
  <c r="AK51" i="11"/>
  <c r="AT51" i="11"/>
  <c r="AX51" i="11"/>
  <c r="B52" i="11"/>
  <c r="K52" i="11"/>
  <c r="T52" i="11"/>
  <c r="U52" i="11"/>
  <c r="AK52" i="11"/>
  <c r="AT52" i="11"/>
  <c r="AX52" i="11"/>
  <c r="B53" i="11"/>
  <c r="K53" i="11"/>
  <c r="T53" i="11"/>
  <c r="AN53" i="11" s="1"/>
  <c r="AP53" i="11" s="1"/>
  <c r="AQ53" i="11" s="1"/>
  <c r="U53" i="11"/>
  <c r="W53" i="11"/>
  <c r="AK53" i="1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s="1"/>
  <c r="U59" i="11"/>
  <c r="AK59" i="11"/>
  <c r="AN59" i="11"/>
  <c r="AP59" i="11"/>
  <c r="AQ59" i="11" s="1"/>
  <c r="AT59" i="11"/>
  <c r="B60" i="11"/>
  <c r="K60" i="11"/>
  <c r="T60" i="11"/>
  <c r="X60" i="11"/>
  <c r="U60" i="11"/>
  <c r="AK60" i="11"/>
  <c r="AT60" i="11"/>
  <c r="B61" i="11"/>
  <c r="K61" i="11"/>
  <c r="T61" i="11"/>
  <c r="X61" i="11" s="1"/>
  <c r="U61" i="11"/>
  <c r="AK61" i="1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s="1"/>
  <c r="AQ66" i="11" s="1"/>
  <c r="AT66" i="11"/>
  <c r="B67" i="11"/>
  <c r="K67" i="11"/>
  <c r="T67" i="11"/>
  <c r="X67" i="11" s="1"/>
  <c r="U67" i="11"/>
  <c r="AK67" i="11"/>
  <c r="AT67" i="11"/>
  <c r="B68" i="11"/>
  <c r="K68" i="11"/>
  <c r="T68" i="11"/>
  <c r="X68" i="11" s="1"/>
  <c r="U68" i="11"/>
  <c r="AK68" i="1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7" i="15" s="1"/>
  <c r="Y27" i="15" s="1"/>
  <c r="AK74" i="11"/>
  <c r="AN74" i="11"/>
  <c r="AP74" i="11" s="1"/>
  <c r="AQ74" i="11" s="1"/>
  <c r="AT74" i="11"/>
  <c r="B75" i="11"/>
  <c r="K75" i="11"/>
  <c r="T75" i="11"/>
  <c r="AN75" i="11" s="1"/>
  <c r="AP75" i="11" s="1"/>
  <c r="AQ75" i="11" s="1"/>
  <c r="U75" i="11"/>
  <c r="W75" i="11"/>
  <c r="X26" i="15" s="1"/>
  <c r="Y26" i="15" s="1"/>
  <c r="AK75" i="11"/>
  <c r="AT75" i="11"/>
  <c r="B76" i="11"/>
  <c r="K76" i="11"/>
  <c r="T76" i="11"/>
  <c r="U76" i="11"/>
  <c r="AK76" i="11"/>
  <c r="AT76" i="11"/>
  <c r="B77" i="11"/>
  <c r="K77" i="11"/>
  <c r="T77" i="11"/>
  <c r="U77" i="11"/>
  <c r="AK77" i="11"/>
  <c r="AT77" i="11"/>
  <c r="B78" i="11"/>
  <c r="K78" i="11"/>
  <c r="T78" i="11"/>
  <c r="X78" i="11" s="1"/>
  <c r="U78" i="11"/>
  <c r="AK78" i="11"/>
  <c r="AT78" i="11"/>
  <c r="B79" i="11"/>
  <c r="K79" i="11"/>
  <c r="T79" i="11"/>
  <c r="U79" i="11"/>
  <c r="AK79" i="11"/>
  <c r="AT79" i="11"/>
  <c r="B80" i="11"/>
  <c r="K80" i="11"/>
  <c r="T80" i="11"/>
  <c r="U80" i="11"/>
  <c r="AK80" i="11"/>
  <c r="AT80" i="11"/>
  <c r="B81" i="11"/>
  <c r="K81" i="11"/>
  <c r="T81" i="11"/>
  <c r="U81" i="11"/>
  <c r="W81" i="11"/>
  <c r="AK81" i="11"/>
  <c r="AN81" i="11"/>
  <c r="AP81" i="11" s="1"/>
  <c r="AQ81" i="11" s="1"/>
  <c r="AT81" i="11"/>
  <c r="B82" i="11"/>
  <c r="K82" i="11"/>
  <c r="T82" i="11"/>
  <c r="AN82" i="11" s="1"/>
  <c r="AP82" i="11" s="1"/>
  <c r="AQ82" i="11" s="1"/>
  <c r="U82" i="11"/>
  <c r="W82" i="11"/>
  <c r="AK82" i="11"/>
  <c r="AT82" i="11"/>
  <c r="B83" i="11"/>
  <c r="K83" i="11"/>
  <c r="T83" i="11"/>
  <c r="X83" i="11" s="1"/>
  <c r="U83" i="11"/>
  <c r="AK83" i="11"/>
  <c r="AT83" i="11"/>
  <c r="B84" i="11"/>
  <c r="K84" i="11"/>
  <c r="T84" i="11"/>
  <c r="U84" i="11"/>
  <c r="W84" i="11"/>
  <c r="AK84" i="11"/>
  <c r="AP84" i="11"/>
  <c r="AQ84" i="11" s="1"/>
  <c r="AT84" i="11"/>
  <c r="B85" i="11"/>
  <c r="K85" i="11"/>
  <c r="T85" i="11"/>
  <c r="AN85" i="11" s="1"/>
  <c r="AP85" i="11" s="1"/>
  <c r="AQ85" i="11" s="1"/>
  <c r="U85" i="11"/>
  <c r="W85" i="11"/>
  <c r="AK85" i="1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X186" i="15" s="1"/>
  <c r="Y186" i="15" s="1"/>
  <c r="Z186" i="15" s="1"/>
  <c r="AA186" i="15" s="1"/>
  <c r="AP93" i="11"/>
  <c r="AQ93" i="11"/>
  <c r="T94" i="11"/>
  <c r="AN94" i="11" s="1"/>
  <c r="AP94" i="11"/>
  <c r="W94" i="11"/>
  <c r="X139" i="15" s="1"/>
  <c r="Y139" i="15" s="1"/>
  <c r="Z139" i="15" s="1"/>
  <c r="AA139" i="15" s="1"/>
  <c r="T95" i="11"/>
  <c r="W95" i="11"/>
  <c r="X275" i="15" s="1"/>
  <c r="Y275" i="15" s="1"/>
  <c r="Z275" i="15" s="1"/>
  <c r="AA275" i="15" s="1"/>
  <c r="T96" i="11"/>
  <c r="X96" i="11" s="1"/>
  <c r="Y96" i="11" s="1"/>
  <c r="Z96" i="11" s="1"/>
  <c r="AC96" i="11" s="1"/>
  <c r="AN96" i="11"/>
  <c r="AP96" i="11" s="1"/>
  <c r="AQ96" i="11" s="1"/>
  <c r="T97" i="11"/>
  <c r="X97" i="11" s="1"/>
  <c r="AN97" i="11"/>
  <c r="AP97" i="11" s="1"/>
  <c r="AQ97" i="11" s="1"/>
  <c r="T98" i="11"/>
  <c r="T99" i="11"/>
  <c r="AN99" i="11"/>
  <c r="AP99" i="11" s="1"/>
  <c r="AQ99" i="11" s="1"/>
  <c r="W99" i="11"/>
  <c r="B100" i="11"/>
  <c r="Q100" i="11"/>
  <c r="S100" i="11"/>
  <c r="V100" i="11"/>
  <c r="AJ100" i="11"/>
  <c r="AK100" i="11"/>
  <c r="AL100" i="11"/>
  <c r="AM100" i="11"/>
  <c r="AN100" i="11"/>
  <c r="AN287" i="11" s="1"/>
  <c r="AO100" i="11"/>
  <c r="AR100" i="11"/>
  <c r="B101" i="11"/>
  <c r="B102" i="11"/>
  <c r="B103" i="11"/>
  <c r="K103" i="11"/>
  <c r="T103" i="11"/>
  <c r="X103" i="11"/>
  <c r="U103" i="11"/>
  <c r="AK103" i="11"/>
  <c r="AN103" i="11"/>
  <c r="AP103" i="11"/>
  <c r="AQ103" i="11" s="1"/>
  <c r="AT103" i="11"/>
  <c r="B104" i="11"/>
  <c r="K104" i="11"/>
  <c r="T104" i="11"/>
  <c r="X104" i="11" s="1"/>
  <c r="U104" i="11"/>
  <c r="AK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X128" i="15" s="1"/>
  <c r="Y128" i="15" s="1"/>
  <c r="AK107" i="11"/>
  <c r="AT107" i="11"/>
  <c r="B108" i="11"/>
  <c r="K108" i="11"/>
  <c r="T108" i="11"/>
  <c r="AN108" i="11" s="1"/>
  <c r="AP108" i="11" s="1"/>
  <c r="AQ108" i="11" s="1"/>
  <c r="W108" i="11"/>
  <c r="X109" i="15" s="1"/>
  <c r="Y109" i="15" s="1"/>
  <c r="AK108" i="11"/>
  <c r="AT108" i="11"/>
  <c r="B109" i="11"/>
  <c r="K109" i="11"/>
  <c r="T109" i="11"/>
  <c r="W109" i="11"/>
  <c r="X83" i="15" s="1"/>
  <c r="AK109" i="11"/>
  <c r="AN109" i="11"/>
  <c r="AP109" i="11" s="1"/>
  <c r="AQ109" i="11" s="1"/>
  <c r="B110" i="11"/>
  <c r="T110" i="11"/>
  <c r="U110" i="11"/>
  <c r="W110" i="11"/>
  <c r="X123" i="15" s="1"/>
  <c r="Y123" i="15" s="1"/>
  <c r="AK110" i="11"/>
  <c r="AN110" i="11"/>
  <c r="AP110" i="11"/>
  <c r="AQ110" i="11" s="1"/>
  <c r="AT110" i="11"/>
  <c r="B111" i="11"/>
  <c r="K111" i="11"/>
  <c r="T111" i="11"/>
  <c r="X111" i="11" s="1"/>
  <c r="U111" i="11"/>
  <c r="AK111" i="11"/>
  <c r="AT111" i="11"/>
  <c r="B112" i="11"/>
  <c r="K112" i="11"/>
  <c r="T112" i="11"/>
  <c r="AN112" i="11" s="1"/>
  <c r="AP112" i="11" s="1"/>
  <c r="AQ112" i="11" s="1"/>
  <c r="X112" i="11"/>
  <c r="R112" i="11" s="1"/>
  <c r="U112" i="11"/>
  <c r="AK112" i="1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AN119" i="11" s="1"/>
  <c r="AP119" i="11" s="1"/>
  <c r="U119" i="11"/>
  <c r="AK119" i="11"/>
  <c r="AQ119" i="11"/>
  <c r="AT119" i="11"/>
  <c r="B120" i="11"/>
  <c r="K120" i="11"/>
  <c r="T120" i="11"/>
  <c r="AN120" i="11" s="1"/>
  <c r="AP120" i="11" s="1"/>
  <c r="AQ120" i="11" s="1"/>
  <c r="U120" i="11"/>
  <c r="W120" i="11"/>
  <c r="AK120" i="11"/>
  <c r="AT120" i="11"/>
  <c r="B121" i="11"/>
  <c r="K121" i="11"/>
  <c r="T121" i="11"/>
  <c r="AN121" i="11" s="1"/>
  <c r="AP121" i="11" s="1"/>
  <c r="AQ121" i="11" s="1"/>
  <c r="U121" i="11"/>
  <c r="W121" i="1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s="1"/>
  <c r="U124" i="11"/>
  <c r="AK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X128" i="11" s="1"/>
  <c r="Y128" i="11" s="1"/>
  <c r="Z128" i="11" s="1"/>
  <c r="U128" i="11"/>
  <c r="AK128" i="11"/>
  <c r="AT128" i="11"/>
  <c r="B129" i="11"/>
  <c r="K129" i="11"/>
  <c r="T129" i="11"/>
  <c r="X129" i="11" s="1"/>
  <c r="U129" i="11"/>
  <c r="AK129" i="11"/>
  <c r="AN129" i="11"/>
  <c r="AP129" i="11" s="1"/>
  <c r="AQ129" i="11" s="1"/>
  <c r="AT129" i="11"/>
  <c r="B130" i="11"/>
  <c r="K130" i="11"/>
  <c r="T130" i="11"/>
  <c r="U130" i="11"/>
  <c r="AK130" i="11"/>
  <c r="AT130" i="11"/>
  <c r="B131" i="11"/>
  <c r="K131" i="11"/>
  <c r="T131" i="1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X95" i="15" s="1"/>
  <c r="Y95" i="15" s="1"/>
  <c r="AK135" i="11"/>
  <c r="AT135" i="11"/>
  <c r="B136" i="11"/>
  <c r="K136" i="11"/>
  <c r="T136" i="11"/>
  <c r="U136" i="11"/>
  <c r="W136" i="11"/>
  <c r="X98" i="15" s="1"/>
  <c r="Y98" i="15" s="1"/>
  <c r="AK136" i="11"/>
  <c r="AP136" i="11"/>
  <c r="AQ136" i="11" s="1"/>
  <c r="AT136" i="11"/>
  <c r="B137" i="11"/>
  <c r="K137" i="11"/>
  <c r="T137" i="11"/>
  <c r="U137" i="11"/>
  <c r="W137" i="11"/>
  <c r="X119" i="15" s="1"/>
  <c r="Y119" i="15" s="1"/>
  <c r="AK137" i="11"/>
  <c r="AN137" i="11"/>
  <c r="AP137" i="11"/>
  <c r="AQ137" i="11" s="1"/>
  <c r="AT137" i="11"/>
  <c r="B138" i="11"/>
  <c r="K138" i="11"/>
  <c r="T138" i="11"/>
  <c r="U138" i="11"/>
  <c r="W138" i="11"/>
  <c r="X121" i="15" s="1"/>
  <c r="Y121" i="15" s="1"/>
  <c r="AK138" i="11"/>
  <c r="AP138" i="11"/>
  <c r="AQ138" i="11" s="1"/>
  <c r="AT138" i="11"/>
  <c r="B139" i="11"/>
  <c r="K139" i="11"/>
  <c r="T139" i="11"/>
  <c r="U139" i="11"/>
  <c r="W139" i="11"/>
  <c r="X107" i="15" s="1"/>
  <c r="Y107" i="15" s="1"/>
  <c r="AK139" i="11"/>
  <c r="AP139" i="11"/>
  <c r="AQ139" i="11"/>
  <c r="AT139" i="11"/>
  <c r="B140" i="11"/>
  <c r="K140" i="11"/>
  <c r="T140" i="11"/>
  <c r="U140" i="11"/>
  <c r="W140" i="11"/>
  <c r="X133" i="15" s="1"/>
  <c r="Y133" i="15" s="1"/>
  <c r="AK140" i="11"/>
  <c r="AP140" i="11"/>
  <c r="AQ140" i="11" s="1"/>
  <c r="AT140" i="11"/>
  <c r="B141" i="11"/>
  <c r="K141" i="11"/>
  <c r="T141" i="11"/>
  <c r="U141" i="11"/>
  <c r="W141" i="11"/>
  <c r="X94" i="15" s="1"/>
  <c r="Y94" i="15" s="1"/>
  <c r="AK141" i="11"/>
  <c r="AP141" i="11"/>
  <c r="AQ141" i="11" s="1"/>
  <c r="AT141" i="11"/>
  <c r="B142" i="11"/>
  <c r="K142" i="11"/>
  <c r="T142" i="11"/>
  <c r="U142" i="11"/>
  <c r="W142" i="11"/>
  <c r="X124" i="15" s="1"/>
  <c r="Y124" i="15" s="1"/>
  <c r="AK142" i="11"/>
  <c r="AP142" i="11"/>
  <c r="AQ142" i="11"/>
  <c r="AT142" i="11"/>
  <c r="B143" i="11"/>
  <c r="K143" i="11"/>
  <c r="T143" i="11"/>
  <c r="U143" i="11"/>
  <c r="W143" i="11"/>
  <c r="X85" i="15" s="1"/>
  <c r="Y85" i="15" s="1"/>
  <c r="AK143" i="11"/>
  <c r="AP143" i="11"/>
  <c r="AQ143" i="11"/>
  <c r="AT143" i="11"/>
  <c r="B144" i="11"/>
  <c r="K144" i="11"/>
  <c r="T144" i="11"/>
  <c r="AN144" i="11" s="1"/>
  <c r="AP144" i="11" s="1"/>
  <c r="AQ144" i="11" s="1"/>
  <c r="W144" i="11"/>
  <c r="X86" i="15" s="1"/>
  <c r="Y86" i="15" s="1"/>
  <c r="Z86" i="15" s="1"/>
  <c r="AA86" i="15" s="1"/>
  <c r="AT144" i="11"/>
  <c r="B145" i="11"/>
  <c r="K145" i="11"/>
  <c r="T145" i="11"/>
  <c r="U145" i="11"/>
  <c r="W145" i="11"/>
  <c r="X111" i="15" s="1"/>
  <c r="Y111" i="15" s="1"/>
  <c r="AK145" i="11"/>
  <c r="AP145" i="11"/>
  <c r="AQ145" i="11" s="1"/>
  <c r="AT145" i="11"/>
  <c r="B146" i="11"/>
  <c r="K146" i="11"/>
  <c r="T146" i="11"/>
  <c r="U146" i="11"/>
  <c r="W146" i="11"/>
  <c r="X136" i="15" s="1"/>
  <c r="Y136" i="15" s="1"/>
  <c r="AK146" i="11"/>
  <c r="AN146" i="11"/>
  <c r="AP146" i="11" s="1"/>
  <c r="AQ146" i="11" s="1"/>
  <c r="AT146" i="11"/>
  <c r="B147" i="11"/>
  <c r="K147" i="11"/>
  <c r="T147" i="11"/>
  <c r="U147" i="11"/>
  <c r="W147" i="11"/>
  <c r="X112" i="15" s="1"/>
  <c r="Y112" i="15" s="1"/>
  <c r="AK147" i="11"/>
  <c r="AP147" i="11"/>
  <c r="AQ147" i="11" s="1"/>
  <c r="AT147" i="11"/>
  <c r="B148" i="11"/>
  <c r="K148" i="11"/>
  <c r="T148" i="11"/>
  <c r="AN148" i="11" s="1"/>
  <c r="AP148" i="11" s="1"/>
  <c r="AQ148" i="11" s="1"/>
  <c r="W148" i="11"/>
  <c r="X125" i="15" s="1"/>
  <c r="Y125" i="15" s="1"/>
  <c r="AK148" i="11"/>
  <c r="AT148" i="11"/>
  <c r="B149" i="11"/>
  <c r="K149" i="11"/>
  <c r="T149" i="11"/>
  <c r="U149" i="11"/>
  <c r="W149" i="11"/>
  <c r="X96" i="15" s="1"/>
  <c r="Y96" i="15" s="1"/>
  <c r="AK149" i="11"/>
  <c r="AP149" i="11"/>
  <c r="AQ149" i="11"/>
  <c r="AT149" i="11"/>
  <c r="B150" i="11"/>
  <c r="K150" i="11"/>
  <c r="T150" i="11"/>
  <c r="U150" i="11"/>
  <c r="W150" i="11"/>
  <c r="X97" i="15" s="1"/>
  <c r="Y97" i="15" s="1"/>
  <c r="AK150" i="11"/>
  <c r="AP150" i="11"/>
  <c r="AQ150" i="11" s="1"/>
  <c r="AT150" i="11"/>
  <c r="B151" i="11"/>
  <c r="K151" i="11"/>
  <c r="T151" i="11"/>
  <c r="U151" i="11"/>
  <c r="W151" i="11"/>
  <c r="X89" i="15" s="1"/>
  <c r="Y89" i="15" s="1"/>
  <c r="AK151" i="11"/>
  <c r="AT151" i="11"/>
  <c r="B152" i="11"/>
  <c r="K152" i="11"/>
  <c r="T152" i="11"/>
  <c r="U152" i="11"/>
  <c r="W152" i="11"/>
  <c r="X113" i="15" s="1"/>
  <c r="Y113" i="15" s="1"/>
  <c r="AK152" i="11"/>
  <c r="AP152" i="11"/>
  <c r="AQ152" i="11" s="1"/>
  <c r="AT152" i="11"/>
  <c r="B153" i="11"/>
  <c r="K153" i="11"/>
  <c r="T153" i="11"/>
  <c r="U153" i="11"/>
  <c r="W153" i="11"/>
  <c r="X114" i="15" s="1"/>
  <c r="Y114" i="15" s="1"/>
  <c r="AK153" i="11"/>
  <c r="AP153" i="11"/>
  <c r="AQ153" i="11" s="1"/>
  <c r="B154" i="11"/>
  <c r="K154" i="11"/>
  <c r="T154" i="11"/>
  <c r="AN154" i="11" s="1"/>
  <c r="AP154" i="11" s="1"/>
  <c r="AQ154" i="11" s="1"/>
  <c r="W154" i="11"/>
  <c r="X117" i="15" s="1"/>
  <c r="Y117" i="15" s="1"/>
  <c r="AK154" i="11"/>
  <c r="AT154" i="11"/>
  <c r="B155" i="11"/>
  <c r="T155" i="11"/>
  <c r="U155" i="11"/>
  <c r="W155" i="11"/>
  <c r="X103" i="15" s="1"/>
  <c r="Y103" i="15" s="1"/>
  <c r="AK155" i="11"/>
  <c r="AP155" i="11"/>
  <c r="AQ155" i="11"/>
  <c r="AT155" i="11"/>
  <c r="B156" i="11"/>
  <c r="K156" i="11"/>
  <c r="T156" i="11"/>
  <c r="U156" i="11"/>
  <c r="W156" i="11"/>
  <c r="X90" i="15" s="1"/>
  <c r="Y90" i="15" s="1"/>
  <c r="AK156" i="11"/>
  <c r="AP156" i="11"/>
  <c r="AQ156" i="11" s="1"/>
  <c r="AT156" i="11"/>
  <c r="B157" i="11"/>
  <c r="K157" i="11"/>
  <c r="T157" i="11"/>
  <c r="U157" i="11"/>
  <c r="W157" i="11"/>
  <c r="X87" i="15" s="1"/>
  <c r="Y87" i="15" s="1"/>
  <c r="AK157" i="11"/>
  <c r="AN157" i="11"/>
  <c r="AP157" i="11"/>
  <c r="AQ157" i="11" s="1"/>
  <c r="AT157" i="11"/>
  <c r="B158" i="11"/>
  <c r="K158" i="11"/>
  <c r="T158" i="11"/>
  <c r="U158" i="11"/>
  <c r="W158" i="11"/>
  <c r="X126" i="15" s="1"/>
  <c r="Y126" i="15" s="1"/>
  <c r="AK158" i="11"/>
  <c r="AP158" i="11"/>
  <c r="AQ158" i="11" s="1"/>
  <c r="AT158" i="11"/>
  <c r="B159" i="11"/>
  <c r="K159" i="11"/>
  <c r="T159" i="11"/>
  <c r="AN159" i="11" s="1"/>
  <c r="AP159" i="11" s="1"/>
  <c r="AQ159" i="11" s="1"/>
  <c r="U159" i="11"/>
  <c r="W159" i="11"/>
  <c r="X137" i="15" s="1"/>
  <c r="Y137" i="15" s="1"/>
  <c r="AK159" i="11"/>
  <c r="AT159" i="11"/>
  <c r="B160" i="11"/>
  <c r="K160" i="11"/>
  <c r="T160" i="11"/>
  <c r="U160" i="11"/>
  <c r="W160" i="11"/>
  <c r="X115" i="15" s="1"/>
  <c r="Y115" i="15" s="1"/>
  <c r="AK160" i="11"/>
  <c r="AP160" i="11"/>
  <c r="AQ160" i="11" s="1"/>
  <c r="AT160" i="11"/>
  <c r="B161" i="11"/>
  <c r="K161" i="11"/>
  <c r="T161" i="11"/>
  <c r="U161" i="11"/>
  <c r="W161" i="11"/>
  <c r="X88" i="15" s="1"/>
  <c r="Y88" i="15" s="1"/>
  <c r="AK161" i="11"/>
  <c r="AP161" i="11"/>
  <c r="AQ161" i="11"/>
  <c r="AT161" i="11"/>
  <c r="B162" i="11"/>
  <c r="K162" i="11"/>
  <c r="T162" i="11"/>
  <c r="W162" i="11"/>
  <c r="X108" i="15" s="1"/>
  <c r="Y108" i="15" s="1"/>
  <c r="AI162" i="11"/>
  <c r="AK162" i="11"/>
  <c r="AN162" i="11"/>
  <c r="AP162" i="11" s="1"/>
  <c r="AQ162" i="11" s="1"/>
  <c r="AT162" i="11"/>
  <c r="B163" i="11"/>
  <c r="K163" i="11"/>
  <c r="T163" i="11"/>
  <c r="U163" i="11"/>
  <c r="W163" i="11"/>
  <c r="X92" i="15" s="1"/>
  <c r="Y92" i="15" s="1"/>
  <c r="AK163" i="11"/>
  <c r="AN163" i="11"/>
  <c r="AP163" i="11"/>
  <c r="AQ163" i="11" s="1"/>
  <c r="AT163" i="11"/>
  <c r="B164" i="11"/>
  <c r="K164" i="11"/>
  <c r="T164" i="11"/>
  <c r="U164" i="11"/>
  <c r="W164" i="11"/>
  <c r="X122" i="15" s="1"/>
  <c r="Y122" i="15" s="1"/>
  <c r="AK164" i="11"/>
  <c r="AP164" i="11"/>
  <c r="AQ164" i="11" s="1"/>
  <c r="AT164" i="11"/>
  <c r="AV164" i="11"/>
  <c r="B165" i="11"/>
  <c r="K165" i="11"/>
  <c r="T165" i="11"/>
  <c r="U165" i="11"/>
  <c r="W165" i="11"/>
  <c r="X105" i="15" s="1"/>
  <c r="Y105" i="15" s="1"/>
  <c r="AK165" i="11"/>
  <c r="AP165" i="11"/>
  <c r="AQ165" i="11" s="1"/>
  <c r="AT165" i="11"/>
  <c r="B166" i="11"/>
  <c r="K166" i="11"/>
  <c r="T166" i="11"/>
  <c r="U166" i="11"/>
  <c r="W166" i="11"/>
  <c r="X106" i="15" s="1"/>
  <c r="Y106" i="15" s="1"/>
  <c r="AK166" i="11"/>
  <c r="AN166" i="11"/>
  <c r="AP166" i="11" s="1"/>
  <c r="AQ166" i="11" s="1"/>
  <c r="AT166" i="11"/>
  <c r="B167" i="11"/>
  <c r="K167" i="11"/>
  <c r="T167" i="11"/>
  <c r="AN167" i="11" s="1"/>
  <c r="AP167" i="11" s="1"/>
  <c r="AQ167" i="11" s="1"/>
  <c r="U167" i="11"/>
  <c r="W167" i="11"/>
  <c r="X101" i="15" s="1"/>
  <c r="Y101" i="15" s="1"/>
  <c r="AK167" i="11"/>
  <c r="AT167" i="11"/>
  <c r="B168" i="11"/>
  <c r="K168" i="11"/>
  <c r="T168" i="11"/>
  <c r="AN168" i="11" s="1"/>
  <c r="AP168" i="11" s="1"/>
  <c r="AQ168" i="11" s="1"/>
  <c r="U168" i="11"/>
  <c r="W168" i="11"/>
  <c r="X102" i="15" s="1"/>
  <c r="Y102" i="15" s="1"/>
  <c r="AK168" i="11"/>
  <c r="AT168" i="11"/>
  <c r="B169" i="11"/>
  <c r="T169" i="11"/>
  <c r="U169" i="11"/>
  <c r="W169" i="11"/>
  <c r="AK169" i="11"/>
  <c r="AT169" i="11"/>
  <c r="B170" i="11"/>
  <c r="K170" i="11"/>
  <c r="T170" i="11"/>
  <c r="U170" i="11"/>
  <c r="W170" i="11"/>
  <c r="X93" i="15" s="1"/>
  <c r="Y93" i="15" s="1"/>
  <c r="AK170" i="11"/>
  <c r="AP170" i="11"/>
  <c r="AQ170" i="11"/>
  <c r="AT170" i="11"/>
  <c r="AV170" i="11"/>
  <c r="B171" i="11"/>
  <c r="K171" i="11"/>
  <c r="T171" i="11"/>
  <c r="U171" i="11"/>
  <c r="W171" i="11"/>
  <c r="X132" i="15" s="1"/>
  <c r="Y132" i="15" s="1"/>
  <c r="AK171" i="11"/>
  <c r="AP171" i="11"/>
  <c r="AQ171" i="11" s="1"/>
  <c r="AT171" i="11"/>
  <c r="B172" i="11"/>
  <c r="T172" i="11"/>
  <c r="U172" i="11"/>
  <c r="W172" i="11"/>
  <c r="X99" i="15" s="1"/>
  <c r="Y99" i="15" s="1"/>
  <c r="AK172" i="11"/>
  <c r="AP172" i="11"/>
  <c r="AQ172" i="11" s="1"/>
  <c r="AT172" i="11"/>
  <c r="B173" i="11"/>
  <c r="K173" i="11"/>
  <c r="T173" i="11"/>
  <c r="X173" i="11" s="1"/>
  <c r="U173" i="11"/>
  <c r="AK173" i="11"/>
  <c r="AN173" i="11"/>
  <c r="AP173" i="11" s="1"/>
  <c r="AQ173" i="11" s="1"/>
  <c r="AT173" i="11"/>
  <c r="B174" i="11"/>
  <c r="K174" i="11"/>
  <c r="T174" i="11"/>
  <c r="U174" i="11"/>
  <c r="AK174" i="11"/>
  <c r="AT174" i="11"/>
  <c r="B175" i="11"/>
  <c r="K175" i="11"/>
  <c r="T175" i="11"/>
  <c r="U175" i="11"/>
  <c r="AK175" i="11"/>
  <c r="AT175" i="11"/>
  <c r="B176" i="11"/>
  <c r="K176" i="11"/>
  <c r="R176" i="11"/>
  <c r="T176" i="11"/>
  <c r="Y176" i="11" s="1"/>
  <c r="Z176" i="11" s="1"/>
  <c r="AB176" i="11" s="1"/>
  <c r="X176" i="11"/>
  <c r="U176" i="11"/>
  <c r="AK176" i="11"/>
  <c r="AN176" i="11"/>
  <c r="AP176" i="11" s="1"/>
  <c r="AQ176" i="11" s="1"/>
  <c r="AT176" i="11"/>
  <c r="B177" i="11"/>
  <c r="K177" i="11"/>
  <c r="T177" i="11"/>
  <c r="U177" i="11"/>
  <c r="AK177" i="11"/>
  <c r="AT177" i="11"/>
  <c r="B178" i="11"/>
  <c r="K178" i="11"/>
  <c r="T178" i="11"/>
  <c r="AN178" i="11" s="1"/>
  <c r="AP178" i="11" s="1"/>
  <c r="AQ178" i="11" s="1"/>
  <c r="U178" i="11"/>
  <c r="AK178" i="11"/>
  <c r="AT178" i="11"/>
  <c r="B179" i="11"/>
  <c r="K179" i="11"/>
  <c r="T179" i="11"/>
  <c r="X179" i="11" s="1"/>
  <c r="U179" i="11"/>
  <c r="AK179" i="11"/>
  <c r="AT179" i="11"/>
  <c r="B180" i="11"/>
  <c r="K180" i="11"/>
  <c r="T180" i="11"/>
  <c r="X180" i="11" s="1"/>
  <c r="R180" i="11" s="1"/>
  <c r="U180" i="11"/>
  <c r="AK180" i="11"/>
  <c r="AN180" i="11"/>
  <c r="AP180" i="11" s="1"/>
  <c r="AQ180" i="11" s="1"/>
  <c r="AT180" i="11"/>
  <c r="B181" i="11"/>
  <c r="K181" i="11"/>
  <c r="T181" i="11"/>
  <c r="U181" i="11"/>
  <c r="AK181" i="11"/>
  <c r="AT181" i="11"/>
  <c r="B182" i="11"/>
  <c r="K182" i="11"/>
  <c r="T182" i="11"/>
  <c r="X182" i="11" s="1"/>
  <c r="R182" i="11" s="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s="1"/>
  <c r="AQ186" i="11" s="1"/>
  <c r="AT186" i="11"/>
  <c r="B187" i="11"/>
  <c r="K187" i="11"/>
  <c r="T187" i="11"/>
  <c r="U187" i="11"/>
  <c r="W187" i="11"/>
  <c r="X118" i="15" s="1"/>
  <c r="Y118" i="15" s="1"/>
  <c r="AK187" i="11"/>
  <c r="AN187" i="11"/>
  <c r="AP187" i="11" s="1"/>
  <c r="AQ187" i="11" s="1"/>
  <c r="AT187" i="11"/>
  <c r="B188" i="11"/>
  <c r="T188" i="11"/>
  <c r="U188" i="11"/>
  <c r="W188" i="11"/>
  <c r="AK188" i="11"/>
  <c r="AT188" i="11"/>
  <c r="B189" i="11"/>
  <c r="K189" i="11"/>
  <c r="T189" i="11"/>
  <c r="U189" i="11"/>
  <c r="AK189" i="11"/>
  <c r="AT189" i="11"/>
  <c r="B190" i="11"/>
  <c r="K190" i="11"/>
  <c r="R190" i="11"/>
  <c r="T190" i="11"/>
  <c r="U190" i="11"/>
  <c r="X190" i="11"/>
  <c r="Y190" i="11" s="1"/>
  <c r="Z190" i="11" s="1"/>
  <c r="AE190" i="11" s="1"/>
  <c r="AK190" i="11"/>
  <c r="AN190" i="11"/>
  <c r="AP190" i="11" s="1"/>
  <c r="AQ190" i="11" s="1"/>
  <c r="AT190" i="11"/>
  <c r="B191" i="11"/>
  <c r="K191" i="11"/>
  <c r="T191" i="11"/>
  <c r="X191" i="11" s="1"/>
  <c r="R191" i="11" s="1"/>
  <c r="U191" i="11"/>
  <c r="AK191" i="11"/>
  <c r="AT191" i="11"/>
  <c r="B192" i="11"/>
  <c r="K192" i="11"/>
  <c r="T192" i="11"/>
  <c r="AN192" i="11" s="1"/>
  <c r="AP192" i="11" s="1"/>
  <c r="AQ192" i="11" s="1"/>
  <c r="U192" i="11"/>
  <c r="W192" i="11"/>
  <c r="AK192" i="1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AN197" i="11" s="1"/>
  <c r="AP197" i="11" s="1"/>
  <c r="AQ197" i="11" s="1"/>
  <c r="U197" i="11"/>
  <c r="AK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s="1"/>
  <c r="U201" i="11"/>
  <c r="AK201" i="11"/>
  <c r="AN201" i="11"/>
  <c r="AP201" i="11" s="1"/>
  <c r="AQ201" i="11" s="1"/>
  <c r="AT201" i="11"/>
  <c r="B202" i="11"/>
  <c r="K202" i="11"/>
  <c r="T202" i="11"/>
  <c r="U202" i="11"/>
  <c r="AK202" i="11"/>
  <c r="AT202" i="11"/>
  <c r="B203" i="11"/>
  <c r="K203" i="11"/>
  <c r="T203" i="11"/>
  <c r="U203" i="11"/>
  <c r="AK203" i="11"/>
  <c r="AT203" i="11"/>
  <c r="B204" i="11"/>
  <c r="T204" i="11"/>
  <c r="U204" i="11"/>
  <c r="AK204" i="11"/>
  <c r="AT204" i="11"/>
  <c r="B205" i="11"/>
  <c r="K205" i="11"/>
  <c r="T205" i="11"/>
  <c r="AN205" i="11" s="1"/>
  <c r="AP205" i="11" s="1"/>
  <c r="AQ205" i="11" s="1"/>
  <c r="U205" i="11"/>
  <c r="W205" i="11"/>
  <c r="AK205" i="11"/>
  <c r="AT205" i="11"/>
  <c r="B206" i="11"/>
  <c r="K206" i="11"/>
  <c r="T206" i="11"/>
  <c r="U206" i="11"/>
  <c r="AK206" i="11"/>
  <c r="AT206" i="11"/>
  <c r="B207" i="11"/>
  <c r="K207" i="11"/>
  <c r="T207" i="11"/>
  <c r="X207" i="11" s="1"/>
  <c r="U207" i="11"/>
  <c r="AK207" i="11"/>
  <c r="AT207" i="11"/>
  <c r="B208" i="11"/>
  <c r="K208" i="11"/>
  <c r="T208" i="11"/>
  <c r="X208" i="11"/>
  <c r="U208" i="11"/>
  <c r="AK208" i="11"/>
  <c r="AN208" i="11"/>
  <c r="AP208" i="11" s="1"/>
  <c r="AQ208" i="11" s="1"/>
  <c r="AT208" i="11"/>
  <c r="B209" i="11"/>
  <c r="K209" i="11"/>
  <c r="T209" i="11"/>
  <c r="U209" i="11"/>
  <c r="AK209" i="11"/>
  <c r="AT209" i="11"/>
  <c r="B210" i="11"/>
  <c r="K210" i="11"/>
  <c r="T210" i="11"/>
  <c r="U210" i="11"/>
  <c r="AK210" i="11"/>
  <c r="AT210" i="11"/>
  <c r="B211" i="11"/>
  <c r="K211" i="11"/>
  <c r="T211" i="11"/>
  <c r="X211" i="11" s="1"/>
  <c r="R211" i="11" s="1"/>
  <c r="U211" i="1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X214" i="11" s="1"/>
  <c r="U214" i="11"/>
  <c r="AK214" i="11"/>
  <c r="AN214" i="11"/>
  <c r="AP214" i="11" s="1"/>
  <c r="AQ214" i="11" s="1"/>
  <c r="AT214" i="11"/>
  <c r="B215" i="11"/>
  <c r="K215" i="11"/>
  <c r="T215" i="11"/>
  <c r="AN215" i="11" s="1"/>
  <c r="AP215" i="11" s="1"/>
  <c r="AQ215" i="11" s="1"/>
  <c r="U215" i="11"/>
  <c r="AK215" i="11"/>
  <c r="AT215" i="11"/>
  <c r="B216" i="11"/>
  <c r="T216" i="11"/>
  <c r="U216" i="11"/>
  <c r="AK216" i="11"/>
  <c r="AT216" i="11"/>
  <c r="B217" i="11"/>
  <c r="K217" i="11"/>
  <c r="T217" i="11"/>
  <c r="U217" i="11"/>
  <c r="AK217" i="11"/>
  <c r="AT217" i="11"/>
  <c r="B218" i="11"/>
  <c r="K218" i="11"/>
  <c r="T218" i="11"/>
  <c r="U218" i="11"/>
  <c r="AK218" i="11"/>
  <c r="AT218" i="11"/>
  <c r="B219" i="11"/>
  <c r="K219" i="11"/>
  <c r="T219" i="11"/>
  <c r="X219" i="11" s="1"/>
  <c r="U219" i="11"/>
  <c r="AK219" i="11"/>
  <c r="AN219" i="11"/>
  <c r="AP219" i="11" s="1"/>
  <c r="AQ219" i="11" s="1"/>
  <c r="AT219" i="11"/>
  <c r="T220" i="11"/>
  <c r="U220" i="11"/>
  <c r="AK220" i="11"/>
  <c r="AT220" i="11"/>
  <c r="B221" i="11"/>
  <c r="K221" i="11"/>
  <c r="T221" i="11"/>
  <c r="AN221" i="11" s="1"/>
  <c r="AP221" i="11" s="1"/>
  <c r="AQ221" i="11" s="1"/>
  <c r="U221" i="11"/>
  <c r="X221" i="11"/>
  <c r="AK221" i="11"/>
  <c r="AT221" i="11"/>
  <c r="B222" i="11"/>
  <c r="K222" i="11"/>
  <c r="T222" i="11"/>
  <c r="U222" i="11"/>
  <c r="AK222" i="11"/>
  <c r="AT222" i="11"/>
  <c r="B223" i="11"/>
  <c r="K223" i="11"/>
  <c r="T223" i="11"/>
  <c r="U223" i="11"/>
  <c r="AK223" i="11"/>
  <c r="AT223" i="11"/>
  <c r="B224" i="11"/>
  <c r="T224" i="11"/>
  <c r="X224" i="11" s="1"/>
  <c r="U224" i="11"/>
  <c r="AK224" i="11"/>
  <c r="AT224" i="11"/>
  <c r="B225" i="11"/>
  <c r="K225" i="11"/>
  <c r="T225" i="1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s="1"/>
  <c r="AP228" i="11" s="1"/>
  <c r="AQ228" i="11" s="1"/>
  <c r="U228" i="11"/>
  <c r="AK228" i="11"/>
  <c r="AT228" i="11"/>
  <c r="B229" i="11"/>
  <c r="K229" i="11"/>
  <c r="T229" i="11"/>
  <c r="AN229" i="11" s="1"/>
  <c r="AP229" i="11" s="1"/>
  <c r="AQ229" i="11" s="1"/>
  <c r="U229" i="11"/>
  <c r="W229" i="11"/>
  <c r="X120" i="15" s="1"/>
  <c r="Y120" i="15" s="1"/>
  <c r="AK229" i="11"/>
  <c r="AT229" i="11"/>
  <c r="B230" i="11"/>
  <c r="K230" i="11"/>
  <c r="T230" i="11"/>
  <c r="U230" i="11"/>
  <c r="W230" i="11"/>
  <c r="X116" i="15" s="1"/>
  <c r="Y116" i="15" s="1"/>
  <c r="Z116" i="15" s="1"/>
  <c r="AA116" i="15" s="1"/>
  <c r="AK230" i="11"/>
  <c r="AN230" i="11"/>
  <c r="AP230" i="11"/>
  <c r="AQ230" i="11" s="1"/>
  <c r="AT230" i="11"/>
  <c r="B231" i="11"/>
  <c r="K231" i="11"/>
  <c r="T231" i="11"/>
  <c r="X231" i="11" s="1"/>
  <c r="U231" i="11"/>
  <c r="AK231" i="11"/>
  <c r="AN231" i="11"/>
  <c r="AP231" i="11" s="1"/>
  <c r="AQ231" i="11" s="1"/>
  <c r="AT231" i="11"/>
  <c r="B232" i="11"/>
  <c r="T232" i="11"/>
  <c r="W232" i="11"/>
  <c r="X232" i="11" s="1"/>
  <c r="Y232" i="11" s="1"/>
  <c r="Z232" i="11" s="1"/>
  <c r="AG232" i="11" s="1"/>
  <c r="B233" i="11"/>
  <c r="K233" i="11"/>
  <c r="T233" i="11"/>
  <c r="U233" i="11"/>
  <c r="AK233" i="11"/>
  <c r="AT233" i="11"/>
  <c r="B234" i="11"/>
  <c r="K234" i="11"/>
  <c r="T234" i="11"/>
  <c r="U234" i="11"/>
  <c r="AK234" i="11"/>
  <c r="AT234" i="11"/>
  <c r="B235" i="11"/>
  <c r="K235" i="11"/>
  <c r="T235" i="11"/>
  <c r="AN235" i="11" s="1"/>
  <c r="AP235" i="11" s="1"/>
  <c r="AQ235" i="11" s="1"/>
  <c r="U235" i="11"/>
  <c r="W235" i="11"/>
  <c r="AK235" i="11"/>
  <c r="AT235" i="11"/>
  <c r="B236" i="11"/>
  <c r="T236" i="11"/>
  <c r="X236" i="11"/>
  <c r="U236" i="11"/>
  <c r="AK236" i="11"/>
  <c r="AN236" i="11"/>
  <c r="AP236" i="11" s="1"/>
  <c r="AQ236" i="11" s="1"/>
  <c r="AT236" i="11"/>
  <c r="B237" i="11"/>
  <c r="K237" i="11"/>
  <c r="T237" i="11"/>
  <c r="U237" i="11"/>
  <c r="W237" i="11"/>
  <c r="AK237" i="11"/>
  <c r="AT237" i="11"/>
  <c r="B238" i="11"/>
  <c r="K238" i="11"/>
  <c r="T238" i="11"/>
  <c r="AN238" i="11" s="1"/>
  <c r="AP238" i="11" s="1"/>
  <c r="AQ238" i="11" s="1"/>
  <c r="U238" i="11"/>
  <c r="W238" i="11"/>
  <c r="AK238" i="11"/>
  <c r="AT238" i="11"/>
  <c r="B239" i="11"/>
  <c r="T239" i="11"/>
  <c r="AN239" i="11" s="1"/>
  <c r="AP239" i="11" s="1"/>
  <c r="AQ239" i="11" s="1"/>
  <c r="W239" i="11"/>
  <c r="AT239" i="11"/>
  <c r="K240" i="11"/>
  <c r="T240" i="11"/>
  <c r="U240" i="11"/>
  <c r="AK240" i="11"/>
  <c r="AT240" i="11"/>
  <c r="B241" i="11"/>
  <c r="K241" i="11"/>
  <c r="T241" i="11"/>
  <c r="U241" i="11"/>
  <c r="AK241" i="11"/>
  <c r="AT241" i="11"/>
  <c r="B242" i="11"/>
  <c r="K242" i="11"/>
  <c r="T242" i="11"/>
  <c r="X242" i="11" s="1"/>
  <c r="R242" i="11" s="1"/>
  <c r="U242" i="11"/>
  <c r="AK242" i="11"/>
  <c r="AT242" i="11"/>
  <c r="B243" i="11"/>
  <c r="K243" i="11"/>
  <c r="T243" i="11"/>
  <c r="U243" i="11"/>
  <c r="AK243" i="11"/>
  <c r="AT243" i="11"/>
  <c r="B244" i="11"/>
  <c r="K244" i="11"/>
  <c r="T244" i="11"/>
  <c r="AN244" i="11" s="1"/>
  <c r="AP244" i="11" s="1"/>
  <c r="AQ244" i="11" s="1"/>
  <c r="U244" i="11"/>
  <c r="AK244" i="11"/>
  <c r="AT244" i="11"/>
  <c r="B245" i="11"/>
  <c r="K245" i="11"/>
  <c r="T245" i="11"/>
  <c r="AN245" i="11" s="1"/>
  <c r="AP245" i="11" s="1"/>
  <c r="AQ245" i="11" s="1"/>
  <c r="U245" i="11"/>
  <c r="AK245" i="11"/>
  <c r="AT245" i="11"/>
  <c r="B246" i="11"/>
  <c r="K246" i="11"/>
  <c r="T246" i="11"/>
  <c r="X246" i="11" s="1"/>
  <c r="R246" i="11" s="1"/>
  <c r="U246" i="11"/>
  <c r="AK246" i="11"/>
  <c r="AN246" i="11"/>
  <c r="AP246" i="11" s="1"/>
  <c r="AQ246" i="11" s="1"/>
  <c r="AT246" i="11"/>
  <c r="B247" i="11"/>
  <c r="K247" i="11"/>
  <c r="T247" i="11"/>
  <c r="U247" i="11"/>
  <c r="W247" i="11"/>
  <c r="AK247" i="11"/>
  <c r="AN247" i="11"/>
  <c r="AP247" i="11" s="1"/>
  <c r="AQ247" i="11" s="1"/>
  <c r="AT247" i="11"/>
  <c r="B248" i="11"/>
  <c r="T248" i="11"/>
  <c r="X248" i="11" s="1"/>
  <c r="U248" i="11"/>
  <c r="AK248" i="11"/>
  <c r="AK282" i="11" s="1"/>
  <c r="AT248" i="11"/>
  <c r="AV248" i="11"/>
  <c r="B249" i="11"/>
  <c r="T249" i="11"/>
  <c r="AN249" i="11"/>
  <c r="AP249" i="11" s="1"/>
  <c r="AQ249" i="11" s="1"/>
  <c r="U249" i="11"/>
  <c r="W249" i="11"/>
  <c r="X249" i="11" s="1"/>
  <c r="R249" i="11" s="1"/>
  <c r="AK249" i="11"/>
  <c r="AT249" i="11"/>
  <c r="AV249" i="11"/>
  <c r="B250" i="11"/>
  <c r="T250" i="11"/>
  <c r="AN250" i="11" s="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T252" i="11"/>
  <c r="AV252" i="11"/>
  <c r="B253" i="11"/>
  <c r="T253" i="11"/>
  <c r="U253" i="11"/>
  <c r="W253" i="11"/>
  <c r="AK253" i="11"/>
  <c r="AT253" i="11"/>
  <c r="B254" i="11"/>
  <c r="K254" i="11"/>
  <c r="T254" i="11"/>
  <c r="AN254" i="11" s="1"/>
  <c r="AP254" i="11" s="1"/>
  <c r="AQ254" i="11" s="1"/>
  <c r="U254" i="11"/>
  <c r="W254" i="11"/>
  <c r="AK254" i="11"/>
  <c r="AT254" i="11"/>
  <c r="B255" i="11"/>
  <c r="K255" i="11"/>
  <c r="T255" i="11"/>
  <c r="AN255" i="11" s="1"/>
  <c r="AP255" i="11" s="1"/>
  <c r="AQ255" i="11" s="1"/>
  <c r="W255" i="11"/>
  <c r="AK255" i="11"/>
  <c r="AT255" i="11"/>
  <c r="B256" i="11"/>
  <c r="K256" i="11"/>
  <c r="T256" i="11"/>
  <c r="AN256" i="11" s="1"/>
  <c r="AP256" i="11" s="1"/>
  <c r="AQ256" i="11" s="1"/>
  <c r="AK256" i="11"/>
  <c r="AT256" i="11"/>
  <c r="B257" i="11"/>
  <c r="K257" i="11"/>
  <c r="T257" i="11"/>
  <c r="W257" i="11"/>
  <c r="AK257" i="11"/>
  <c r="AN257" i="11"/>
  <c r="AP257" i="11" s="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AN260" i="11" s="1"/>
  <c r="AP260" i="11" s="1"/>
  <c r="AQ260" i="11" s="1"/>
  <c r="W260" i="11"/>
  <c r="X260" i="11" s="1"/>
  <c r="Y260" i="11" s="1"/>
  <c r="Z260" i="11" s="1"/>
  <c r="AC260" i="11" s="1"/>
  <c r="AK260" i="11"/>
  <c r="AT260" i="11"/>
  <c r="B261" i="11"/>
  <c r="K261" i="11"/>
  <c r="T261" i="11"/>
  <c r="AN261" i="11" s="1"/>
  <c r="AP261" i="11" s="1"/>
  <c r="AQ261" i="11" s="1"/>
  <c r="W261" i="11"/>
  <c r="AK261" i="11"/>
  <c r="AT261" i="11"/>
  <c r="B262" i="11"/>
  <c r="K262" i="11"/>
  <c r="T262" i="11"/>
  <c r="W262" i="11"/>
  <c r="AK262" i="11"/>
  <c r="AN262" i="11"/>
  <c r="AP262" i="11" s="1"/>
  <c r="AQ262" i="11" s="1"/>
  <c r="AT262" i="11"/>
  <c r="B263" i="11"/>
  <c r="K263" i="11"/>
  <c r="T263" i="11"/>
  <c r="AK263" i="11"/>
  <c r="AT263" i="11"/>
  <c r="B264" i="11"/>
  <c r="T264" i="11"/>
  <c r="AN264" i="11" s="1"/>
  <c r="AP264" i="11" s="1"/>
  <c r="AQ264" i="11" s="1"/>
  <c r="U264" i="11"/>
  <c r="W264" i="11"/>
  <c r="AK264" i="1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AN267" i="11" s="1"/>
  <c r="AP267" i="11" s="1"/>
  <c r="AQ267" i="11" s="1"/>
  <c r="U267" i="11"/>
  <c r="W267" i="11"/>
  <c r="AK267" i="11"/>
  <c r="AT267" i="11"/>
  <c r="B268" i="11"/>
  <c r="K268" i="11"/>
  <c r="T268" i="11"/>
  <c r="AN268" i="11" s="1"/>
  <c r="AP268" i="11" s="1"/>
  <c r="AQ268" i="11" s="1"/>
  <c r="W268" i="11"/>
  <c r="AT268" i="11"/>
  <c r="B269" i="11"/>
  <c r="K269" i="11"/>
  <c r="T269" i="11"/>
  <c r="AN269" i="11"/>
  <c r="AP269" i="11" s="1"/>
  <c r="AQ269" i="11" s="1"/>
  <c r="W269" i="11"/>
  <c r="Y149" i="15" s="1"/>
  <c r="Z149" i="15" s="1"/>
  <c r="AA149" i="15" s="1"/>
  <c r="AT269" i="11"/>
  <c r="B270" i="11"/>
  <c r="K270" i="11"/>
  <c r="T270" i="11"/>
  <c r="AN270" i="11"/>
  <c r="AP270" i="11" s="1"/>
  <c r="AQ270" i="11" s="1"/>
  <c r="W270" i="11"/>
  <c r="Y164" i="15" s="1"/>
  <c r="Z164" i="15" s="1"/>
  <c r="AA164" i="15" s="1"/>
  <c r="AT270" i="11"/>
  <c r="B271" i="11"/>
  <c r="K271" i="11"/>
  <c r="T271" i="11"/>
  <c r="AN271" i="11" s="1"/>
  <c r="AP271" i="11" s="1"/>
  <c r="AQ271" i="11" s="1"/>
  <c r="W271" i="11"/>
  <c r="X272" i="15" s="1"/>
  <c r="Y272" i="15" s="1"/>
  <c r="Z272" i="15" s="1"/>
  <c r="AA272" i="15" s="1"/>
  <c r="B272" i="11"/>
  <c r="T272" i="11"/>
  <c r="W272" i="11"/>
  <c r="X272" i="11" s="1"/>
  <c r="Y272" i="11" s="1"/>
  <c r="Z272" i="11" s="1"/>
  <c r="AC272" i="11" s="1"/>
  <c r="AN272" i="11"/>
  <c r="AP272" i="11" s="1"/>
  <c r="AQ272" i="11" s="1"/>
  <c r="T273" i="11"/>
  <c r="AN273" i="11" s="1"/>
  <c r="AP273" i="11" s="1"/>
  <c r="AQ273" i="11" s="1"/>
  <c r="W273" i="11"/>
  <c r="X273" i="11" s="1"/>
  <c r="Y273" i="11" s="1"/>
  <c r="Z273" i="11" s="1"/>
  <c r="AE273" i="11" s="1"/>
  <c r="B274" i="11"/>
  <c r="K274" i="11"/>
  <c r="T274" i="11"/>
  <c r="AN274" i="11" s="1"/>
  <c r="AP274" i="11" s="1"/>
  <c r="AQ274" i="11" s="1"/>
  <c r="W274" i="11"/>
  <c r="X274" i="11" s="1"/>
  <c r="Y274" i="11" s="1"/>
  <c r="Z274" i="11" s="1"/>
  <c r="AB274" i="11" s="1"/>
  <c r="AT274" i="11"/>
  <c r="B275" i="11"/>
  <c r="K275" i="11"/>
  <c r="T275" i="11"/>
  <c r="W275" i="11"/>
  <c r="Y271" i="15" s="1"/>
  <c r="Z271" i="15" s="1"/>
  <c r="AA271" i="15" s="1"/>
  <c r="AN275" i="11"/>
  <c r="AP275" i="11" s="1"/>
  <c r="AQ275" i="11" s="1"/>
  <c r="AT275" i="11"/>
  <c r="B276" i="11"/>
  <c r="K276" i="11"/>
  <c r="T276" i="11"/>
  <c r="AN276" i="11" s="1"/>
  <c r="AP276" i="11" s="1"/>
  <c r="AQ276" i="11" s="1"/>
  <c r="W276" i="11"/>
  <c r="Y263" i="15" s="1"/>
  <c r="Z263" i="15" s="1"/>
  <c r="AA263" i="15" s="1"/>
  <c r="AT276" i="11"/>
  <c r="B277" i="11"/>
  <c r="T277" i="11"/>
  <c r="AN277" i="11" s="1"/>
  <c r="AP277" i="11" s="1"/>
  <c r="AQ277" i="11" s="1"/>
  <c r="W277" i="11"/>
  <c r="X250" i="15" s="1"/>
  <c r="Y250" i="15" s="1"/>
  <c r="Z250" i="15" s="1"/>
  <c r="AA250" i="15" s="1"/>
  <c r="AT277" i="11"/>
  <c r="B278" i="11"/>
  <c r="T278" i="11"/>
  <c r="AN278" i="11" s="1"/>
  <c r="AP278" i="11" s="1"/>
  <c r="AQ278" i="11" s="1"/>
  <c r="W278" i="11"/>
  <c r="X238" i="15" s="1"/>
  <c r="Y238" i="15" s="1"/>
  <c r="Z238" i="15" s="1"/>
  <c r="AA238" i="15" s="1"/>
  <c r="AT278" i="11"/>
  <c r="B279" i="11"/>
  <c r="K279" i="11"/>
  <c r="T279" i="11"/>
  <c r="AN279" i="11" s="1"/>
  <c r="AP279" i="11" s="1"/>
  <c r="AQ279" i="11" s="1"/>
  <c r="U279" i="11"/>
  <c r="W279" i="11"/>
  <c r="X129" i="15" s="1"/>
  <c r="Y129" i="15" s="1"/>
  <c r="AK279" i="11"/>
  <c r="AT279" i="11"/>
  <c r="B280" i="11"/>
  <c r="K280" i="11"/>
  <c r="T280" i="11"/>
  <c r="U280" i="11"/>
  <c r="W280" i="11"/>
  <c r="X104" i="15" s="1"/>
  <c r="Y104" i="15" s="1"/>
  <c r="AK280" i="11"/>
  <c r="AN280" i="11"/>
  <c r="AP280" i="11" s="1"/>
  <c r="AQ280" i="11" s="1"/>
  <c r="AT280" i="11"/>
  <c r="B281" i="11"/>
  <c r="K281" i="11"/>
  <c r="T281" i="11"/>
  <c r="AN281" i="11" s="1"/>
  <c r="AP281" i="11" s="1"/>
  <c r="AQ281" i="11" s="1"/>
  <c r="W281" i="11"/>
  <c r="X135" i="15" s="1"/>
  <c r="Y135" i="15" s="1"/>
  <c r="AK281" i="11"/>
  <c r="AT281" i="11"/>
  <c r="Q282" i="11"/>
  <c r="Q283" i="11" s="1"/>
  <c r="Q289" i="11" s="1"/>
  <c r="S282" i="11"/>
  <c r="V282" i="11"/>
  <c r="AA282" i="11"/>
  <c r="AH282" i="11"/>
  <c r="AH283" i="11" s="1"/>
  <c r="AH289" i="11" s="1"/>
  <c r="AJ282" i="11"/>
  <c r="AJ288" i="11" s="1"/>
  <c r="AL282" i="11"/>
  <c r="AL288" i="11" s="1"/>
  <c r="AM282" i="11"/>
  <c r="AM283" i="11" s="1"/>
  <c r="AM289" i="11" s="1"/>
  <c r="AO282" i="11"/>
  <c r="AR282" i="11"/>
  <c r="G283" i="11"/>
  <c r="V283" i="11"/>
  <c r="V289" i="11" s="1"/>
  <c r="AJ283" i="11"/>
  <c r="AJ289" i="11" s="1"/>
  <c r="AO283" i="11"/>
  <c r="AR283" i="11"/>
  <c r="I285" i="11"/>
  <c r="I286" i="11"/>
  <c r="Q286" i="11"/>
  <c r="V286" i="11"/>
  <c r="W286" i="11"/>
  <c r="AH286" i="11"/>
  <c r="AJ286" i="11"/>
  <c r="AL286" i="11"/>
  <c r="AM286" i="11"/>
  <c r="I287" i="11"/>
  <c r="Q287" i="11"/>
  <c r="R287" i="11"/>
  <c r="S287" i="11"/>
  <c r="U287" i="11"/>
  <c r="V287" i="11"/>
  <c r="AH287" i="11"/>
  <c r="AJ287" i="11"/>
  <c r="AK287" i="11"/>
  <c r="AL287" i="11"/>
  <c r="AM287" i="11"/>
  <c r="AO287" i="11"/>
  <c r="AO289" i="11"/>
  <c r="AR287" i="11"/>
  <c r="AR289" i="11" s="1"/>
  <c r="V288" i="11"/>
  <c r="AA288" i="11"/>
  <c r="E289" i="11"/>
  <c r="I289" i="11"/>
  <c r="N289" i="11"/>
  <c r="O289" i="11"/>
  <c r="P289" i="11"/>
  <c r="W289" i="11"/>
  <c r="AC289" i="11"/>
  <c r="AZ6" i="10"/>
  <c r="AZ8" i="10" s="1"/>
  <c r="AZ9" i="10" s="1"/>
  <c r="B14" i="10"/>
  <c r="K14" i="10"/>
  <c r="T14" i="10"/>
  <c r="U14" i="10"/>
  <c r="AE14" i="10"/>
  <c r="AE19" i="10" s="1"/>
  <c r="AL14" i="10"/>
  <c r="AV14" i="10"/>
  <c r="B15" i="10"/>
  <c r="K15" i="10"/>
  <c r="T15" i="10"/>
  <c r="AO15" i="10" s="1"/>
  <c r="AQ15" i="10" s="1"/>
  <c r="AR15" i="10" s="1"/>
  <c r="U15" i="10"/>
  <c r="AE15" i="10" s="1"/>
  <c r="X15" i="10"/>
  <c r="R15" i="10" s="1"/>
  <c r="AL15" i="10"/>
  <c r="AV15" i="10"/>
  <c r="AZ15" i="10"/>
  <c r="BA15" i="10"/>
  <c r="BA16" i="10" s="1"/>
  <c r="BB15" i="10"/>
  <c r="BB16" i="10" s="1"/>
  <c r="B16" i="10"/>
  <c r="K16" i="10"/>
  <c r="T16" i="10"/>
  <c r="AO16" i="10" s="1"/>
  <c r="AQ16" i="10" s="1"/>
  <c r="AR16" i="10" s="1"/>
  <c r="U16" i="10"/>
  <c r="AE16" i="10" s="1"/>
  <c r="X16" i="10"/>
  <c r="AL16" i="10"/>
  <c r="AV16" i="10"/>
  <c r="B17" i="10"/>
  <c r="T17" i="10"/>
  <c r="AO17" i="10" s="1"/>
  <c r="AQ17" i="10" s="1"/>
  <c r="AR17" i="10" s="1"/>
  <c r="U17" i="10"/>
  <c r="AE17" i="10" s="1"/>
  <c r="X17" i="10"/>
  <c r="AL17" i="10"/>
  <c r="AV17" i="10"/>
  <c r="B18" i="10"/>
  <c r="K18" i="10"/>
  <c r="T18" i="10"/>
  <c r="U18" i="10"/>
  <c r="AE18" i="10" s="1"/>
  <c r="AL18" i="10"/>
  <c r="AV18" i="10"/>
  <c r="Q19" i="10"/>
  <c r="V19" i="10"/>
  <c r="AA19" i="10"/>
  <c r="AI19" i="10"/>
  <c r="AK19" i="10"/>
  <c r="AM19" i="10"/>
  <c r="AN19" i="10"/>
  <c r="AP19" i="10"/>
  <c r="AS19" i="10"/>
  <c r="AT19" i="10"/>
  <c r="D4" i="12"/>
  <c r="D5" i="12"/>
  <c r="D6" i="12"/>
  <c r="C7" i="12"/>
  <c r="D7" i="12" s="1"/>
  <c r="D8" i="12"/>
  <c r="D9" i="12"/>
  <c r="D14" i="12"/>
  <c r="D5" i="13"/>
  <c r="G5" i="13"/>
  <c r="H5" i="13" s="1"/>
  <c r="K5" i="13" s="1"/>
  <c r="X90" i="11"/>
  <c r="Y90" i="11" s="1"/>
  <c r="Z90" i="11" s="1"/>
  <c r="X74" i="11"/>
  <c r="X109" i="11"/>
  <c r="Y109" i="11" s="1"/>
  <c r="Z109" i="11" s="1"/>
  <c r="X24" i="11"/>
  <c r="R24" i="11" s="1"/>
  <c r="X110" i="11"/>
  <c r="R110" i="11" s="1"/>
  <c r="X147" i="11"/>
  <c r="R147" i="11" s="1"/>
  <c r="X120" i="11"/>
  <c r="R120" i="11" s="1"/>
  <c r="X93" i="11"/>
  <c r="Y93" i="11" s="1"/>
  <c r="Z93" i="11" s="1"/>
  <c r="X137" i="11"/>
  <c r="X160" i="11"/>
  <c r="Y160" i="11" s="1"/>
  <c r="Z160" i="11" s="1"/>
  <c r="X270" i="11"/>
  <c r="Y270" i="11" s="1"/>
  <c r="Z270" i="11" s="1"/>
  <c r="AF270" i="11" s="1"/>
  <c r="X108" i="11"/>
  <c r="R28" i="11"/>
  <c r="R186" i="11"/>
  <c r="Z186" i="11"/>
  <c r="AG186" i="11" s="1"/>
  <c r="X168" i="11"/>
  <c r="Y168" i="11" s="1"/>
  <c r="Z168" i="11" s="1"/>
  <c r="AC168" i="11" s="1"/>
  <c r="X157" i="11"/>
  <c r="X99" i="11"/>
  <c r="Y99" i="11" s="1"/>
  <c r="Z99" i="11" s="1"/>
  <c r="AB99" i="11" s="1"/>
  <c r="X148" i="11"/>
  <c r="Y148" i="11" s="1"/>
  <c r="Z148" i="11" s="1"/>
  <c r="AF148" i="11" s="1"/>
  <c r="Z62" i="11"/>
  <c r="R62" i="11"/>
  <c r="X171" i="11"/>
  <c r="X187" i="11"/>
  <c r="Y187" i="11" s="1"/>
  <c r="Z187" i="11" s="1"/>
  <c r="AG187" i="11" s="1"/>
  <c r="X279" i="11"/>
  <c r="R279" i="11" s="1"/>
  <c r="X95" i="11"/>
  <c r="Y95" i="11" s="1"/>
  <c r="Z95" i="11" s="1"/>
  <c r="AC95" i="11" s="1"/>
  <c r="X142" i="11"/>
  <c r="Y142" i="11" s="1"/>
  <c r="Z142" i="11" s="1"/>
  <c r="AG142" i="11" s="1"/>
  <c r="X84" i="11"/>
  <c r="X154" i="11"/>
  <c r="Y154" i="11" s="1"/>
  <c r="Z154" i="11" s="1"/>
  <c r="AB154" i="11" s="1"/>
  <c r="X89" i="11"/>
  <c r="Y89" i="11" s="1"/>
  <c r="Z89" i="11" s="1"/>
  <c r="W100" i="11"/>
  <c r="W287" i="11" s="1"/>
  <c r="X268" i="11"/>
  <c r="Y268" i="11" s="1"/>
  <c r="Z268" i="11" s="1"/>
  <c r="AC268" i="11" s="1"/>
  <c r="X164" i="11"/>
  <c r="Y164" i="11" s="1"/>
  <c r="Z164" i="11" s="1"/>
  <c r="AF28" i="11"/>
  <c r="R266" i="11"/>
  <c r="X261" i="11"/>
  <c r="Y261" i="11" s="1"/>
  <c r="Z261" i="11" s="1"/>
  <c r="AG261" i="11" s="1"/>
  <c r="X167" i="11"/>
  <c r="X159" i="11"/>
  <c r="X145" i="11"/>
  <c r="X141" i="11"/>
  <c r="X161" i="11"/>
  <c r="X162" i="11"/>
  <c r="Y162" i="11" s="1"/>
  <c r="Z162" i="11" s="1"/>
  <c r="X170" i="11"/>
  <c r="X16" i="11"/>
  <c r="R16" i="11" s="1"/>
  <c r="X75" i="11"/>
  <c r="R75" i="11" s="1"/>
  <c r="X14" i="10"/>
  <c r="AO14" i="10"/>
  <c r="AQ14" i="10" s="1"/>
  <c r="T19" i="10"/>
  <c r="AN226" i="11"/>
  <c r="AP226" i="11" s="1"/>
  <c r="AQ226" i="11" s="1"/>
  <c r="X226" i="11"/>
  <c r="Y226" i="11" s="1"/>
  <c r="Z226" i="11" s="1"/>
  <c r="AF226" i="11" s="1"/>
  <c r="R226" i="11"/>
  <c r="AL19" i="10"/>
  <c r="J289" i="11"/>
  <c r="AZ16" i="10"/>
  <c r="AZ17" i="10"/>
  <c r="AZ18" i="10"/>
  <c r="AB190" i="11"/>
  <c r="AF190" i="11"/>
  <c r="AC190" i="11"/>
  <c r="AG190" i="11"/>
  <c r="AD190" i="11"/>
  <c r="AS190" i="11" s="1"/>
  <c r="R17" i="10"/>
  <c r="Y15" i="10"/>
  <c r="Z15" i="10"/>
  <c r="U19" i="10"/>
  <c r="AM288" i="11"/>
  <c r="Y236" i="11"/>
  <c r="Z236" i="11"/>
  <c r="AG236" i="11" s="1"/>
  <c r="R236" i="11"/>
  <c r="X233" i="11"/>
  <c r="Y233" i="11" s="1"/>
  <c r="Z233" i="11" s="1"/>
  <c r="AG233" i="11" s="1"/>
  <c r="AN233" i="11"/>
  <c r="AP233" i="11" s="1"/>
  <c r="AQ233" i="11" s="1"/>
  <c r="X263" i="11"/>
  <c r="Y263" i="11" s="1"/>
  <c r="Z263" i="11" s="1"/>
  <c r="X234" i="11"/>
  <c r="R234" i="11" s="1"/>
  <c r="AN234" i="11"/>
  <c r="AP234" i="11" s="1"/>
  <c r="AQ234" i="11" s="1"/>
  <c r="Y234" i="11"/>
  <c r="Z234" i="11" s="1"/>
  <c r="AG234" i="11" s="1"/>
  <c r="R221" i="11"/>
  <c r="Y221" i="11"/>
  <c r="Z221" i="11" s="1"/>
  <c r="AB221" i="11" s="1"/>
  <c r="R219" i="11"/>
  <c r="Y219" i="11"/>
  <c r="Z219" i="11" s="1"/>
  <c r="X209" i="11"/>
  <c r="R209" i="11"/>
  <c r="Y209" i="11"/>
  <c r="Z209" i="11"/>
  <c r="AN209" i="11"/>
  <c r="AP209" i="11" s="1"/>
  <c r="AQ209" i="11" s="1"/>
  <c r="AN253" i="11"/>
  <c r="AP253" i="11" s="1"/>
  <c r="AQ253" i="11" s="1"/>
  <c r="X253" i="11"/>
  <c r="R253" i="11" s="1"/>
  <c r="R248" i="11"/>
  <c r="Y248" i="11"/>
  <c r="Z248" i="11" s="1"/>
  <c r="AG248" i="11" s="1"/>
  <c r="AN237" i="11"/>
  <c r="AP237" i="11" s="1"/>
  <c r="AQ237" i="11" s="1"/>
  <c r="R231" i="11"/>
  <c r="Y231" i="11"/>
  <c r="Z231" i="11" s="1"/>
  <c r="AB231" i="11" s="1"/>
  <c r="AN188" i="11"/>
  <c r="AP188" i="11" s="1"/>
  <c r="AQ188" i="11" s="1"/>
  <c r="Y17" i="10"/>
  <c r="Z17" i="10" s="1"/>
  <c r="AC17" i="10" s="1"/>
  <c r="Y16" i="10"/>
  <c r="Z16" i="10" s="1"/>
  <c r="AN263" i="11"/>
  <c r="AP263" i="11" s="1"/>
  <c r="AQ263" i="11" s="1"/>
  <c r="AN243" i="11"/>
  <c r="AP243" i="11" s="1"/>
  <c r="AQ243" i="11" s="1"/>
  <c r="X243" i="11"/>
  <c r="R243" i="11" s="1"/>
  <c r="AN220" i="11"/>
  <c r="AP220" i="11"/>
  <c r="AQ220" i="11" s="1"/>
  <c r="X220" i="11"/>
  <c r="Y220" i="11" s="1"/>
  <c r="Z220" i="11" s="1"/>
  <c r="AN218" i="11"/>
  <c r="AP218" i="11" s="1"/>
  <c r="AQ218" i="11" s="1"/>
  <c r="X218" i="11"/>
  <c r="Y218" i="11"/>
  <c r="Z218" i="11" s="1"/>
  <c r="AE218" i="11" s="1"/>
  <c r="AI218" i="11" s="1"/>
  <c r="R218" i="11"/>
  <c r="AN183" i="11"/>
  <c r="AP183" i="11" s="1"/>
  <c r="AQ183" i="11" s="1"/>
  <c r="X183" i="11"/>
  <c r="R183" i="11" s="1"/>
  <c r="AN259" i="11"/>
  <c r="AP259" i="11" s="1"/>
  <c r="AQ259" i="11" s="1"/>
  <c r="Y252" i="11"/>
  <c r="Z252" i="11"/>
  <c r="AF252" i="11" s="1"/>
  <c r="X244" i="11"/>
  <c r="R244" i="11" s="1"/>
  <c r="X228" i="11"/>
  <c r="R228" i="11" s="1"/>
  <c r="X215" i="11"/>
  <c r="AN202" i="11"/>
  <c r="AP202" i="11" s="1"/>
  <c r="AQ202" i="11" s="1"/>
  <c r="X202" i="11"/>
  <c r="R202" i="11" s="1"/>
  <c r="X196" i="11"/>
  <c r="AN189" i="11"/>
  <c r="AP189" i="11"/>
  <c r="AQ189" i="11" s="1"/>
  <c r="X189" i="11"/>
  <c r="R189" i="11" s="1"/>
  <c r="R185" i="11"/>
  <c r="Y246" i="11"/>
  <c r="Z246" i="11" s="1"/>
  <c r="AC246" i="11" s="1"/>
  <c r="Y242" i="11"/>
  <c r="Z242" i="11" s="1"/>
  <c r="AC242" i="11" s="1"/>
  <c r="AN232" i="11"/>
  <c r="AP232" i="11"/>
  <c r="AQ232" i="11" s="1"/>
  <c r="X223" i="11"/>
  <c r="R223" i="11" s="1"/>
  <c r="X216" i="11"/>
  <c r="R216" i="11" s="1"/>
  <c r="R213" i="11"/>
  <c r="AN199" i="11"/>
  <c r="AP199" i="11" s="1"/>
  <c r="AQ199" i="11" s="1"/>
  <c r="AN195" i="11"/>
  <c r="AP195" i="11" s="1"/>
  <c r="AQ195" i="11" s="1"/>
  <c r="X195" i="11"/>
  <c r="Y195" i="11" s="1"/>
  <c r="Z195" i="11" s="1"/>
  <c r="AF195" i="11" s="1"/>
  <c r="R195" i="11"/>
  <c r="R193" i="11"/>
  <c r="AN127" i="11"/>
  <c r="AP127" i="11" s="1"/>
  <c r="AQ127" i="11" s="1"/>
  <c r="X127" i="11"/>
  <c r="R127" i="11" s="1"/>
  <c r="Y127" i="11"/>
  <c r="Z127" i="11" s="1"/>
  <c r="AE127" i="11" s="1"/>
  <c r="AE96" i="11"/>
  <c r="AG96" i="11"/>
  <c r="AN223" i="11"/>
  <c r="AP223" i="11" s="1"/>
  <c r="AQ223" i="11" s="1"/>
  <c r="AN216" i="11"/>
  <c r="AP216" i="11"/>
  <c r="AQ216" i="11" s="1"/>
  <c r="AN210" i="11"/>
  <c r="AP210" i="11" s="1"/>
  <c r="AQ210" i="11" s="1"/>
  <c r="X210" i="11"/>
  <c r="AN198" i="11"/>
  <c r="AP198" i="11" s="1"/>
  <c r="AQ198" i="11" s="1"/>
  <c r="X198" i="11"/>
  <c r="AD176" i="11"/>
  <c r="AG176" i="11"/>
  <c r="AE176" i="11"/>
  <c r="AF176" i="11"/>
  <c r="X175" i="11"/>
  <c r="AN175" i="11"/>
  <c r="AP175" i="11" s="1"/>
  <c r="AQ175" i="11" s="1"/>
  <c r="AN134" i="11"/>
  <c r="AP134" i="11" s="1"/>
  <c r="AQ134" i="11" s="1"/>
  <c r="X134" i="11"/>
  <c r="Y134" i="11" s="1"/>
  <c r="Z134" i="11" s="1"/>
  <c r="AC134" i="11" s="1"/>
  <c r="AN126" i="11"/>
  <c r="AP126" i="11" s="1"/>
  <c r="AQ126" i="11" s="1"/>
  <c r="X126" i="11"/>
  <c r="R126" i="11" s="1"/>
  <c r="Y126" i="11"/>
  <c r="Z126" i="11" s="1"/>
  <c r="AG126" i="11" s="1"/>
  <c r="AN117" i="11"/>
  <c r="AP117" i="11"/>
  <c r="AQ117" i="11" s="1"/>
  <c r="AN107" i="11"/>
  <c r="AP107" i="11" s="1"/>
  <c r="AQ107" i="11" s="1"/>
  <c r="X107" i="11"/>
  <c r="X174" i="11"/>
  <c r="R174" i="11" s="1"/>
  <c r="Y174" i="11"/>
  <c r="Z174" i="11" s="1"/>
  <c r="AN130" i="11"/>
  <c r="AP130" i="11" s="1"/>
  <c r="AQ130" i="11" s="1"/>
  <c r="X130" i="11"/>
  <c r="R130" i="11" s="1"/>
  <c r="X125" i="11"/>
  <c r="R125" i="11" s="1"/>
  <c r="Y125" i="11"/>
  <c r="Z125" i="11" s="1"/>
  <c r="AG125" i="11" s="1"/>
  <c r="AN115" i="11"/>
  <c r="AP115" i="11" s="1"/>
  <c r="AQ115" i="11" s="1"/>
  <c r="AN106" i="11"/>
  <c r="AP106" i="11" s="1"/>
  <c r="X106" i="11"/>
  <c r="R106" i="11" s="1"/>
  <c r="R59" i="11"/>
  <c r="Y59" i="11"/>
  <c r="Z59" i="11" s="1"/>
  <c r="AN56" i="11"/>
  <c r="AP56" i="11" s="1"/>
  <c r="AQ56" i="11" s="1"/>
  <c r="X56" i="11"/>
  <c r="R56" i="11" s="1"/>
  <c r="Y208" i="11"/>
  <c r="Z208" i="11" s="1"/>
  <c r="R208" i="11"/>
  <c r="Y201" i="11"/>
  <c r="Z201" i="11" s="1"/>
  <c r="R201" i="11"/>
  <c r="Y194" i="11"/>
  <c r="Z194" i="11" s="1"/>
  <c r="AC194" i="11" s="1"/>
  <c r="R194" i="11"/>
  <c r="Y182" i="11"/>
  <c r="Z182" i="11" s="1"/>
  <c r="AG182" i="11" s="1"/>
  <c r="Y180" i="11"/>
  <c r="Z180" i="11" s="1"/>
  <c r="AE180" i="11" s="1"/>
  <c r="AN174" i="11"/>
  <c r="AP174" i="11" s="1"/>
  <c r="AQ174" i="11" s="1"/>
  <c r="R173" i="11"/>
  <c r="X105" i="11"/>
  <c r="R105" i="11" s="1"/>
  <c r="AN95" i="11"/>
  <c r="AP95" i="11" s="1"/>
  <c r="AQ95" i="11" s="1"/>
  <c r="T100" i="11"/>
  <c r="T287" i="11"/>
  <c r="AQ94" i="11"/>
  <c r="X76" i="11"/>
  <c r="R76" i="11" s="1"/>
  <c r="Y76" i="11"/>
  <c r="Z76" i="11" s="1"/>
  <c r="AC76" i="11" s="1"/>
  <c r="AD76" i="11" s="1"/>
  <c r="AN76" i="11"/>
  <c r="AP76" i="11" s="1"/>
  <c r="AQ76" i="11" s="1"/>
  <c r="Y213" i="11"/>
  <c r="Z213" i="11" s="1"/>
  <c r="Y207" i="11"/>
  <c r="Z207" i="11"/>
  <c r="AN200" i="11"/>
  <c r="AP200" i="11"/>
  <c r="AQ200" i="11" s="1"/>
  <c r="Y193" i="11"/>
  <c r="Z193" i="11" s="1"/>
  <c r="Y191" i="11"/>
  <c r="Z191" i="11" s="1"/>
  <c r="AC191" i="11" s="1"/>
  <c r="Y185" i="11"/>
  <c r="Z185" i="11" s="1"/>
  <c r="AF185" i="11" s="1"/>
  <c r="X178" i="11"/>
  <c r="Y178" i="11" s="1"/>
  <c r="Z178" i="11" s="1"/>
  <c r="AC178" i="11" s="1"/>
  <c r="AN151" i="11"/>
  <c r="AP151" i="11" s="1"/>
  <c r="AQ151" i="11" s="1"/>
  <c r="X149" i="11"/>
  <c r="R149" i="11" s="1"/>
  <c r="AN135" i="11"/>
  <c r="AP135" i="11" s="1"/>
  <c r="AQ135" i="11" s="1"/>
  <c r="X135" i="11"/>
  <c r="R135" i="11" s="1"/>
  <c r="R128" i="11"/>
  <c r="R123" i="11"/>
  <c r="Y123" i="11"/>
  <c r="Z123" i="11"/>
  <c r="AE123" i="11" s="1"/>
  <c r="AN114" i="11"/>
  <c r="AP114" i="11"/>
  <c r="AQ114" i="11" s="1"/>
  <c r="X114" i="11"/>
  <c r="R114" i="11" s="1"/>
  <c r="R111" i="11"/>
  <c r="X98" i="11"/>
  <c r="Y98" i="11"/>
  <c r="Z98" i="11" s="1"/>
  <c r="AN98" i="11"/>
  <c r="AP98" i="11" s="1"/>
  <c r="AQ98" i="11" s="1"/>
  <c r="X82" i="11"/>
  <c r="Y82" i="11" s="1"/>
  <c r="Z82" i="11" s="1"/>
  <c r="X80" i="11"/>
  <c r="R80" i="11" s="1"/>
  <c r="Y80" i="11"/>
  <c r="Z80" i="11" s="1"/>
  <c r="AG80" i="11" s="1"/>
  <c r="X71" i="11"/>
  <c r="R71" i="11" s="1"/>
  <c r="AN71" i="11"/>
  <c r="AP71" i="11" s="1"/>
  <c r="AQ71" i="11" s="1"/>
  <c r="AN69" i="11"/>
  <c r="AP69" i="11"/>
  <c r="AQ69" i="11" s="1"/>
  <c r="X69" i="11"/>
  <c r="Y69" i="11" s="1"/>
  <c r="Z69" i="11" s="1"/>
  <c r="AE69" i="11" s="1"/>
  <c r="Y68" i="11"/>
  <c r="Z68" i="11" s="1"/>
  <c r="R68" i="11"/>
  <c r="R50" i="11"/>
  <c r="Y50" i="11"/>
  <c r="Z50" i="11" s="1"/>
  <c r="AB50" i="11" s="1"/>
  <c r="Y129" i="11"/>
  <c r="Z129" i="11" s="1"/>
  <c r="R129" i="11"/>
  <c r="Y124" i="11"/>
  <c r="Z124" i="11" s="1"/>
  <c r="AG124" i="11" s="1"/>
  <c r="R124" i="11"/>
  <c r="R118" i="11"/>
  <c r="Y113" i="11"/>
  <c r="Z113" i="11" s="1"/>
  <c r="R113" i="11"/>
  <c r="Y104" i="11"/>
  <c r="Z104" i="11"/>
  <c r="AC104" i="11" s="1"/>
  <c r="R104" i="11"/>
  <c r="Y103" i="11"/>
  <c r="Z103" i="11" s="1"/>
  <c r="R103" i="11"/>
  <c r="Y97" i="11"/>
  <c r="Z97" i="11" s="1"/>
  <c r="AC97" i="11" s="1"/>
  <c r="AN80" i="11"/>
  <c r="AP80" i="11" s="1"/>
  <c r="AQ80" i="11" s="1"/>
  <c r="Y78" i="11"/>
  <c r="Z78" i="11" s="1"/>
  <c r="AN72" i="11"/>
  <c r="AP72" i="11" s="1"/>
  <c r="AQ72" i="11" s="1"/>
  <c r="X72" i="11"/>
  <c r="Y72" i="11" s="1"/>
  <c r="Z72" i="11" s="1"/>
  <c r="X49" i="11"/>
  <c r="Y49" i="11" s="1"/>
  <c r="Z49" i="11" s="1"/>
  <c r="AN49" i="11"/>
  <c r="AP49" i="11" s="1"/>
  <c r="AQ49" i="11" s="1"/>
  <c r="AN33" i="11"/>
  <c r="AP33" i="11" s="1"/>
  <c r="AQ33" i="11" s="1"/>
  <c r="X33" i="11"/>
  <c r="Y33" i="11" s="1"/>
  <c r="Z33" i="11" s="1"/>
  <c r="Y173" i="11"/>
  <c r="Z173" i="11"/>
  <c r="Y111" i="11"/>
  <c r="Z111" i="11" s="1"/>
  <c r="AN77" i="11"/>
  <c r="AP77" i="11"/>
  <c r="AQ77" i="11" s="1"/>
  <c r="X77" i="11"/>
  <c r="Y77" i="11" s="1"/>
  <c r="Z77" i="11" s="1"/>
  <c r="R70" i="11"/>
  <c r="Y70" i="11"/>
  <c r="Z70" i="11" s="1"/>
  <c r="AE70" i="11" s="1"/>
  <c r="R55" i="11"/>
  <c r="Y55" i="11"/>
  <c r="Z55" i="11" s="1"/>
  <c r="AE55" i="11" s="1"/>
  <c r="Y83" i="11"/>
  <c r="Z83" i="11" s="1"/>
  <c r="AF83" i="11" s="1"/>
  <c r="R67" i="11"/>
  <c r="Y67" i="11"/>
  <c r="Z67" i="11" s="1"/>
  <c r="AN67" i="11"/>
  <c r="AP67" i="11" s="1"/>
  <c r="AQ67" i="11" s="1"/>
  <c r="AN65" i="11"/>
  <c r="AP65" i="11" s="1"/>
  <c r="AQ65" i="11" s="1"/>
  <c r="R65" i="11"/>
  <c r="Y65" i="11"/>
  <c r="Z65" i="11" s="1"/>
  <c r="AE65" i="11" s="1"/>
  <c r="R58" i="11"/>
  <c r="AN60" i="11"/>
  <c r="AP60" i="11" s="1"/>
  <c r="AQ60" i="11" s="1"/>
  <c r="R60" i="11"/>
  <c r="Y60" i="11"/>
  <c r="Z60" i="11" s="1"/>
  <c r="AN58" i="11"/>
  <c r="AP58" i="11" s="1"/>
  <c r="AQ58" i="11"/>
  <c r="AN46" i="11"/>
  <c r="AP46" i="11" s="1"/>
  <c r="AQ46" i="11" s="1"/>
  <c r="X46" i="11"/>
  <c r="Y46" i="11" s="1"/>
  <c r="Z46" i="11" s="1"/>
  <c r="R43" i="11"/>
  <c r="Y43" i="11"/>
  <c r="Z43" i="11" s="1"/>
  <c r="AF43" i="11" s="1"/>
  <c r="AX13" i="11"/>
  <c r="AX14" i="11" s="1"/>
  <c r="X45" i="11"/>
  <c r="R45" i="11"/>
  <c r="Y45" i="11"/>
  <c r="Z45" i="11" s="1"/>
  <c r="X44" i="11"/>
  <c r="R44" i="11" s="1"/>
  <c r="AC34" i="11"/>
  <c r="AG34" i="11"/>
  <c r="AE34" i="11"/>
  <c r="AB34" i="11"/>
  <c r="AD34" i="11" s="1"/>
  <c r="AF34" i="11"/>
  <c r="AN18" i="11"/>
  <c r="AP18" i="11" s="1"/>
  <c r="AQ18" i="11" s="1"/>
  <c r="X18" i="11"/>
  <c r="Y58" i="11"/>
  <c r="Z58" i="11" s="1"/>
  <c r="R54" i="11"/>
  <c r="Y54" i="11"/>
  <c r="Z54" i="11" s="1"/>
  <c r="AN48" i="11"/>
  <c r="AP48" i="11" s="1"/>
  <c r="AQ48" i="11" s="1"/>
  <c r="X48" i="11"/>
  <c r="Y48" i="11" s="1"/>
  <c r="Z48" i="11" s="1"/>
  <c r="R48" i="11"/>
  <c r="AN45" i="11"/>
  <c r="AP45" i="11"/>
  <c r="AQ45" i="11" s="1"/>
  <c r="AN44" i="11"/>
  <c r="AP44" i="11" s="1"/>
  <c r="AQ44" i="11" s="1"/>
  <c r="X39" i="11"/>
  <c r="AN39" i="11"/>
  <c r="AP39" i="11" s="1"/>
  <c r="AQ39" i="11" s="1"/>
  <c r="R39" i="11"/>
  <c r="Y39" i="11"/>
  <c r="Z39" i="11" s="1"/>
  <c r="Y42" i="11"/>
  <c r="Z42" i="11"/>
  <c r="AE42" i="11" s="1"/>
  <c r="AN35" i="11"/>
  <c r="AP35" i="11" s="1"/>
  <c r="AQ35" i="11" s="1"/>
  <c r="AN31" i="11"/>
  <c r="AP31" i="11"/>
  <c r="AQ31" i="11" s="1"/>
  <c r="AN17" i="11"/>
  <c r="AP17" i="11" s="1"/>
  <c r="AQ17" i="11" s="1"/>
  <c r="AN15" i="11"/>
  <c r="AP15" i="11" s="1"/>
  <c r="AQ15" i="11" s="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X32" i="11"/>
  <c r="R32" i="11" s="1"/>
  <c r="AN29" i="11"/>
  <c r="AP29" i="11"/>
  <c r="AQ29" i="11" s="1"/>
  <c r="X29" i="11"/>
  <c r="Y29" i="11" s="1"/>
  <c r="Z29" i="11" s="1"/>
  <c r="X17" i="11"/>
  <c r="R17" i="11" s="1"/>
  <c r="Y17" i="11"/>
  <c r="Z17" i="11" s="1"/>
  <c r="X15" i="11"/>
  <c r="R15" i="11" s="1"/>
  <c r="AB178" i="11"/>
  <c r="AD178" i="11" s="1"/>
  <c r="AF178" i="11"/>
  <c r="AE178" i="11"/>
  <c r="AI178" i="11" s="1"/>
  <c r="AG178" i="11"/>
  <c r="AC263" i="11"/>
  <c r="AG263" i="11"/>
  <c r="AB263" i="11"/>
  <c r="AD263" i="11" s="1"/>
  <c r="AE263" i="11"/>
  <c r="AI263" i="11" s="1"/>
  <c r="AF263" i="11"/>
  <c r="AE233" i="11"/>
  <c r="AI233" i="11" s="1"/>
  <c r="AF233" i="11"/>
  <c r="AB233" i="11"/>
  <c r="AD233" i="11" s="1"/>
  <c r="AB60" i="11"/>
  <c r="AD60" i="11" s="1"/>
  <c r="AS60" i="11" s="1"/>
  <c r="AF60" i="11"/>
  <c r="AC60" i="11"/>
  <c r="AE60" i="11"/>
  <c r="AI60" i="11" s="1"/>
  <c r="AG60" i="11"/>
  <c r="AC55" i="11"/>
  <c r="AB55" i="11"/>
  <c r="R77" i="11"/>
  <c r="R49" i="11"/>
  <c r="AE97" i="11"/>
  <c r="AB97" i="11"/>
  <c r="AD97" i="11" s="1"/>
  <c r="AG104" i="11"/>
  <c r="AE104" i="11"/>
  <c r="AE50" i="11"/>
  <c r="AF50" i="11"/>
  <c r="AG50" i="11"/>
  <c r="AI50" i="11" s="1"/>
  <c r="AC50" i="11"/>
  <c r="AF69" i="11"/>
  <c r="AC69" i="11"/>
  <c r="Y71" i="11"/>
  <c r="Z71" i="11" s="1"/>
  <c r="AE185" i="11"/>
  <c r="AB185" i="11"/>
  <c r="AQ106" i="11"/>
  <c r="AF126" i="11"/>
  <c r="AC126" i="11"/>
  <c r="AB134" i="11"/>
  <c r="AF134" i="11"/>
  <c r="AG134" i="11"/>
  <c r="AE134" i="11"/>
  <c r="AG246" i="11"/>
  <c r="AB246" i="11"/>
  <c r="Y228" i="11"/>
  <c r="Z228" i="11" s="1"/>
  <c r="AB218" i="11"/>
  <c r="AD218" i="11" s="1"/>
  <c r="AS218" i="11" s="1"/>
  <c r="AF218" i="11"/>
  <c r="AC218" i="11"/>
  <c r="AG218" i="11"/>
  <c r="AB220" i="11"/>
  <c r="AD220" i="11" s="1"/>
  <c r="AS220" i="11" s="1"/>
  <c r="AF220" i="11"/>
  <c r="AC220" i="11"/>
  <c r="AG220" i="11"/>
  <c r="AE220" i="11"/>
  <c r="AI220" i="11" s="1"/>
  <c r="AF221" i="11"/>
  <c r="AB226" i="11"/>
  <c r="AC226" i="11"/>
  <c r="AG226" i="11"/>
  <c r="AE43" i="11"/>
  <c r="AG43" i="11"/>
  <c r="AB43" i="11"/>
  <c r="R69" i="11"/>
  <c r="AB123" i="11"/>
  <c r="AF123" i="11"/>
  <c r="AE191" i="11"/>
  <c r="AB191" i="11"/>
  <c r="AF191" i="11"/>
  <c r="AD191" i="11"/>
  <c r="AG191" i="11"/>
  <c r="AI191" i="11" s="1"/>
  <c r="R178" i="11"/>
  <c r="Y106" i="11"/>
  <c r="Z106" i="11"/>
  <c r="AF106" i="11" s="1"/>
  <c r="AI176" i="11"/>
  <c r="AS176" i="11" s="1"/>
  <c r="Y244" i="11"/>
  <c r="Z244" i="11" s="1"/>
  <c r="AI190" i="11"/>
  <c r="AF42" i="11"/>
  <c r="AB42" i="11"/>
  <c r="AE83" i="11"/>
  <c r="AI83" i="11" s="1"/>
  <c r="AG83" i="11"/>
  <c r="AC83" i="11"/>
  <c r="AE111" i="11"/>
  <c r="AB111" i="11"/>
  <c r="R72" i="11"/>
  <c r="AE193" i="11"/>
  <c r="AI193" i="11" s="1"/>
  <c r="AB193" i="11"/>
  <c r="AF193" i="11"/>
  <c r="AC193" i="11"/>
  <c r="AG193" i="11"/>
  <c r="AC182" i="11"/>
  <c r="AB182" i="11"/>
  <c r="AC208" i="11"/>
  <c r="AG208" i="11"/>
  <c r="AE208" i="11"/>
  <c r="AB208" i="11"/>
  <c r="AD208" i="11" s="1"/>
  <c r="AF208" i="11"/>
  <c r="AB252" i="11"/>
  <c r="AC252" i="11"/>
  <c r="AE252" i="11"/>
  <c r="AH16" i="10"/>
  <c r="AG16" i="10"/>
  <c r="AB16" i="10"/>
  <c r="AD16" i="10"/>
  <c r="AU16" i="10" s="1"/>
  <c r="AC16" i="10"/>
  <c r="AF16" i="10"/>
  <c r="AJ16" i="10" s="1"/>
  <c r="AF231" i="11"/>
  <c r="AG231" i="11"/>
  <c r="AD231" i="11"/>
  <c r="AE248" i="11"/>
  <c r="AI248" i="11" s="1"/>
  <c r="AF248" i="11"/>
  <c r="AB248" i="11"/>
  <c r="AD248" i="11" s="1"/>
  <c r="AE219" i="11"/>
  <c r="AF219" i="11"/>
  <c r="AF236" i="11"/>
  <c r="AE236" i="11"/>
  <c r="AI236" i="11" s="1"/>
  <c r="AB15" i="10"/>
  <c r="R14" i="10"/>
  <c r="AB65" i="11"/>
  <c r="AB67" i="11"/>
  <c r="AC173" i="11"/>
  <c r="AF129" i="11"/>
  <c r="AB68" i="11"/>
  <c r="AB80" i="11"/>
  <c r="AE128" i="11"/>
  <c r="AI128" i="11" s="1"/>
  <c r="AB128" i="11"/>
  <c r="AD128" i="11" s="1"/>
  <c r="AF128" i="11"/>
  <c r="AC128" i="11"/>
  <c r="AG128" i="11"/>
  <c r="AG76" i="11"/>
  <c r="AB76" i="11"/>
  <c r="AE76" i="11"/>
  <c r="AB180" i="11"/>
  <c r="AC125" i="11"/>
  <c r="AD125" i="11" s="1"/>
  <c r="AF125" i="11"/>
  <c r="AC174" i="11"/>
  <c r="AG174" i="11"/>
  <c r="AB174" i="11"/>
  <c r="AD174" i="11" s="1"/>
  <c r="AE174" i="11"/>
  <c r="AI174" i="11" s="1"/>
  <c r="AF174" i="11"/>
  <c r="AB127" i="11"/>
  <c r="AC127" i="11"/>
  <c r="AB195" i="11"/>
  <c r="AC195" i="11"/>
  <c r="AG195" i="11"/>
  <c r="AG242" i="11"/>
  <c r="AE242" i="11"/>
  <c r="AB242" i="11"/>
  <c r="AD242" i="11" s="1"/>
  <c r="AF242" i="11"/>
  <c r="AH17" i="10"/>
  <c r="AG209" i="11"/>
  <c r="AE234" i="11"/>
  <c r="AF234" i="11"/>
  <c r="AB234" i="11"/>
  <c r="AI43" i="11"/>
  <c r="AB72" i="11"/>
  <c r="AF72" i="11"/>
  <c r="AR14" i="10"/>
  <c r="AB106" i="11"/>
  <c r="AD106" i="11" s="1"/>
  <c r="AC106" i="11"/>
  <c r="AE106" i="11"/>
  <c r="R250" i="11"/>
  <c r="R265" i="11"/>
  <c r="AC250" i="11"/>
  <c r="AC273" i="11"/>
  <c r="AF273" i="11"/>
  <c r="AE28" i="11"/>
  <c r="AG28" i="11"/>
  <c r="E23" i="10"/>
  <c r="X281" i="11" l="1"/>
  <c r="Y281" i="11" s="1"/>
  <c r="Z281" i="11" s="1"/>
  <c r="AD164" i="15"/>
  <c r="AC164" i="15"/>
  <c r="AE164" i="15" s="1"/>
  <c r="AH164" i="15"/>
  <c r="AG164" i="15"/>
  <c r="AF164" i="15"/>
  <c r="S104" i="15"/>
  <c r="Z104" i="15"/>
  <c r="AA104" i="15" s="1"/>
  <c r="Z118" i="15"/>
  <c r="AA118" i="15" s="1"/>
  <c r="S118" i="15"/>
  <c r="S108" i="15"/>
  <c r="Z108" i="15"/>
  <c r="AA108" i="15" s="1"/>
  <c r="S90" i="15"/>
  <c r="Z90" i="15"/>
  <c r="AA90" i="15" s="1"/>
  <c r="S89" i="15"/>
  <c r="Z89" i="15"/>
  <c r="AA89" i="15" s="1"/>
  <c r="S125" i="15"/>
  <c r="Z125" i="15"/>
  <c r="AA125" i="15" s="1"/>
  <c r="S98" i="15"/>
  <c r="Z98" i="15"/>
  <c r="AA98" i="15" s="1"/>
  <c r="S27" i="15"/>
  <c r="Z27" i="15"/>
  <c r="AA27" i="15" s="1"/>
  <c r="AH238" i="15"/>
  <c r="AG238" i="15"/>
  <c r="AF238" i="15"/>
  <c r="AC238" i="15"/>
  <c r="AD238" i="15"/>
  <c r="Z106" i="15"/>
  <c r="AA106" i="15" s="1"/>
  <c r="S106" i="15"/>
  <c r="S85" i="15"/>
  <c r="Z85" i="15"/>
  <c r="AA85" i="15" s="1"/>
  <c r="S133" i="15"/>
  <c r="Z133" i="15"/>
  <c r="AA133" i="15" s="1"/>
  <c r="Y83" i="15"/>
  <c r="X283" i="15"/>
  <c r="X289" i="15" s="1"/>
  <c r="Z128" i="15"/>
  <c r="AA128" i="15" s="1"/>
  <c r="S128" i="15"/>
  <c r="AH186" i="15"/>
  <c r="AG186" i="15"/>
  <c r="AF186" i="15"/>
  <c r="AC186" i="15"/>
  <c r="AE186" i="15" s="1"/>
  <c r="S24" i="15"/>
  <c r="Z24" i="15"/>
  <c r="AA24" i="15" s="1"/>
  <c r="AF271" i="15"/>
  <c r="AD271" i="15"/>
  <c r="AC271" i="15"/>
  <c r="AG271" i="15"/>
  <c r="AH271" i="15"/>
  <c r="S92" i="15"/>
  <c r="Z92" i="15"/>
  <c r="AA92" i="15" s="1"/>
  <c r="Z117" i="15"/>
  <c r="AA117" i="15" s="1"/>
  <c r="S117" i="15"/>
  <c r="Z136" i="15"/>
  <c r="AA136" i="15" s="1"/>
  <c r="S136" i="15"/>
  <c r="Z99" i="15"/>
  <c r="AA99" i="15" s="1"/>
  <c r="S99" i="15"/>
  <c r="S115" i="15"/>
  <c r="Z115" i="15"/>
  <c r="AA115" i="15" s="1"/>
  <c r="S87" i="15"/>
  <c r="Z87" i="15"/>
  <c r="AA87" i="15" s="1"/>
  <c r="Z119" i="15"/>
  <c r="AA119" i="15" s="1"/>
  <c r="S119" i="15"/>
  <c r="S26" i="15"/>
  <c r="Z26" i="15"/>
  <c r="AA26" i="15" s="1"/>
  <c r="Z135" i="15"/>
  <c r="AA135" i="15" s="1"/>
  <c r="S135" i="15"/>
  <c r="AC250" i="15"/>
  <c r="AG250" i="15"/>
  <c r="AH250" i="15"/>
  <c r="AF250" i="15"/>
  <c r="AD250" i="15"/>
  <c r="AD149" i="15"/>
  <c r="AC149" i="15"/>
  <c r="AH149" i="15"/>
  <c r="AG149" i="15"/>
  <c r="AF149" i="15"/>
  <c r="S101" i="15"/>
  <c r="Z101" i="15"/>
  <c r="AA101" i="15" s="1"/>
  <c r="Z113" i="15"/>
  <c r="AA113" i="15" s="1"/>
  <c r="S113" i="15"/>
  <c r="S96" i="15"/>
  <c r="Z96" i="15"/>
  <c r="AA96" i="15" s="1"/>
  <c r="AH86" i="15"/>
  <c r="AG86" i="15"/>
  <c r="AF86" i="15"/>
  <c r="AC86" i="15"/>
  <c r="AE86" i="15" s="1"/>
  <c r="AH272" i="15"/>
  <c r="AG272" i="15"/>
  <c r="AF272" i="15"/>
  <c r="AD272" i="15"/>
  <c r="AC272" i="15"/>
  <c r="S120" i="15"/>
  <c r="Z120" i="15"/>
  <c r="AA120" i="15" s="1"/>
  <c r="S122" i="15"/>
  <c r="Z122" i="15"/>
  <c r="AA122" i="15" s="1"/>
  <c r="S94" i="15"/>
  <c r="Z94" i="15"/>
  <c r="AA94" i="15" s="1"/>
  <c r="S15" i="15"/>
  <c r="Z15" i="15"/>
  <c r="S129" i="15"/>
  <c r="Z129" i="15"/>
  <c r="AA129" i="15" s="1"/>
  <c r="S126" i="15"/>
  <c r="Z126" i="15"/>
  <c r="AA126" i="15" s="1"/>
  <c r="S112" i="15"/>
  <c r="Z112" i="15"/>
  <c r="AA112" i="15" s="1"/>
  <c r="Z121" i="15"/>
  <c r="AA121" i="15" s="1"/>
  <c r="S121" i="15"/>
  <c r="S95" i="15"/>
  <c r="Z95" i="15"/>
  <c r="AA95" i="15" s="1"/>
  <c r="AH275" i="15"/>
  <c r="AC275" i="15"/>
  <c r="AD275" i="15"/>
  <c r="AG275" i="15"/>
  <c r="AF275" i="15"/>
  <c r="S88" i="15"/>
  <c r="Z88" i="15"/>
  <c r="AA88" i="15" s="1"/>
  <c r="Z97" i="15"/>
  <c r="AA97" i="15" s="1"/>
  <c r="S97" i="15"/>
  <c r="S123" i="15"/>
  <c r="Z123" i="15"/>
  <c r="AA123" i="15" s="1"/>
  <c r="Z109" i="15"/>
  <c r="AA109" i="15" s="1"/>
  <c r="S109" i="15"/>
  <c r="X53" i="11"/>
  <c r="R53" i="11" s="1"/>
  <c r="X29" i="15"/>
  <c r="Y29" i="15" s="1"/>
  <c r="AG263" i="15"/>
  <c r="AF263" i="15"/>
  <c r="AD263" i="15"/>
  <c r="AC263" i="15"/>
  <c r="AH263" i="15"/>
  <c r="S93" i="15"/>
  <c r="Z93" i="15"/>
  <c r="AA93" i="15" s="1"/>
  <c r="S105" i="15"/>
  <c r="Z105" i="15"/>
  <c r="AA105" i="15" s="1"/>
  <c r="S103" i="15"/>
  <c r="Z103" i="15"/>
  <c r="AA103" i="15" s="1"/>
  <c r="Z114" i="15"/>
  <c r="AA114" i="15" s="1"/>
  <c r="S114" i="15"/>
  <c r="AD139" i="15"/>
  <c r="AF139" i="15"/>
  <c r="AC139" i="15"/>
  <c r="AH139" i="15"/>
  <c r="AG139" i="15"/>
  <c r="S102" i="15"/>
  <c r="Z102" i="15"/>
  <c r="AA102" i="15" s="1"/>
  <c r="Z124" i="15"/>
  <c r="AA124" i="15" s="1"/>
  <c r="S124" i="15"/>
  <c r="Z22" i="15"/>
  <c r="AA22" i="15" s="1"/>
  <c r="S22" i="15"/>
  <c r="AF116" i="15"/>
  <c r="AH116" i="15"/>
  <c r="AG116" i="15"/>
  <c r="AC116" i="15"/>
  <c r="AE116" i="15" s="1"/>
  <c r="S132" i="15"/>
  <c r="Z132" i="15"/>
  <c r="AA132" i="15" s="1"/>
  <c r="Z137" i="15"/>
  <c r="AA137" i="15" s="1"/>
  <c r="S137" i="15"/>
  <c r="S111" i="15"/>
  <c r="Z111" i="15"/>
  <c r="AA111" i="15" s="1"/>
  <c r="Z107" i="15"/>
  <c r="AA107" i="15" s="1"/>
  <c r="S107" i="15"/>
  <c r="AU63" i="15"/>
  <c r="A64" i="15"/>
  <c r="AC113" i="11"/>
  <c r="AG113" i="11"/>
  <c r="AE113" i="11"/>
  <c r="AB113" i="11"/>
  <c r="AD113" i="11" s="1"/>
  <c r="AF113" i="11"/>
  <c r="AC58" i="11"/>
  <c r="AE58" i="11"/>
  <c r="AB58" i="11"/>
  <c r="AD58" i="11" s="1"/>
  <c r="AF58" i="11"/>
  <c r="AG58" i="11"/>
  <c r="AD123" i="11"/>
  <c r="R35" i="11"/>
  <c r="Y35" i="11"/>
  <c r="Z35" i="11" s="1"/>
  <c r="AE207" i="11"/>
  <c r="AB207" i="11"/>
  <c r="AF207" i="11"/>
  <c r="AC207" i="11"/>
  <c r="AD207" i="11" s="1"/>
  <c r="AG207" i="11"/>
  <c r="AC59" i="11"/>
  <c r="AG59" i="11"/>
  <c r="AF59" i="11"/>
  <c r="AI59" i="11" s="1"/>
  <c r="U283" i="11"/>
  <c r="U286" i="11"/>
  <c r="U289" i="11" s="1"/>
  <c r="AD42" i="11"/>
  <c r="AG111" i="11"/>
  <c r="AF111" i="11"/>
  <c r="AI111" i="11" s="1"/>
  <c r="AC111" i="11"/>
  <c r="AI180" i="11"/>
  <c r="AC15" i="10"/>
  <c r="AD15" i="10" s="1"/>
  <c r="AG15" i="10"/>
  <c r="AF15" i="10"/>
  <c r="AH15" i="10"/>
  <c r="AE173" i="11"/>
  <c r="AI173" i="11" s="1"/>
  <c r="AF173" i="11"/>
  <c r="AG173" i="11"/>
  <c r="AC129" i="11"/>
  <c r="AG129" i="11"/>
  <c r="AE129" i="11"/>
  <c r="AB213" i="11"/>
  <c r="AD213" i="11" s="1"/>
  <c r="AG213" i="11"/>
  <c r="AE213" i="11"/>
  <c r="AF213" i="11"/>
  <c r="AB173" i="11"/>
  <c r="AD173" i="11" s="1"/>
  <c r="AS173" i="11" s="1"/>
  <c r="AF67" i="11"/>
  <c r="AC67" i="11"/>
  <c r="AD67" i="11" s="1"/>
  <c r="AE67" i="11"/>
  <c r="AG67" i="11"/>
  <c r="AE103" i="11"/>
  <c r="AF103" i="11"/>
  <c r="AC103" i="11"/>
  <c r="AD103" i="11" s="1"/>
  <c r="AG103" i="11"/>
  <c r="AD50" i="11"/>
  <c r="AS50" i="11" s="1"/>
  <c r="T282" i="11"/>
  <c r="X222" i="11"/>
  <c r="R222" i="11"/>
  <c r="AN222" i="11"/>
  <c r="AP222" i="11" s="1"/>
  <c r="AQ222" i="11" s="1"/>
  <c r="Y222" i="11"/>
  <c r="Z222" i="11" s="1"/>
  <c r="R214" i="11"/>
  <c r="Y214" i="11"/>
  <c r="Z214" i="11" s="1"/>
  <c r="AE68" i="11"/>
  <c r="AF68" i="11"/>
  <c r="AC68" i="11"/>
  <c r="AD68" i="11" s="1"/>
  <c r="AG68" i="11"/>
  <c r="AC98" i="11"/>
  <c r="AG98" i="11"/>
  <c r="AE98" i="11"/>
  <c r="AI98" i="11" s="1"/>
  <c r="AB98" i="11"/>
  <c r="AF98" i="11"/>
  <c r="AE194" i="11"/>
  <c r="AF194" i="11"/>
  <c r="AG194" i="11"/>
  <c r="AB194" i="11"/>
  <c r="AD194" i="11" s="1"/>
  <c r="Y210" i="11"/>
  <c r="Z210" i="11" s="1"/>
  <c r="R210" i="11"/>
  <c r="AB209" i="11"/>
  <c r="AD209" i="11"/>
  <c r="AE209" i="11"/>
  <c r="AF209" i="11"/>
  <c r="AF49" i="11"/>
  <c r="AC49" i="11"/>
  <c r="AG49" i="11"/>
  <c r="AE49" i="11"/>
  <c r="AI49" i="11" s="1"/>
  <c r="AB49" i="11"/>
  <c r="AC201" i="11"/>
  <c r="AG201" i="11"/>
  <c r="AE201" i="11"/>
  <c r="AF201" i="11"/>
  <c r="AB201" i="11"/>
  <c r="D15" i="12"/>
  <c r="AB59" i="11"/>
  <c r="AD59" i="11" s="1"/>
  <c r="AD111" i="11"/>
  <c r="AE72" i="11"/>
  <c r="AC72" i="11"/>
  <c r="AD72" i="11" s="1"/>
  <c r="AG72" i="11"/>
  <c r="AB219" i="11"/>
  <c r="AD219" i="11" s="1"/>
  <c r="AG219" i="11"/>
  <c r="AI219" i="11" s="1"/>
  <c r="AS219" i="11" s="1"/>
  <c r="AC219" i="11"/>
  <c r="AE59" i="11"/>
  <c r="AI69" i="11"/>
  <c r="AB45" i="11"/>
  <c r="AD45" i="11" s="1"/>
  <c r="AC45" i="11"/>
  <c r="AG45" i="11"/>
  <c r="AE45" i="11"/>
  <c r="AI45" i="11" s="1"/>
  <c r="AF45" i="11"/>
  <c r="Y175" i="11"/>
  <c r="Z175" i="11" s="1"/>
  <c r="R175" i="11"/>
  <c r="AK288" i="11"/>
  <c r="AK283" i="11"/>
  <c r="AK289" i="11" s="1"/>
  <c r="AF78" i="11"/>
  <c r="AG78" i="11"/>
  <c r="AE78" i="11"/>
  <c r="AI78" i="11" s="1"/>
  <c r="AB78" i="11"/>
  <c r="AC78" i="11"/>
  <c r="R215" i="11"/>
  <c r="Y215" i="11"/>
  <c r="Z215" i="11" s="1"/>
  <c r="AF17" i="10"/>
  <c r="AJ17" i="10" s="1"/>
  <c r="AB17" i="10"/>
  <c r="AD17" i="10" s="1"/>
  <c r="AG17" i="10"/>
  <c r="AI234" i="11"/>
  <c r="AB129" i="11"/>
  <c r="AI65" i="11"/>
  <c r="AS178" i="11"/>
  <c r="AC65" i="11"/>
  <c r="AD65" i="11" s="1"/>
  <c r="AS65" i="11" s="1"/>
  <c r="AI208" i="11"/>
  <c r="AG123" i="11"/>
  <c r="AI123" i="11" s="1"/>
  <c r="AE221" i="11"/>
  <c r="AC185" i="11"/>
  <c r="AF104" i="11"/>
  <c r="AI104" i="11" s="1"/>
  <c r="Y112" i="11"/>
  <c r="Z112" i="11" s="1"/>
  <c r="Y14" i="10"/>
  <c r="AD234" i="11"/>
  <c r="AS234" i="11" s="1"/>
  <c r="AE195" i="11"/>
  <c r="AI195" i="11" s="1"/>
  <c r="AF76" i="11"/>
  <c r="AI76" i="11" s="1"/>
  <c r="AS76" i="11" s="1"/>
  <c r="AF65" i="11"/>
  <c r="AE182" i="11"/>
  <c r="AG42" i="11"/>
  <c r="AI42" i="11" s="1"/>
  <c r="Y202" i="11"/>
  <c r="Z202" i="11" s="1"/>
  <c r="AC123" i="11"/>
  <c r="AE126" i="11"/>
  <c r="AI126" i="11" s="1"/>
  <c r="AB69" i="11"/>
  <c r="AD69" i="11" s="1"/>
  <c r="AS69" i="11" s="1"/>
  <c r="AB104" i="11"/>
  <c r="AD104" i="11" s="1"/>
  <c r="AG106" i="11"/>
  <c r="AI106" i="11" s="1"/>
  <c r="AS106" i="11" s="1"/>
  <c r="AF80" i="11"/>
  <c r="AB236" i="11"/>
  <c r="AD236" i="11" s="1"/>
  <c r="AS236" i="11" s="1"/>
  <c r="Y105" i="11"/>
  <c r="Z105" i="11" s="1"/>
  <c r="AC70" i="11"/>
  <c r="AC42" i="11"/>
  <c r="AE226" i="11"/>
  <c r="AI226" i="11" s="1"/>
  <c r="AF246" i="11"/>
  <c r="AB126" i="11"/>
  <c r="AD126" i="11" s="1"/>
  <c r="AS126" i="11" s="1"/>
  <c r="AD195" i="11"/>
  <c r="AB124" i="11"/>
  <c r="AD124" i="11" s="1"/>
  <c r="AD246" i="11"/>
  <c r="AF55" i="11"/>
  <c r="AS248" i="11"/>
  <c r="AG70" i="11"/>
  <c r="AX15" i="11"/>
  <c r="AG127" i="11"/>
  <c r="AS174" i="11"/>
  <c r="AG180" i="11"/>
  <c r="AE80" i="11"/>
  <c r="AB70" i="11"/>
  <c r="AF124" i="11"/>
  <c r="AD226" i="11"/>
  <c r="AE246" i="11"/>
  <c r="AI246" i="11" s="1"/>
  <c r="AF97" i="11"/>
  <c r="AI97" i="11" s="1"/>
  <c r="AS97" i="11" s="1"/>
  <c r="AD55" i="11"/>
  <c r="X79" i="11"/>
  <c r="AN79" i="11"/>
  <c r="AP79" i="11" s="1"/>
  <c r="AQ79" i="11" s="1"/>
  <c r="AD127" i="11"/>
  <c r="AC180" i="11"/>
  <c r="AD180" i="11" s="1"/>
  <c r="AS180" i="11" s="1"/>
  <c r="AE124" i="11"/>
  <c r="AG221" i="11"/>
  <c r="AI134" i="11"/>
  <c r="AI55" i="11"/>
  <c r="AS55" i="11" s="1"/>
  <c r="Y243" i="11"/>
  <c r="Z243" i="11" s="1"/>
  <c r="X52" i="11"/>
  <c r="R52" i="11" s="1"/>
  <c r="AN52" i="11"/>
  <c r="AP52" i="11" s="1"/>
  <c r="AQ52" i="11" s="1"/>
  <c r="AF70" i="11"/>
  <c r="AI70" i="11" s="1"/>
  <c r="X177" i="11"/>
  <c r="Y177" i="11" s="1"/>
  <c r="Z177" i="11" s="1"/>
  <c r="AN177" i="11"/>
  <c r="AP177" i="11" s="1"/>
  <c r="AQ177" i="11" s="1"/>
  <c r="AF127" i="11"/>
  <c r="AI127" i="11" s="1"/>
  <c r="AF180" i="11"/>
  <c r="AC80" i="11"/>
  <c r="AD80" i="11" s="1"/>
  <c r="AE231" i="11"/>
  <c r="AI231" i="11" s="1"/>
  <c r="AS231" i="11" s="1"/>
  <c r="AG252" i="11"/>
  <c r="AI252" i="11" s="1"/>
  <c r="AS252" i="11" s="1"/>
  <c r="AV255" i="11" s="1"/>
  <c r="AV256" i="11" s="1"/>
  <c r="AC124" i="11"/>
  <c r="AC43" i="11"/>
  <c r="AD43" i="11" s="1"/>
  <c r="AS43" i="11" s="1"/>
  <c r="AC221" i="11"/>
  <c r="AD134" i="11"/>
  <c r="AG97" i="11"/>
  <c r="AG55" i="11"/>
  <c r="AI34" i="11"/>
  <c r="R46" i="11"/>
  <c r="X217" i="11"/>
  <c r="Y217" i="11" s="1"/>
  <c r="Z217" i="11" s="1"/>
  <c r="AN217" i="11"/>
  <c r="AP217" i="11" s="1"/>
  <c r="AQ217" i="11" s="1"/>
  <c r="AD185" i="11"/>
  <c r="AE125" i="11"/>
  <c r="AI125" i="11" s="1"/>
  <c r="AS125" i="11" s="1"/>
  <c r="AG65" i="11"/>
  <c r="AF182" i="11"/>
  <c r="AB83" i="11"/>
  <c r="AD83" i="11" s="1"/>
  <c r="R233" i="11"/>
  <c r="Y44" i="11"/>
  <c r="Z44" i="11" s="1"/>
  <c r="AD221" i="11"/>
  <c r="AG69" i="11"/>
  <c r="R134" i="11"/>
  <c r="AF96" i="11"/>
  <c r="AI96" i="11" s="1"/>
  <c r="AS233" i="11"/>
  <c r="AI242" i="11"/>
  <c r="AS242" i="11" s="1"/>
  <c r="AD252" i="11"/>
  <c r="AD182" i="11"/>
  <c r="AG185" i="11"/>
  <c r="AI185" i="11" s="1"/>
  <c r="Y198" i="11"/>
  <c r="Z198" i="11" s="1"/>
  <c r="R198" i="11"/>
  <c r="AB96" i="11"/>
  <c r="AD96" i="11" s="1"/>
  <c r="Y216" i="11"/>
  <c r="Z216" i="11" s="1"/>
  <c r="AN240" i="11"/>
  <c r="AP240" i="11" s="1"/>
  <c r="AQ240" i="11" s="1"/>
  <c r="X240" i="11"/>
  <c r="R18" i="10"/>
  <c r="X256" i="11"/>
  <c r="R256" i="11" s="1"/>
  <c r="AN191" i="11"/>
  <c r="AP191" i="11" s="1"/>
  <c r="AQ191" i="11" s="1"/>
  <c r="AS191" i="11" s="1"/>
  <c r="AN128" i="11"/>
  <c r="AP128" i="11" s="1"/>
  <c r="AQ128" i="11" s="1"/>
  <c r="AS128" i="11" s="1"/>
  <c r="X119" i="11"/>
  <c r="AN111" i="11"/>
  <c r="AP111" i="11" s="1"/>
  <c r="AQ111" i="11" s="1"/>
  <c r="AN104" i="11"/>
  <c r="AP104" i="11" s="1"/>
  <c r="AQ104" i="11" s="1"/>
  <c r="Q288" i="11"/>
  <c r="X254" i="11"/>
  <c r="Y254" i="11" s="1"/>
  <c r="Z254" i="11" s="1"/>
  <c r="AG254" i="11" s="1"/>
  <c r="AN252" i="11"/>
  <c r="AP252" i="11" s="1"/>
  <c r="AQ252" i="11" s="1"/>
  <c r="X247" i="11"/>
  <c r="AN242" i="11"/>
  <c r="AP242" i="11" s="1"/>
  <c r="AQ242" i="11" s="1"/>
  <c r="X235" i="11"/>
  <c r="AN224" i="11"/>
  <c r="AP224" i="11" s="1"/>
  <c r="AQ224" i="11" s="1"/>
  <c r="AN207" i="11"/>
  <c r="AP207" i="11" s="1"/>
  <c r="AQ207" i="11" s="1"/>
  <c r="X197" i="11"/>
  <c r="X188" i="11"/>
  <c r="R188" i="11" s="1"/>
  <c r="R179" i="11"/>
  <c r="R78" i="11"/>
  <c r="X121" i="11"/>
  <c r="X81" i="11"/>
  <c r="R42" i="11"/>
  <c r="X238" i="11"/>
  <c r="Y238" i="11" s="1"/>
  <c r="Z238" i="11" s="1"/>
  <c r="AE238" i="11" s="1"/>
  <c r="X264" i="11"/>
  <c r="Y264" i="11" s="1"/>
  <c r="Z264" i="11" s="1"/>
  <c r="AC264" i="11" s="1"/>
  <c r="X257" i="11"/>
  <c r="R257" i="11" s="1"/>
  <c r="R207" i="11"/>
  <c r="R131" i="11"/>
  <c r="AN124" i="11"/>
  <c r="AP124" i="11" s="1"/>
  <c r="AQ124" i="11" s="1"/>
  <c r="AL283" i="11"/>
  <c r="AL289" i="11" s="1"/>
  <c r="AN248" i="11"/>
  <c r="AP248" i="11" s="1"/>
  <c r="AQ248" i="11" s="1"/>
  <c r="X245" i="11"/>
  <c r="AN68" i="11"/>
  <c r="AP68" i="11" s="1"/>
  <c r="AQ68" i="11" s="1"/>
  <c r="X30" i="11"/>
  <c r="Y30" i="11" s="1"/>
  <c r="Z30" i="11" s="1"/>
  <c r="X27" i="11"/>
  <c r="Y27" i="11" s="1"/>
  <c r="Z27" i="11" s="1"/>
  <c r="AF27" i="11" s="1"/>
  <c r="AO18" i="10"/>
  <c r="AN179" i="11"/>
  <c r="AP179" i="11" s="1"/>
  <c r="AQ179" i="11" s="1"/>
  <c r="AN61" i="11"/>
  <c r="AP61" i="11" s="1"/>
  <c r="AQ61" i="11" s="1"/>
  <c r="AN50" i="11"/>
  <c r="AP50" i="11" s="1"/>
  <c r="AQ50" i="11" s="1"/>
  <c r="T87" i="11"/>
  <c r="X18" i="10"/>
  <c r="Y18" i="10" s="1"/>
  <c r="Z18" i="10" s="1"/>
  <c r="U282" i="11"/>
  <c r="R225" i="11"/>
  <c r="Y179" i="11"/>
  <c r="Z179" i="11" s="1"/>
  <c r="X31" i="11"/>
  <c r="R31" i="11" s="1"/>
  <c r="X14" i="11"/>
  <c r="R14" i="11" s="1"/>
  <c r="AD193" i="11"/>
  <c r="AS193" i="11" s="1"/>
  <c r="X239" i="11"/>
  <c r="Y239" i="11" s="1"/>
  <c r="Z239" i="11" s="1"/>
  <c r="AC239" i="11" s="1"/>
  <c r="X237" i="11"/>
  <c r="R237" i="11" s="1"/>
  <c r="X165" i="11"/>
  <c r="R165" i="11" s="1"/>
  <c r="X158" i="11"/>
  <c r="Y158" i="11" s="1"/>
  <c r="Z158" i="11" s="1"/>
  <c r="AC158" i="11" s="1"/>
  <c r="X144" i="11"/>
  <c r="Y144" i="11" s="1"/>
  <c r="Z144" i="11" s="1"/>
  <c r="AB144" i="11" s="1"/>
  <c r="AD144" i="11" s="1"/>
  <c r="X138" i="11"/>
  <c r="X275" i="11"/>
  <c r="Y275" i="11" s="1"/>
  <c r="Z275" i="11" s="1"/>
  <c r="AG275" i="11" s="1"/>
  <c r="X156" i="11"/>
  <c r="R156" i="11" s="1"/>
  <c r="X146" i="11"/>
  <c r="X23" i="11"/>
  <c r="X278" i="11"/>
  <c r="Y278" i="11" s="1"/>
  <c r="Z278" i="11" s="1"/>
  <c r="AB278" i="11" s="1"/>
  <c r="X277" i="11"/>
  <c r="Y277" i="11" s="1"/>
  <c r="Z277" i="11" s="1"/>
  <c r="AC277" i="11" s="1"/>
  <c r="X269" i="11"/>
  <c r="Y269" i="11" s="1"/>
  <c r="Z269" i="11" s="1"/>
  <c r="AE269" i="11" s="1"/>
  <c r="X230" i="11"/>
  <c r="Y230" i="11" s="1"/>
  <c r="Z230" i="11" s="1"/>
  <c r="AF230" i="11" s="1"/>
  <c r="X229" i="11"/>
  <c r="Y229" i="11" s="1"/>
  <c r="Z229" i="11" s="1"/>
  <c r="AG229" i="11" s="1"/>
  <c r="X163" i="11"/>
  <c r="Y163" i="11" s="1"/>
  <c r="Z163" i="11" s="1"/>
  <c r="AB163" i="11" s="1"/>
  <c r="X155" i="11"/>
  <c r="Y155" i="11" s="1"/>
  <c r="Z155" i="11" s="1"/>
  <c r="AE155" i="11" s="1"/>
  <c r="X94" i="11"/>
  <c r="Y94" i="11" s="1"/>
  <c r="Z94" i="11" s="1"/>
  <c r="Y249" i="11"/>
  <c r="Z249" i="11" s="1"/>
  <c r="AE249" i="11" s="1"/>
  <c r="AE250" i="11"/>
  <c r="X153" i="11"/>
  <c r="Y153" i="11" s="1"/>
  <c r="Z153" i="11" s="1"/>
  <c r="AE153" i="11" s="1"/>
  <c r="X262" i="11"/>
  <c r="Y262" i="11" s="1"/>
  <c r="Z262" i="11" s="1"/>
  <c r="AC262" i="11" s="1"/>
  <c r="X136" i="11"/>
  <c r="R136" i="11" s="1"/>
  <c r="X280" i="11"/>
  <c r="Y280" i="11" s="1"/>
  <c r="Z280" i="11" s="1"/>
  <c r="AB280" i="11" s="1"/>
  <c r="Y227" i="11"/>
  <c r="Z227" i="11" s="1"/>
  <c r="AB227" i="11" s="1"/>
  <c r="AB250" i="11"/>
  <c r="AD250" i="11" s="1"/>
  <c r="X276" i="11"/>
  <c r="Y276" i="11" s="1"/>
  <c r="Z276" i="11" s="1"/>
  <c r="AC276" i="11" s="1"/>
  <c r="X271" i="11"/>
  <c r="Y271" i="11" s="1"/>
  <c r="Z271" i="11" s="1"/>
  <c r="AE271" i="11" s="1"/>
  <c r="AG250" i="11"/>
  <c r="X143" i="11"/>
  <c r="Y279" i="11"/>
  <c r="Z279" i="11" s="1"/>
  <c r="AF279" i="11" s="1"/>
  <c r="AB186" i="11"/>
  <c r="R153" i="11"/>
  <c r="AE232" i="11"/>
  <c r="R162" i="11"/>
  <c r="AB261" i="11"/>
  <c r="Y135" i="11"/>
  <c r="Z135" i="11" s="1"/>
  <c r="AF135" i="11" s="1"/>
  <c r="W282" i="11"/>
  <c r="W288" i="11" s="1"/>
  <c r="X166" i="11"/>
  <c r="R166" i="11" s="1"/>
  <c r="Y147" i="11"/>
  <c r="Z147" i="11" s="1"/>
  <c r="AF147" i="11" s="1"/>
  <c r="Y149" i="11"/>
  <c r="Z149" i="11" s="1"/>
  <c r="AE149" i="11" s="1"/>
  <c r="Y16" i="11"/>
  <c r="Z16" i="11" s="1"/>
  <c r="AF16" i="11" s="1"/>
  <c r="X116" i="11"/>
  <c r="Y116" i="11" s="1"/>
  <c r="Z116" i="11" s="1"/>
  <c r="AE116" i="11" s="1"/>
  <c r="Y253" i="11"/>
  <c r="Z253" i="11" s="1"/>
  <c r="AB253" i="11" s="1"/>
  <c r="AD253" i="11" s="1"/>
  <c r="AG265" i="11"/>
  <c r="AF265" i="11"/>
  <c r="AB260" i="11"/>
  <c r="AD260" i="11" s="1"/>
  <c r="R82" i="11"/>
  <c r="AB266" i="11"/>
  <c r="AD266" i="11" s="1"/>
  <c r="AG266" i="11"/>
  <c r="AG272" i="11"/>
  <c r="Y24" i="11"/>
  <c r="Z24" i="11" s="1"/>
  <c r="AE24" i="11" s="1"/>
  <c r="AB168" i="11"/>
  <c r="AD168" i="11" s="1"/>
  <c r="R148" i="11"/>
  <c r="Y188" i="11"/>
  <c r="Z188" i="11" s="1"/>
  <c r="AC188" i="11" s="1"/>
  <c r="AB270" i="11"/>
  <c r="X255" i="11"/>
  <c r="AG160" i="11"/>
  <c r="AE160" i="11"/>
  <c r="AB160" i="11"/>
  <c r="AD160" i="11" s="1"/>
  <c r="AC93" i="11"/>
  <c r="AB93" i="11"/>
  <c r="AB82" i="11"/>
  <c r="AE82" i="11"/>
  <c r="R19" i="11"/>
  <c r="Y19" i="11"/>
  <c r="Z19" i="11" s="1"/>
  <c r="AG19" i="11" s="1"/>
  <c r="Y75" i="11"/>
  <c r="Z75" i="11" s="1"/>
  <c r="AG75" i="11" s="1"/>
  <c r="AC142" i="11"/>
  <c r="AE270" i="11"/>
  <c r="R154" i="11"/>
  <c r="AC186" i="11"/>
  <c r="X151" i="11"/>
  <c r="AE142" i="11"/>
  <c r="X205" i="11"/>
  <c r="Y120" i="11"/>
  <c r="Z120" i="11" s="1"/>
  <c r="AE266" i="11"/>
  <c r="AC99" i="11"/>
  <c r="AD99" i="11" s="1"/>
  <c r="R142" i="11"/>
  <c r="AE89" i="11"/>
  <c r="AG89" i="11"/>
  <c r="Y107" i="11"/>
  <c r="Z107" i="11" s="1"/>
  <c r="R107" i="11"/>
  <c r="Y74" i="11"/>
  <c r="Z74" i="11" s="1"/>
  <c r="AB74" i="11" s="1"/>
  <c r="R74" i="11"/>
  <c r="AB28" i="11"/>
  <c r="AC28" i="11"/>
  <c r="AG268" i="11"/>
  <c r="AF268" i="11"/>
  <c r="AE268" i="11"/>
  <c r="R137" i="11"/>
  <c r="Y137" i="11"/>
  <c r="Z137" i="11" s="1"/>
  <c r="AF137" i="11" s="1"/>
  <c r="AE99" i="11"/>
  <c r="AF82" i="11"/>
  <c r="AG82" i="11"/>
  <c r="AC82" i="11"/>
  <c r="AI28" i="11"/>
  <c r="AF99" i="11"/>
  <c r="AB273" i="11"/>
  <c r="AD273" i="11" s="1"/>
  <c r="AG273" i="11"/>
  <c r="AI273" i="11" s="1"/>
  <c r="R117" i="11"/>
  <c r="Y117" i="11"/>
  <c r="Z117" i="11" s="1"/>
  <c r="AC117" i="11" s="1"/>
  <c r="AB272" i="11"/>
  <c r="AD272" i="11" s="1"/>
  <c r="AF272" i="11"/>
  <c r="Y171" i="11"/>
  <c r="Z171" i="11" s="1"/>
  <c r="R171" i="11"/>
  <c r="AG274" i="11"/>
  <c r="AG99" i="11"/>
  <c r="AE272" i="11"/>
  <c r="AF274" i="11"/>
  <c r="Y199" i="11"/>
  <c r="Z199" i="11" s="1"/>
  <c r="AF199" i="11" s="1"/>
  <c r="AC232" i="11"/>
  <c r="R161" i="11"/>
  <c r="Y161" i="11"/>
  <c r="Z161" i="11" s="1"/>
  <c r="AE161" i="11" s="1"/>
  <c r="AC270" i="11"/>
  <c r="AG270" i="11"/>
  <c r="AF93" i="11"/>
  <c r="AG93" i="11"/>
  <c r="X172" i="11"/>
  <c r="X152" i="11"/>
  <c r="X150" i="11"/>
  <c r="X86" i="11"/>
  <c r="X85" i="11"/>
  <c r="AF160" i="11"/>
  <c r="AE265" i="11"/>
  <c r="R109" i="11"/>
  <c r="X169" i="11"/>
  <c r="X139" i="11"/>
  <c r="X63" i="11"/>
  <c r="AF164" i="11"/>
  <c r="AE164" i="11"/>
  <c r="AB164" i="11"/>
  <c r="AC164" i="11"/>
  <c r="AG164" i="11"/>
  <c r="AC281" i="11"/>
  <c r="AF281" i="11"/>
  <c r="AB281" i="11"/>
  <c r="AE281" i="11"/>
  <c r="AF109" i="11"/>
  <c r="AC109" i="11"/>
  <c r="AG109" i="11"/>
  <c r="AE109" i="11"/>
  <c r="AB109" i="11"/>
  <c r="AF90" i="11"/>
  <c r="AB90" i="11"/>
  <c r="AE90" i="11"/>
  <c r="AG90" i="11"/>
  <c r="AC90" i="11"/>
  <c r="AG168" i="11"/>
  <c r="AB148" i="11"/>
  <c r="AF89" i="11"/>
  <c r="AF168" i="11"/>
  <c r="AE62" i="11"/>
  <c r="AC154" i="11"/>
  <c r="AD154" i="11" s="1"/>
  <c r="R187" i="1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154" i="11"/>
  <c r="AE154" i="11"/>
  <c r="AF154" i="11"/>
  <c r="Y170" i="11"/>
  <c r="Z170" i="11" s="1"/>
  <c r="R170" i="11"/>
  <c r="AC187" i="11"/>
  <c r="AB187" i="11"/>
  <c r="AB265" i="11"/>
  <c r="AD265" i="11" s="1"/>
  <c r="AE187" i="11"/>
  <c r="AF95" i="11"/>
  <c r="AE93" i="11"/>
  <c r="AB268" i="11"/>
  <c r="AD268" i="11" s="1"/>
  <c r="AE168" i="11"/>
  <c r="Y110" i="11"/>
  <c r="Z110" i="11" s="1"/>
  <c r="AG110" i="11" s="1"/>
  <c r="R29" i="11"/>
  <c r="AE261" i="11"/>
  <c r="AF232" i="11"/>
  <c r="AB232" i="11"/>
  <c r="Y196" i="11"/>
  <c r="Z196" i="11" s="1"/>
  <c r="R196" i="11"/>
  <c r="R168" i="11"/>
  <c r="R281" i="11"/>
  <c r="AF187" i="11"/>
  <c r="R141" i="11"/>
  <c r="Y141" i="11"/>
  <c r="Z141" i="11" s="1"/>
  <c r="AB141" i="11" s="1"/>
  <c r="Y84" i="11"/>
  <c r="Z84" i="11" s="1"/>
  <c r="AF84" i="11" s="1"/>
  <c r="R84" i="11"/>
  <c r="AC148" i="11"/>
  <c r="AG148" i="11"/>
  <c r="AE148" i="11"/>
  <c r="AF62" i="11"/>
  <c r="AG62" i="11"/>
  <c r="AB62" i="11"/>
  <c r="AC62" i="11"/>
  <c r="Y18" i="11"/>
  <c r="Z18" i="11" s="1"/>
  <c r="R18" i="11"/>
  <c r="AF186" i="11"/>
  <c r="AE186" i="11"/>
  <c r="X200" i="11"/>
  <c r="X115" i="11"/>
  <c r="X47" i="11"/>
  <c r="X267" i="11"/>
  <c r="X192" i="11"/>
  <c r="X140" i="11"/>
  <c r="AG260" i="11"/>
  <c r="AF260" i="11"/>
  <c r="AE260" i="11"/>
  <c r="AG29" i="11"/>
  <c r="AF29" i="11"/>
  <c r="AE29" i="11"/>
  <c r="AC29" i="11"/>
  <c r="AB29" i="11"/>
  <c r="AB162" i="11"/>
  <c r="AD162" i="11" s="1"/>
  <c r="AS162" i="11" s="1"/>
  <c r="AG281" i="11"/>
  <c r="AB89" i="11"/>
  <c r="AG202" i="11"/>
  <c r="AB202" i="11"/>
  <c r="AD202" i="11" s="1"/>
  <c r="AF202" i="11"/>
  <c r="AE202" i="11"/>
  <c r="AC202" i="11"/>
  <c r="AS134" i="11"/>
  <c r="AB71" i="11"/>
  <c r="AE71" i="11"/>
  <c r="AC71" i="11"/>
  <c r="AD71" i="11" s="1"/>
  <c r="AF71" i="11"/>
  <c r="AG71" i="11"/>
  <c r="AG37" i="11"/>
  <c r="AF37" i="11"/>
  <c r="AC37" i="11"/>
  <c r="AB37" i="11"/>
  <c r="AE37" i="11"/>
  <c r="AC54" i="11"/>
  <c r="AB54" i="11"/>
  <c r="AD54" i="11" s="1"/>
  <c r="AE54" i="11"/>
  <c r="AF54" i="11"/>
  <c r="AG54" i="11"/>
  <c r="AC89" i="11"/>
  <c r="AB44" i="11"/>
  <c r="AD44" i="11" s="1"/>
  <c r="AG44" i="11"/>
  <c r="AE44" i="11"/>
  <c r="AF44" i="11"/>
  <c r="AB228" i="11"/>
  <c r="AF228" i="11"/>
  <c r="AG228" i="11"/>
  <c r="AE228" i="11"/>
  <c r="AC228" i="11"/>
  <c r="AD228" i="11" s="1"/>
  <c r="AC22" i="11"/>
  <c r="AB22" i="11"/>
  <c r="AD22" i="11" s="1"/>
  <c r="AE22" i="11"/>
  <c r="AF22" i="11"/>
  <c r="AG22" i="11"/>
  <c r="AB33" i="11"/>
  <c r="AC33" i="11"/>
  <c r="AF33" i="11"/>
  <c r="AE33" i="11"/>
  <c r="AG33" i="11"/>
  <c r="AC244" i="11"/>
  <c r="AD244" i="11" s="1"/>
  <c r="AE244" i="11"/>
  <c r="AB244" i="11"/>
  <c r="AG244" i="11"/>
  <c r="AF244" i="11"/>
  <c r="AE48" i="11"/>
  <c r="AG48" i="11"/>
  <c r="AF48" i="11"/>
  <c r="AC48" i="11"/>
  <c r="AD48" i="11" s="1"/>
  <c r="AB48" i="11"/>
  <c r="AG46" i="11"/>
  <c r="AB46" i="11"/>
  <c r="AD46" i="11" s="1"/>
  <c r="AF46" i="11"/>
  <c r="AE46" i="11"/>
  <c r="AI46" i="11" s="1"/>
  <c r="AC46" i="11"/>
  <c r="AF77" i="11"/>
  <c r="AE77" i="11"/>
  <c r="AC77" i="11"/>
  <c r="AG77" i="11"/>
  <c r="AB77" i="11"/>
  <c r="AD77" i="11" s="1"/>
  <c r="AC38" i="11"/>
  <c r="AB38" i="11"/>
  <c r="AG38" i="11"/>
  <c r="AE38" i="11"/>
  <c r="AF38" i="11"/>
  <c r="AQ14" i="11"/>
  <c r="AF21" i="11"/>
  <c r="AG21" i="11"/>
  <c r="AB21" i="11"/>
  <c r="AD21" i="11" s="1"/>
  <c r="AC21" i="11"/>
  <c r="AE21" i="11"/>
  <c r="AB39" i="11"/>
  <c r="AD39" i="11" s="1"/>
  <c r="AF39" i="11"/>
  <c r="AG39" i="11"/>
  <c r="AE39" i="11"/>
  <c r="AS195" i="11"/>
  <c r="AS208" i="11"/>
  <c r="AG215" i="11"/>
  <c r="AE215" i="11"/>
  <c r="AB215" i="11"/>
  <c r="AF215" i="11"/>
  <c r="AC215" i="11"/>
  <c r="AB35" i="11"/>
  <c r="AG35" i="11"/>
  <c r="AF35" i="11"/>
  <c r="AC35" i="11"/>
  <c r="AE35" i="11"/>
  <c r="AS263" i="11"/>
  <c r="AF17" i="11"/>
  <c r="AB17" i="11"/>
  <c r="AG17" i="11"/>
  <c r="AC17" i="11"/>
  <c r="AE17" i="11"/>
  <c r="AF20" i="11"/>
  <c r="AC20" i="11"/>
  <c r="AB20" i="11"/>
  <c r="AD20" i="11" s="1"/>
  <c r="AE20" i="11"/>
  <c r="AI20" i="11" s="1"/>
  <c r="AG20" i="11"/>
  <c r="Y15" i="11"/>
  <c r="R33" i="11"/>
  <c r="Y32" i="11"/>
  <c r="Z32" i="11" s="1"/>
  <c r="AE274" i="11"/>
  <c r="AC274" i="11"/>
  <c r="AD274" i="11" s="1"/>
  <c r="Y114" i="11"/>
  <c r="Y130" i="11"/>
  <c r="Z130" i="11" s="1"/>
  <c r="Y223" i="11"/>
  <c r="Z223" i="11" s="1"/>
  <c r="R220" i="11"/>
  <c r="Y56" i="11"/>
  <c r="Z56" i="11" s="1"/>
  <c r="Y189" i="11"/>
  <c r="Z189" i="11" s="1"/>
  <c r="Y183" i="11"/>
  <c r="Z183" i="11" s="1"/>
  <c r="AB249" i="11"/>
  <c r="R160" i="11"/>
  <c r="R224" i="11"/>
  <c r="Y224" i="11"/>
  <c r="Z224" i="11" s="1"/>
  <c r="R258" i="11"/>
  <c r="Y258" i="11"/>
  <c r="Z258" i="11" s="1"/>
  <c r="R16" i="10"/>
  <c r="AH288" i="11"/>
  <c r="X259" i="11"/>
  <c r="Y259" i="11" s="1"/>
  <c r="Z259" i="11" s="1"/>
  <c r="Y256" i="11"/>
  <c r="Z256" i="11" s="1"/>
  <c r="X241" i="11"/>
  <c r="Y241" i="11" s="1"/>
  <c r="Z241" i="11" s="1"/>
  <c r="AN185" i="11"/>
  <c r="AP185" i="11" s="1"/>
  <c r="AQ185" i="11" s="1"/>
  <c r="X181" i="11"/>
  <c r="Y181" i="11" s="1"/>
  <c r="Z181" i="11" s="1"/>
  <c r="AN181" i="11"/>
  <c r="AP181" i="11" s="1"/>
  <c r="AQ181" i="11" s="1"/>
  <c r="X251" i="11"/>
  <c r="Y251" i="11" s="1"/>
  <c r="Z251" i="11" s="1"/>
  <c r="AN241" i="11"/>
  <c r="AP241" i="11" s="1"/>
  <c r="AQ241" i="11" s="1"/>
  <c r="Y211" i="11"/>
  <c r="Z211" i="11" s="1"/>
  <c r="X203" i="11"/>
  <c r="R203" i="11" s="1"/>
  <c r="AN203" i="11"/>
  <c r="AP203" i="11" s="1"/>
  <c r="AQ203" i="11" s="1"/>
  <c r="R133" i="11"/>
  <c r="BA17" i="10"/>
  <c r="BA18" i="10" s="1"/>
  <c r="AN225" i="11"/>
  <c r="AP225" i="11" s="1"/>
  <c r="AQ225" i="11" s="1"/>
  <c r="Y225" i="11"/>
  <c r="Z225" i="11" s="1"/>
  <c r="X212" i="11"/>
  <c r="R212" i="11" s="1"/>
  <c r="AN212" i="11"/>
  <c r="AP212" i="11" s="1"/>
  <c r="AQ212" i="11" s="1"/>
  <c r="X206" i="11"/>
  <c r="R206" i="11" s="1"/>
  <c r="AN206" i="11"/>
  <c r="AP206" i="11" s="1"/>
  <c r="AQ206" i="11" s="1"/>
  <c r="R204" i="11"/>
  <c r="Y204" i="11"/>
  <c r="Z204" i="11" s="1"/>
  <c r="X204" i="11"/>
  <c r="AN204" i="11"/>
  <c r="AP204" i="11" s="1"/>
  <c r="AQ204" i="11" s="1"/>
  <c r="X184" i="11"/>
  <c r="R184" i="11" s="1"/>
  <c r="AN184" i="11"/>
  <c r="AP184" i="11" s="1"/>
  <c r="AQ184" i="11" s="1"/>
  <c r="X133" i="11"/>
  <c r="Y133" i="11" s="1"/>
  <c r="Z133" i="11" s="1"/>
  <c r="X132" i="11"/>
  <c r="Y132" i="11" s="1"/>
  <c r="Z132" i="11" s="1"/>
  <c r="AN132" i="11"/>
  <c r="AP132" i="11" s="1"/>
  <c r="AQ132" i="11" s="1"/>
  <c r="Y131" i="11"/>
  <c r="Z131" i="11" s="1"/>
  <c r="AN131" i="11"/>
  <c r="AP131" i="11" s="1"/>
  <c r="AQ131" i="11" s="1"/>
  <c r="X122" i="11"/>
  <c r="Y122" i="11" s="1"/>
  <c r="Z122" i="11" s="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N116" i="11"/>
  <c r="AP116" i="11" s="1"/>
  <c r="AN83" i="11"/>
  <c r="AP83" i="11" s="1"/>
  <c r="AQ83" i="11" s="1"/>
  <c r="AS83" i="11" s="1"/>
  <c r="R83" i="11"/>
  <c r="AN78" i="11"/>
  <c r="AP78" i="11" s="1"/>
  <c r="AQ78" i="11" s="1"/>
  <c r="AN64" i="11"/>
  <c r="AP64" i="11" s="1"/>
  <c r="AQ64" i="11" s="1"/>
  <c r="R64" i="11"/>
  <c r="Y57" i="11"/>
  <c r="Z57" i="11" s="1"/>
  <c r="R57" i="11"/>
  <c r="AN51" i="11"/>
  <c r="AP51" i="11" s="1"/>
  <c r="AQ51" i="11" s="1"/>
  <c r="Y51" i="11"/>
  <c r="Z51" i="11" s="1"/>
  <c r="R51" i="11"/>
  <c r="AN42" i="11"/>
  <c r="AP42" i="11" s="1"/>
  <c r="AQ42"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AN86" i="11"/>
  <c r="AP86" i="11" s="1"/>
  <c r="AQ86" i="11" s="1"/>
  <c r="AN63" i="11"/>
  <c r="AP63" i="11" s="1"/>
  <c r="AQ63" i="11" s="1"/>
  <c r="AN47" i="11"/>
  <c r="AP47" i="11" s="1"/>
  <c r="AQ47" i="11" s="1"/>
  <c r="X40" i="11"/>
  <c r="Y40" i="11" s="1"/>
  <c r="Z40" i="11" s="1"/>
  <c r="Y31" i="11" l="1"/>
  <c r="Z31" i="11" s="1"/>
  <c r="AF31" i="11" s="1"/>
  <c r="AB153" i="11"/>
  <c r="AD153" i="11" s="1"/>
  <c r="Y53" i="11"/>
  <c r="Z53" i="11" s="1"/>
  <c r="AE53" i="11" s="1"/>
  <c r="R264" i="11"/>
  <c r="AE263" i="15"/>
  <c r="AE149" i="15"/>
  <c r="AB275" i="11"/>
  <c r="AC254" i="11"/>
  <c r="AD254" i="11" s="1"/>
  <c r="AE254" i="11"/>
  <c r="Y257" i="11"/>
  <c r="Z257" i="11" s="1"/>
  <c r="AC257" i="11" s="1"/>
  <c r="AB229" i="11"/>
  <c r="AD229" i="11" s="1"/>
  <c r="AE229" i="11"/>
  <c r="AB254" i="11"/>
  <c r="AC275" i="11"/>
  <c r="AF229" i="11"/>
  <c r="Y14" i="11"/>
  <c r="Z14" i="11" s="1"/>
  <c r="AE14" i="11" s="1"/>
  <c r="R30" i="11"/>
  <c r="AF254" i="11"/>
  <c r="AF275" i="11"/>
  <c r="Y156" i="11"/>
  <c r="Z156" i="11" s="1"/>
  <c r="AB156" i="11" s="1"/>
  <c r="AE275" i="11"/>
  <c r="AE238" i="15"/>
  <c r="AE139" i="15"/>
  <c r="AJ164" i="15"/>
  <c r="AT164" i="15" s="1"/>
  <c r="AE272" i="15"/>
  <c r="AJ149" i="15"/>
  <c r="AT149" i="15" s="1"/>
  <c r="AE275" i="15"/>
  <c r="AJ86" i="15"/>
  <c r="AT86" i="15" s="1"/>
  <c r="AJ250" i="15"/>
  <c r="AE271" i="15"/>
  <c r="AF108" i="15"/>
  <c r="AC108" i="15"/>
  <c r="AE108" i="15" s="1"/>
  <c r="AH108" i="15"/>
  <c r="AG108" i="15"/>
  <c r="AH124" i="15"/>
  <c r="AG124" i="15"/>
  <c r="AD124" i="15"/>
  <c r="AC124" i="15"/>
  <c r="AF124" i="15"/>
  <c r="S83" i="15"/>
  <c r="Y283" i="15"/>
  <c r="Y289" i="15" s="1"/>
  <c r="Z83" i="15"/>
  <c r="AD113" i="15"/>
  <c r="AC113" i="15"/>
  <c r="AG113" i="15"/>
  <c r="AH113" i="15"/>
  <c r="AF113" i="15"/>
  <c r="AG133" i="15"/>
  <c r="AC133" i="15"/>
  <c r="AD133" i="15"/>
  <c r="AF133" i="15"/>
  <c r="AH133" i="15"/>
  <c r="AF27" i="15"/>
  <c r="AC27" i="15"/>
  <c r="AD27" i="15"/>
  <c r="AH27" i="15"/>
  <c r="AG27" i="15"/>
  <c r="S29" i="15"/>
  <c r="Z29" i="15"/>
  <c r="AA29" i="15" s="1"/>
  <c r="AD137" i="15"/>
  <c r="AF137" i="15"/>
  <c r="AH137" i="15"/>
  <c r="AG137" i="15"/>
  <c r="AC137" i="15"/>
  <c r="AC109" i="15"/>
  <c r="AH109" i="15"/>
  <c r="AG109" i="15"/>
  <c r="AD109" i="15"/>
  <c r="AF109" i="15"/>
  <c r="AA15" i="15"/>
  <c r="Z73" i="15"/>
  <c r="AC101" i="15"/>
  <c r="AE101" i="15" s="1"/>
  <c r="AG101" i="15"/>
  <c r="AH101" i="15"/>
  <c r="AF101" i="15"/>
  <c r="AH99" i="15"/>
  <c r="AF99" i="15"/>
  <c r="AG99" i="15"/>
  <c r="AC99" i="15"/>
  <c r="AD99" i="15"/>
  <c r="AJ271" i="15"/>
  <c r="AC118" i="15"/>
  <c r="AH118" i="15"/>
  <c r="AF118" i="15"/>
  <c r="AD118" i="15"/>
  <c r="AG118" i="15"/>
  <c r="AH132" i="15"/>
  <c r="AF132" i="15"/>
  <c r="AG132" i="15"/>
  <c r="AC132" i="15"/>
  <c r="AE132" i="15" s="1"/>
  <c r="AG93" i="15"/>
  <c r="AF93" i="15"/>
  <c r="AD93" i="15"/>
  <c r="AC93" i="15"/>
  <c r="AH93" i="15"/>
  <c r="AF123" i="15"/>
  <c r="AH123" i="15"/>
  <c r="AG123" i="15"/>
  <c r="AC123" i="15"/>
  <c r="AD123" i="15"/>
  <c r="AG95" i="15"/>
  <c r="AC95" i="15"/>
  <c r="AD95" i="15"/>
  <c r="AH95" i="15"/>
  <c r="AF95" i="15"/>
  <c r="S73" i="15"/>
  <c r="S287" i="15" s="1"/>
  <c r="S290" i="15" s="1"/>
  <c r="AJ272" i="15"/>
  <c r="AD24" i="15"/>
  <c r="AF24" i="15"/>
  <c r="AC24" i="15"/>
  <c r="AH24" i="15"/>
  <c r="AG24" i="15"/>
  <c r="AC85" i="15"/>
  <c r="AH85" i="15"/>
  <c r="AD85" i="15"/>
  <c r="AG85" i="15"/>
  <c r="AF85" i="15"/>
  <c r="AG98" i="15"/>
  <c r="AF98" i="15"/>
  <c r="AD98" i="15"/>
  <c r="AC98" i="15"/>
  <c r="AH98" i="15"/>
  <c r="AH104" i="15"/>
  <c r="AG104" i="15"/>
  <c r="AF104" i="15"/>
  <c r="AD104" i="15"/>
  <c r="AC104" i="15"/>
  <c r="AD129" i="15"/>
  <c r="AH129" i="15"/>
  <c r="AG129" i="15"/>
  <c r="AF129" i="15"/>
  <c r="AC129" i="15"/>
  <c r="AE129" i="15" s="1"/>
  <c r="AD102" i="15"/>
  <c r="AC102" i="15"/>
  <c r="AF102" i="15"/>
  <c r="AG102" i="15"/>
  <c r="AH102" i="15"/>
  <c r="AG135" i="15"/>
  <c r="AF135" i="15"/>
  <c r="AH135" i="15"/>
  <c r="AC135" i="15"/>
  <c r="AD135" i="15"/>
  <c r="AG136" i="15"/>
  <c r="AF136" i="15"/>
  <c r="AD136" i="15"/>
  <c r="AH136" i="15"/>
  <c r="AC136" i="15"/>
  <c r="AF26" i="15"/>
  <c r="AG26" i="15"/>
  <c r="AH26" i="15"/>
  <c r="AC26" i="15"/>
  <c r="AE26" i="15" s="1"/>
  <c r="AG125" i="15"/>
  <c r="AD125" i="15"/>
  <c r="AH125" i="15"/>
  <c r="AF125" i="15"/>
  <c r="AC125" i="15"/>
  <c r="AG111" i="15"/>
  <c r="AD111" i="15"/>
  <c r="AC111" i="15"/>
  <c r="AF111" i="15"/>
  <c r="AH111" i="15"/>
  <c r="AH115" i="15"/>
  <c r="AG115" i="15"/>
  <c r="AF115" i="15"/>
  <c r="AC115" i="15"/>
  <c r="AE115" i="15" s="1"/>
  <c r="Y73" i="15"/>
  <c r="AG97" i="15"/>
  <c r="AF97" i="15"/>
  <c r="AH97" i="15"/>
  <c r="AC97" i="15"/>
  <c r="AE97" i="15" s="1"/>
  <c r="AH121" i="15"/>
  <c r="AG121" i="15"/>
  <c r="AF121" i="15"/>
  <c r="AC121" i="15"/>
  <c r="AE121" i="15" s="1"/>
  <c r="AG94" i="15"/>
  <c r="AH94" i="15"/>
  <c r="AF94" i="15"/>
  <c r="AC94" i="15"/>
  <c r="AE94" i="15" s="1"/>
  <c r="AC117" i="15"/>
  <c r="AH117" i="15"/>
  <c r="AG117" i="15"/>
  <c r="AF117" i="15"/>
  <c r="AD117" i="15"/>
  <c r="AJ186" i="15"/>
  <c r="AT186" i="15" s="1"/>
  <c r="AF106" i="15"/>
  <c r="AG106" i="15"/>
  <c r="AH106" i="15"/>
  <c r="AC106" i="15"/>
  <c r="AE106" i="15" s="1"/>
  <c r="AH105" i="15"/>
  <c r="AG105" i="15"/>
  <c r="AF105" i="15"/>
  <c r="AD105" i="15"/>
  <c r="AC105" i="15"/>
  <c r="AJ139" i="15"/>
  <c r="AG88" i="15"/>
  <c r="AH88" i="15"/>
  <c r="AF88" i="15"/>
  <c r="AD88" i="15"/>
  <c r="AC88" i="15"/>
  <c r="AD112" i="15"/>
  <c r="AG112" i="15"/>
  <c r="AC112" i="15"/>
  <c r="AH112" i="15"/>
  <c r="AF112" i="15"/>
  <c r="AF92" i="15"/>
  <c r="AD92" i="15"/>
  <c r="AC92" i="15"/>
  <c r="AH92" i="15"/>
  <c r="AG92" i="15"/>
  <c r="AC89" i="15"/>
  <c r="AE89" i="15" s="1"/>
  <c r="AH89" i="15"/>
  <c r="AG89" i="15"/>
  <c r="AF89" i="15"/>
  <c r="AH103" i="15"/>
  <c r="AG103" i="15"/>
  <c r="AF103" i="15"/>
  <c r="AD103" i="15"/>
  <c r="AC103" i="15"/>
  <c r="AJ116" i="15"/>
  <c r="AT116" i="15" s="1"/>
  <c r="AJ263" i="15"/>
  <c r="AT263" i="15" s="1"/>
  <c r="AF122" i="15"/>
  <c r="AH122" i="15"/>
  <c r="AC122" i="15"/>
  <c r="AD122" i="15"/>
  <c r="AG122" i="15"/>
  <c r="AG119" i="15"/>
  <c r="AF119" i="15"/>
  <c r="AC119" i="15"/>
  <c r="AE119" i="15" s="1"/>
  <c r="AH119" i="15"/>
  <c r="AC126" i="15"/>
  <c r="AD126" i="15"/>
  <c r="AF126" i="15"/>
  <c r="AG126" i="15"/>
  <c r="AH126" i="15"/>
  <c r="AD87" i="15"/>
  <c r="AC87" i="15"/>
  <c r="AH87" i="15"/>
  <c r="AG87" i="15"/>
  <c r="AF87" i="15"/>
  <c r="S283" i="15"/>
  <c r="AD90" i="15"/>
  <c r="AF90" i="15"/>
  <c r="AC90" i="15"/>
  <c r="AH90" i="15"/>
  <c r="AG90" i="15"/>
  <c r="AH107" i="15"/>
  <c r="AG107" i="15"/>
  <c r="AF107" i="15"/>
  <c r="AD107" i="15"/>
  <c r="AC107" i="15"/>
  <c r="AC22" i="15"/>
  <c r="AG22" i="15"/>
  <c r="AH22" i="15"/>
  <c r="AD22" i="15"/>
  <c r="AF22" i="15"/>
  <c r="AF114" i="15"/>
  <c r="AC114" i="15"/>
  <c r="AE114" i="15" s="1"/>
  <c r="AH114" i="15"/>
  <c r="AG114" i="15"/>
  <c r="AJ275" i="15"/>
  <c r="AF120" i="15"/>
  <c r="AC120" i="15"/>
  <c r="AE120" i="15" s="1"/>
  <c r="AG120" i="15"/>
  <c r="AH120" i="15"/>
  <c r="AG96" i="15"/>
  <c r="AF96" i="15"/>
  <c r="AH96" i="15"/>
  <c r="AC96" i="15"/>
  <c r="AE96" i="15" s="1"/>
  <c r="AE250" i="15"/>
  <c r="AT250" i="15" s="1"/>
  <c r="AG128" i="15"/>
  <c r="AF128" i="15"/>
  <c r="AD128" i="15"/>
  <c r="AC128" i="15"/>
  <c r="AH128" i="15"/>
  <c r="AJ238" i="15"/>
  <c r="AU64" i="15"/>
  <c r="A65" i="15"/>
  <c r="AF278" i="11"/>
  <c r="AC278" i="11"/>
  <c r="AD278" i="11" s="1"/>
  <c r="AE278" i="11"/>
  <c r="AG278" i="11"/>
  <c r="AG27" i="11"/>
  <c r="AE27" i="11"/>
  <c r="AB27" i="11"/>
  <c r="AD27" i="11" s="1"/>
  <c r="R27" i="11"/>
  <c r="AE210" i="11"/>
  <c r="AB210" i="11"/>
  <c r="AF210" i="11"/>
  <c r="AC210" i="11"/>
  <c r="AG210" i="11"/>
  <c r="AQ18" i="10"/>
  <c r="AO19" i="10"/>
  <c r="Y19" i="10"/>
  <c r="Z14" i="10"/>
  <c r="AI68" i="11"/>
  <c r="AS68" i="11" s="1"/>
  <c r="AD17" i="11"/>
  <c r="R217" i="11"/>
  <c r="AS226" i="11"/>
  <c r="AS246" i="11"/>
  <c r="AS104" i="11"/>
  <c r="X19" i="10"/>
  <c r="AD49" i="11"/>
  <c r="AS49" i="11" s="1"/>
  <c r="AI129" i="11"/>
  <c r="AI58" i="11"/>
  <c r="AS58" i="11" s="1"/>
  <c r="Y240" i="11"/>
  <c r="Z240" i="11" s="1"/>
  <c r="R240" i="11"/>
  <c r="AF264" i="11"/>
  <c r="Y81" i="11"/>
  <c r="Z81" i="11" s="1"/>
  <c r="R81" i="11"/>
  <c r="AB216" i="11"/>
  <c r="AD216" i="11" s="1"/>
  <c r="AF216" i="11"/>
  <c r="AE216" i="11"/>
  <c r="AG216" i="11"/>
  <c r="AC216" i="11"/>
  <c r="AS221" i="11"/>
  <c r="AC112" i="11"/>
  <c r="AG112" i="11"/>
  <c r="AE112" i="11"/>
  <c r="AB112" i="11"/>
  <c r="AD112" i="11" s="1"/>
  <c r="AF112" i="11"/>
  <c r="AS45" i="11"/>
  <c r="AI72" i="11"/>
  <c r="AS72" i="11" s="1"/>
  <c r="AG239" i="11"/>
  <c r="AF239" i="11"/>
  <c r="Y206" i="11"/>
  <c r="Z206" i="11" s="1"/>
  <c r="Y203" i="11"/>
  <c r="Z203" i="11" s="1"/>
  <c r="R19" i="10"/>
  <c r="AD33" i="11"/>
  <c r="Y237" i="11"/>
  <c r="Z237" i="11" s="1"/>
  <c r="AE237" i="11" s="1"/>
  <c r="AE239" i="11"/>
  <c r="R121" i="11"/>
  <c r="Y121" i="11"/>
  <c r="Z121" i="11" s="1"/>
  <c r="AS96" i="11"/>
  <c r="AI124" i="11"/>
  <c r="AS124" i="11" s="1"/>
  <c r="AD70" i="11"/>
  <c r="AS70" i="11" s="1"/>
  <c r="AI194" i="11"/>
  <c r="AS194" i="11" s="1"/>
  <c r="AI103" i="11"/>
  <c r="AS103" i="11" s="1"/>
  <c r="AD129" i="11"/>
  <c r="AS129" i="11" s="1"/>
  <c r="AI207" i="11"/>
  <c r="AS207" i="11" s="1"/>
  <c r="R229" i="11"/>
  <c r="AF179" i="11"/>
  <c r="AE179" i="11"/>
  <c r="AI179" i="11" s="1"/>
  <c r="AB179" i="11"/>
  <c r="AG179" i="11"/>
  <c r="AC179" i="11"/>
  <c r="R245" i="11"/>
  <c r="Y245" i="11"/>
  <c r="Z245" i="11" s="1"/>
  <c r="AF177" i="11"/>
  <c r="AB177" i="11"/>
  <c r="AD177" i="11"/>
  <c r="AE177" i="11"/>
  <c r="AG177" i="11"/>
  <c r="AI80" i="11"/>
  <c r="AS80" i="11" s="1"/>
  <c r="AS111" i="11"/>
  <c r="AB214" i="11"/>
  <c r="AD214" i="11" s="1"/>
  <c r="AS214" i="11" s="1"/>
  <c r="AC214" i="11"/>
  <c r="AF214" i="11"/>
  <c r="AG214" i="11"/>
  <c r="AE214" i="11"/>
  <c r="AI214" i="11" s="1"/>
  <c r="R247" i="11"/>
  <c r="Y247" i="11"/>
  <c r="Z247" i="11" s="1"/>
  <c r="AF269" i="11"/>
  <c r="AI35" i="11"/>
  <c r="AD35" i="11"/>
  <c r="AS35" i="11" s="1"/>
  <c r="AI44" i="11"/>
  <c r="AS44" i="11" s="1"/>
  <c r="AG269" i="11"/>
  <c r="AG264" i="11"/>
  <c r="AE264" i="11"/>
  <c r="AG198" i="11"/>
  <c r="AE198" i="11"/>
  <c r="AF198" i="11"/>
  <c r="AC198" i="11"/>
  <c r="AB198" i="11"/>
  <c r="AI221" i="11"/>
  <c r="AU17" i="10"/>
  <c r="AD98" i="11"/>
  <c r="AS98" i="11" s="1"/>
  <c r="AI67" i="11"/>
  <c r="AS67" i="11" s="1"/>
  <c r="AB239" i="11"/>
  <c r="AD239" i="11" s="1"/>
  <c r="AS59" i="11"/>
  <c r="AE222" i="11"/>
  <c r="AC222" i="11"/>
  <c r="AF222" i="11"/>
  <c r="AG222" i="11"/>
  <c r="AI222" i="11" s="1"/>
  <c r="AS222" i="11" s="1"/>
  <c r="AB222" i="11"/>
  <c r="AD222" i="11"/>
  <c r="AS123" i="11"/>
  <c r="R238" i="11"/>
  <c r="AB264" i="11"/>
  <c r="AD264" i="11" s="1"/>
  <c r="Y41" i="11"/>
  <c r="Z41" i="11" s="1"/>
  <c r="AG41" i="11" s="1"/>
  <c r="Y212" i="11"/>
  <c r="Z212" i="11" s="1"/>
  <c r="AI22" i="11"/>
  <c r="AD37" i="11"/>
  <c r="AB269" i="11"/>
  <c r="R254" i="11"/>
  <c r="AH18" i="10"/>
  <c r="AG18" i="10"/>
  <c r="AF18" i="10"/>
  <c r="AJ18" i="10" s="1"/>
  <c r="AC18" i="10"/>
  <c r="AB18" i="10"/>
  <c r="AD18" i="10" s="1"/>
  <c r="Y197" i="11"/>
  <c r="Z197" i="11" s="1"/>
  <c r="R197" i="11"/>
  <c r="Y119" i="11"/>
  <c r="Z119" i="11" s="1"/>
  <c r="R119" i="11"/>
  <c r="Y52" i="11"/>
  <c r="Z52" i="11" s="1"/>
  <c r="AS127" i="11"/>
  <c r="AI182" i="11"/>
  <c r="AS182" i="11" s="1"/>
  <c r="R177" i="11"/>
  <c r="AI209" i="11"/>
  <c r="AS209" i="11" s="1"/>
  <c r="AI113" i="11"/>
  <c r="AS113" i="11" s="1"/>
  <c r="AS42" i="11"/>
  <c r="S87" i="11"/>
  <c r="S286" i="11" s="1"/>
  <c r="S289" i="11" s="1"/>
  <c r="T286" i="11"/>
  <c r="AD201" i="11"/>
  <c r="AS201" i="11" s="1"/>
  <c r="AS46" i="11"/>
  <c r="AI202" i="11"/>
  <c r="AS202" i="11" s="1"/>
  <c r="Y79" i="11"/>
  <c r="Z79" i="11" s="1"/>
  <c r="R79" i="11"/>
  <c r="AE105" i="11"/>
  <c r="AF105" i="11"/>
  <c r="AG105" i="11"/>
  <c r="AB105" i="11"/>
  <c r="AD105" i="11" s="1"/>
  <c r="AF175" i="11"/>
  <c r="AE175" i="11"/>
  <c r="AG175" i="11"/>
  <c r="AB175" i="11"/>
  <c r="AD175" i="11" s="1"/>
  <c r="AJ15" i="10"/>
  <c r="AU15" i="10" s="1"/>
  <c r="AS185" i="11"/>
  <c r="AI17" i="11"/>
  <c r="AD215" i="11"/>
  <c r="AD38" i="11"/>
  <c r="Y235" i="11"/>
  <c r="Z235" i="11" s="1"/>
  <c r="R235" i="11"/>
  <c r="AB243" i="11"/>
  <c r="AD243" i="11" s="1"/>
  <c r="AF243" i="11"/>
  <c r="AC243" i="11"/>
  <c r="AG243" i="11"/>
  <c r="AE243" i="11"/>
  <c r="AD78" i="11"/>
  <c r="AS78" i="11" s="1"/>
  <c r="AI201" i="11"/>
  <c r="T283" i="11"/>
  <c r="T289" i="11" s="1"/>
  <c r="T288" i="11"/>
  <c r="AI213" i="11"/>
  <c r="AS213" i="11" s="1"/>
  <c r="AG144" i="11"/>
  <c r="AF158" i="11"/>
  <c r="AB277" i="11"/>
  <c r="AD277" i="11" s="1"/>
  <c r="AG277" i="11"/>
  <c r="AC269" i="11"/>
  <c r="R163" i="11"/>
  <c r="AF155" i="11"/>
  <c r="AG227" i="11"/>
  <c r="AG249" i="11"/>
  <c r="AE230" i="11"/>
  <c r="AF249" i="11"/>
  <c r="AG276" i="11"/>
  <c r="AC249" i="11"/>
  <c r="AD249" i="11" s="1"/>
  <c r="AG53" i="11"/>
  <c r="Y165" i="11"/>
  <c r="Z165" i="11" s="1"/>
  <c r="AB165" i="11" s="1"/>
  <c r="AG158" i="11"/>
  <c r="AC155" i="11"/>
  <c r="AE144" i="11"/>
  <c r="AF277" i="11"/>
  <c r="AB155" i="11"/>
  <c r="AG230" i="11"/>
  <c r="AB158" i="11"/>
  <c r="AD158" i="11" s="1"/>
  <c r="AB230" i="11"/>
  <c r="AD230" i="11" s="1"/>
  <c r="AG155" i="11"/>
  <c r="AE158" i="11"/>
  <c r="R158" i="11"/>
  <c r="AF144" i="11"/>
  <c r="AE277" i="11"/>
  <c r="R155" i="11"/>
  <c r="Y23" i="11"/>
  <c r="Z23" i="11" s="1"/>
  <c r="R23" i="11"/>
  <c r="R146" i="11"/>
  <c r="Y146" i="11"/>
  <c r="Z146" i="11" s="1"/>
  <c r="R138" i="11"/>
  <c r="Y138" i="11"/>
  <c r="Z138" i="11" s="1"/>
  <c r="AG147" i="11"/>
  <c r="AG271" i="11"/>
  <c r="AB19" i="11"/>
  <c r="AF276" i="11"/>
  <c r="AC227" i="11"/>
  <c r="AD227" i="11" s="1"/>
  <c r="AE227" i="11"/>
  <c r="AF262" i="11"/>
  <c r="AF227" i="11"/>
  <c r="AB262" i="11"/>
  <c r="AD262" i="11" s="1"/>
  <c r="AG262" i="11"/>
  <c r="AB276" i="11"/>
  <c r="AD276" i="11" s="1"/>
  <c r="AE276" i="11"/>
  <c r="AE262" i="11"/>
  <c r="AC31" i="11"/>
  <c r="Y136" i="11"/>
  <c r="Z136" i="11" s="1"/>
  <c r="AB136" i="11" s="1"/>
  <c r="AI250" i="11"/>
  <c r="AS250" i="11" s="1"/>
  <c r="AF153" i="11"/>
  <c r="AF161" i="11"/>
  <c r="AG153" i="11"/>
  <c r="AF167" i="11"/>
  <c r="R280" i="11"/>
  <c r="AE280" i="11"/>
  <c r="AF280" i="11"/>
  <c r="AB271" i="11"/>
  <c r="AC271" i="11"/>
  <c r="AG280" i="11"/>
  <c r="AF271" i="11"/>
  <c r="AC280" i="11"/>
  <c r="AD280" i="11" s="1"/>
  <c r="AB135" i="11"/>
  <c r="AC74" i="11"/>
  <c r="AD74" i="11" s="1"/>
  <c r="AE279" i="11"/>
  <c r="AB279" i="11"/>
  <c r="AC279" i="11"/>
  <c r="AD261" i="11"/>
  <c r="AC16" i="11"/>
  <c r="AD186" i="11"/>
  <c r="AG16" i="11"/>
  <c r="Y166" i="11"/>
  <c r="Z166" i="11" s="1"/>
  <c r="AE166" i="11" s="1"/>
  <c r="Y143" i="11"/>
  <c r="Z143" i="11" s="1"/>
  <c r="R143" i="11"/>
  <c r="AG163" i="11"/>
  <c r="AB137" i="11"/>
  <c r="AD137" i="11" s="1"/>
  <c r="AG279" i="11"/>
  <c r="AI232" i="11"/>
  <c r="AE147" i="11"/>
  <c r="AF163" i="11"/>
  <c r="AB149" i="11"/>
  <c r="AD149" i="11" s="1"/>
  <c r="AG149" i="11"/>
  <c r="AC163" i="11"/>
  <c r="AD163" i="11" s="1"/>
  <c r="AE163" i="11"/>
  <c r="AF75" i="11"/>
  <c r="AE74" i="11"/>
  <c r="AG31" i="11"/>
  <c r="AC135" i="11"/>
  <c r="AE135" i="11"/>
  <c r="AE188" i="11"/>
  <c r="AG238" i="11"/>
  <c r="AB147" i="11"/>
  <c r="AF257" i="11"/>
  <c r="AB161" i="11"/>
  <c r="AF188" i="11"/>
  <c r="AB188" i="11"/>
  <c r="AD188" i="11" s="1"/>
  <c r="AG117" i="11"/>
  <c r="AF238" i="11"/>
  <c r="AC147" i="11"/>
  <c r="AG257" i="11"/>
  <c r="AG188" i="11"/>
  <c r="AG116" i="11"/>
  <c r="AC238" i="11"/>
  <c r="AC110" i="11"/>
  <c r="AI160" i="11"/>
  <c r="AS160" i="11" s="1"/>
  <c r="AG135" i="11"/>
  <c r="AE31" i="11"/>
  <c r="AE16" i="11"/>
  <c r="AB16" i="11"/>
  <c r="AF116" i="11"/>
  <c r="AE253" i="11"/>
  <c r="R116" i="11"/>
  <c r="AB31" i="11"/>
  <c r="AI89" i="11"/>
  <c r="AB116" i="11"/>
  <c r="AD116" i="11" s="1"/>
  <c r="AF253" i="11"/>
  <c r="AE141" i="11"/>
  <c r="AI274" i="11"/>
  <c r="AS274" i="11" s="1"/>
  <c r="AF117" i="11"/>
  <c r="AF110" i="11"/>
  <c r="AD141" i="11"/>
  <c r="AI261" i="11"/>
  <c r="AI265" i="11"/>
  <c r="AS265" i="11" s="1"/>
  <c r="AD270" i="11"/>
  <c r="AF149" i="11"/>
  <c r="AG253" i="11"/>
  <c r="AD29" i="11"/>
  <c r="AI186" i="11"/>
  <c r="AD281" i="11"/>
  <c r="AI82" i="11"/>
  <c r="AI281" i="11"/>
  <c r="AG167" i="11"/>
  <c r="AG141" i="11"/>
  <c r="AB199" i="11"/>
  <c r="AD199" i="11" s="1"/>
  <c r="AI142" i="11"/>
  <c r="AE137" i="11"/>
  <c r="AG161" i="11"/>
  <c r="AF74" i="11"/>
  <c r="AD142" i="11"/>
  <c r="AG74" i="11"/>
  <c r="AB167" i="11"/>
  <c r="AF141" i="11"/>
  <c r="AG137" i="11"/>
  <c r="AD82" i="11"/>
  <c r="AI266" i="11"/>
  <c r="AS266" i="11" s="1"/>
  <c r="Y115" i="11"/>
  <c r="Z115" i="11" s="1"/>
  <c r="AF115" i="11" s="1"/>
  <c r="R115" i="11"/>
  <c r="AE117" i="11"/>
  <c r="AB117" i="11"/>
  <c r="AD117" i="11" s="1"/>
  <c r="AG120" i="11"/>
  <c r="AE120" i="11"/>
  <c r="AB120" i="11"/>
  <c r="AC120" i="11"/>
  <c r="AF120" i="11"/>
  <c r="AG24" i="11"/>
  <c r="AC24" i="11"/>
  <c r="AB24" i="11"/>
  <c r="AF24" i="11"/>
  <c r="AD90" i="11"/>
  <c r="AE110" i="11"/>
  <c r="AC167" i="11"/>
  <c r="AI93" i="11"/>
  <c r="AB238" i="11"/>
  <c r="AB110" i="11"/>
  <c r="AD232" i="11"/>
  <c r="AF19" i="11"/>
  <c r="AC161" i="11"/>
  <c r="AI270" i="11"/>
  <c r="Y255" i="11"/>
  <c r="Z255" i="11" s="1"/>
  <c r="R255" i="11"/>
  <c r="AD62" i="11"/>
  <c r="AD109" i="11"/>
  <c r="AE75" i="11"/>
  <c r="AB75" i="11"/>
  <c r="AD75" i="11" s="1"/>
  <c r="R151" i="11"/>
  <c r="Y151" i="11"/>
  <c r="Z151" i="11" s="1"/>
  <c r="AE19" i="11"/>
  <c r="AC19" i="11"/>
  <c r="AD93" i="11"/>
  <c r="AS273" i="11"/>
  <c r="R205" i="11"/>
  <c r="Y205" i="11"/>
  <c r="Z205" i="11" s="1"/>
  <c r="AD164" i="11"/>
  <c r="Y139" i="11"/>
  <c r="Z139" i="11" s="1"/>
  <c r="R139" i="11"/>
  <c r="Y150" i="11"/>
  <c r="Z150" i="11" s="1"/>
  <c r="R150" i="11"/>
  <c r="AE199" i="11"/>
  <c r="AG199" i="11"/>
  <c r="AI272" i="11"/>
  <c r="AS272" i="11" s="1"/>
  <c r="AI148" i="11"/>
  <c r="AI95" i="11"/>
  <c r="AS95" i="11" s="1"/>
  <c r="AI90" i="11"/>
  <c r="Y169" i="11"/>
  <c r="Z169" i="11" s="1"/>
  <c r="R169" i="11"/>
  <c r="Y152" i="11"/>
  <c r="Z152" i="11" s="1"/>
  <c r="R152" i="11"/>
  <c r="AF171" i="11"/>
  <c r="AG171" i="11"/>
  <c r="AE171" i="11"/>
  <c r="AB171" i="11"/>
  <c r="AD171" i="11" s="1"/>
  <c r="AD28" i="11"/>
  <c r="AS28" i="11" s="1"/>
  <c r="Z100" i="11"/>
  <c r="Z287" i="11" s="1"/>
  <c r="R85" i="11"/>
  <c r="Y85" i="11"/>
  <c r="Z85" i="11" s="1"/>
  <c r="R172" i="11"/>
  <c r="Y172" i="11"/>
  <c r="Z172" i="11" s="1"/>
  <c r="AI99" i="11"/>
  <c r="AS99" i="11" s="1"/>
  <c r="AI268" i="11"/>
  <c r="AS268" i="11" s="1"/>
  <c r="AG107" i="11"/>
  <c r="AC107" i="11"/>
  <c r="AE107" i="11"/>
  <c r="AB107" i="11"/>
  <c r="AF107" i="11"/>
  <c r="Y63" i="11"/>
  <c r="Z63" i="11" s="1"/>
  <c r="R63" i="11"/>
  <c r="Y86" i="11"/>
  <c r="Z86" i="11" s="1"/>
  <c r="R86" i="11"/>
  <c r="AF30" i="11"/>
  <c r="AB30" i="11"/>
  <c r="AG30" i="11"/>
  <c r="AC30" i="11"/>
  <c r="AE30" i="11"/>
  <c r="AI29" i="11"/>
  <c r="R47" i="11"/>
  <c r="Y47" i="11"/>
  <c r="Z4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I260" i="11"/>
  <c r="AS260" i="11" s="1"/>
  <c r="R192" i="11"/>
  <c r="Y192" i="11"/>
  <c r="Z192" i="11" s="1"/>
  <c r="Y200" i="11"/>
  <c r="Z200" i="11" s="1"/>
  <c r="R200" i="11"/>
  <c r="AI187" i="11"/>
  <c r="AD187" i="11"/>
  <c r="AB157" i="11"/>
  <c r="AC157" i="11"/>
  <c r="AE157" i="11"/>
  <c r="AG157" i="11"/>
  <c r="AF157" i="11"/>
  <c r="AC159" i="11"/>
  <c r="AE159" i="11"/>
  <c r="AG159" i="11"/>
  <c r="AB159" i="11"/>
  <c r="AF159" i="11"/>
  <c r="AD148" i="11"/>
  <c r="AI168" i="11"/>
  <c r="AS168" i="11" s="1"/>
  <c r="Y267" i="11"/>
  <c r="Z267" i="11" s="1"/>
  <c r="R267" i="11"/>
  <c r="AE84" i="11"/>
  <c r="AC84" i="11"/>
  <c r="AB84" i="11"/>
  <c r="AG84" i="11"/>
  <c r="AC92" i="11"/>
  <c r="AE92" i="11"/>
  <c r="AF92" i="11"/>
  <c r="AB92" i="11"/>
  <c r="AG92" i="11"/>
  <c r="AC132" i="11"/>
  <c r="AE132" i="11"/>
  <c r="AG132" i="11"/>
  <c r="AB132" i="11"/>
  <c r="AD132" i="11" s="1"/>
  <c r="AF132" i="11"/>
  <c r="AF259" i="11"/>
  <c r="AE259" i="11"/>
  <c r="AC259" i="11"/>
  <c r="AB259" i="11"/>
  <c r="AG259" i="11"/>
  <c r="R73" i="11"/>
  <c r="R40" i="11"/>
  <c r="AC122" i="11"/>
  <c r="AE122" i="11"/>
  <c r="AG122" i="11"/>
  <c r="AB122" i="11"/>
  <c r="AD122" i="11" s="1"/>
  <c r="AF122" i="11"/>
  <c r="AG183" i="11"/>
  <c r="AB183" i="11"/>
  <c r="AF183" i="11"/>
  <c r="AE183" i="11"/>
  <c r="AI183" i="11" s="1"/>
  <c r="AC183" i="11"/>
  <c r="AI244" i="11"/>
  <c r="AP25" i="11"/>
  <c r="AN286" i="11"/>
  <c r="AN289" i="11" s="1"/>
  <c r="AN87" i="11"/>
  <c r="AN283" i="11" s="1"/>
  <c r="AF57" i="11"/>
  <c r="AE57" i="11"/>
  <c r="AB57" i="11"/>
  <c r="AD57" i="11" s="1"/>
  <c r="AC57" i="11"/>
  <c r="AG57" i="11"/>
  <c r="AB61" i="11"/>
  <c r="AD61" i="11" s="1"/>
  <c r="AF61" i="11"/>
  <c r="AC61" i="11"/>
  <c r="AG61" i="11"/>
  <c r="AE61" i="11"/>
  <c r="R122" i="11"/>
  <c r="X282" i="11"/>
  <c r="X288" i="11" s="1"/>
  <c r="Y184" i="11"/>
  <c r="Z184" i="11" s="1"/>
  <c r="AF225" i="11"/>
  <c r="AB225" i="11"/>
  <c r="AD225" i="11" s="1"/>
  <c r="AC225" i="11"/>
  <c r="AE225" i="11"/>
  <c r="AG225" i="11"/>
  <c r="AE211" i="11"/>
  <c r="AG211" i="11"/>
  <c r="AB211" i="11"/>
  <c r="AD211" i="11" s="1"/>
  <c r="AF211" i="11"/>
  <c r="AB241" i="11"/>
  <c r="AD241" i="11" s="1"/>
  <c r="AE241" i="11"/>
  <c r="AG241" i="11"/>
  <c r="AF241" i="11"/>
  <c r="R241" i="11"/>
  <c r="AF189" i="11"/>
  <c r="AG189" i="11"/>
  <c r="AC189" i="11"/>
  <c r="AD189" i="11" s="1"/>
  <c r="AE189" i="11"/>
  <c r="AB189" i="11"/>
  <c r="AB32" i="11"/>
  <c r="AD32" i="11" s="1"/>
  <c r="AG32" i="11"/>
  <c r="AE32" i="11"/>
  <c r="AF32" i="11"/>
  <c r="AI38" i="11"/>
  <c r="AS38" i="11" s="1"/>
  <c r="AI228" i="11"/>
  <c r="AS228" i="11" s="1"/>
  <c r="AB64" i="11"/>
  <c r="AD64" i="11"/>
  <c r="AG64" i="11"/>
  <c r="AC64" i="11"/>
  <c r="AE64" i="11"/>
  <c r="AF64" i="11"/>
  <c r="AF41" i="11"/>
  <c r="AB73" i="11"/>
  <c r="AC73" i="11"/>
  <c r="AD73" i="11"/>
  <c r="AF73" i="11"/>
  <c r="AE73" i="11"/>
  <c r="AG73" i="11"/>
  <c r="AE40" i="11"/>
  <c r="AB40" i="11"/>
  <c r="AD40" i="11" s="1"/>
  <c r="AF40" i="11"/>
  <c r="AG40" i="11"/>
  <c r="AC40" i="11"/>
  <c r="AE94" i="11"/>
  <c r="AF94" i="11"/>
  <c r="AB94" i="11"/>
  <c r="AG94" i="11"/>
  <c r="AC94" i="11"/>
  <c r="AE25" i="11"/>
  <c r="AB25" i="11"/>
  <c r="AC25" i="11"/>
  <c r="AF25" i="11"/>
  <c r="AD25" i="11"/>
  <c r="AG25" i="11"/>
  <c r="AF36" i="11"/>
  <c r="AB36" i="11"/>
  <c r="AD36" i="11" s="1"/>
  <c r="AG36" i="11"/>
  <c r="AE36" i="11"/>
  <c r="AC36" i="11"/>
  <c r="AF51" i="11"/>
  <c r="AC51" i="11"/>
  <c r="AB51" i="11"/>
  <c r="AD51" i="11"/>
  <c r="AE51" i="11"/>
  <c r="AG51" i="11"/>
  <c r="AQ116" i="11"/>
  <c r="AP282" i="11"/>
  <c r="AP288" i="11" s="1"/>
  <c r="X100" i="11"/>
  <c r="X287" i="11" s="1"/>
  <c r="AP92" i="11"/>
  <c r="AN282" i="11"/>
  <c r="AC118" i="11"/>
  <c r="AE118" i="11"/>
  <c r="AB118" i="11"/>
  <c r="AF118" i="11"/>
  <c r="AG118" i="11"/>
  <c r="AD118" i="11"/>
  <c r="AE133" i="11"/>
  <c r="AC133" i="11"/>
  <c r="AD133" i="11" s="1"/>
  <c r="AF133" i="11"/>
  <c r="AG133" i="11"/>
  <c r="R181" i="11"/>
  <c r="R251" i="11"/>
  <c r="AE56" i="11"/>
  <c r="AF56" i="11"/>
  <c r="AB56" i="11"/>
  <c r="AD56" i="11" s="1"/>
  <c r="AC56" i="11"/>
  <c r="AG56" i="11"/>
  <c r="AG223" i="11"/>
  <c r="AF223" i="11"/>
  <c r="AC223" i="11"/>
  <c r="AB223" i="11"/>
  <c r="AD223" i="11"/>
  <c r="AE223" i="11"/>
  <c r="Z114" i="11"/>
  <c r="Z15" i="11"/>
  <c r="AI39" i="11"/>
  <c r="AS39" i="11" s="1"/>
  <c r="AI77" i="11"/>
  <c r="AS77" i="11" s="1"/>
  <c r="AI48" i="11"/>
  <c r="AS48" i="11" s="1"/>
  <c r="AI33" i="11"/>
  <c r="AS33" i="11" s="1"/>
  <c r="AI54" i="11"/>
  <c r="AS54" i="11" s="1"/>
  <c r="AI37" i="11"/>
  <c r="AS37" i="11" s="1"/>
  <c r="R26" i="11"/>
  <c r="Y26" i="11"/>
  <c r="Z26" i="11" s="1"/>
  <c r="X87" i="11"/>
  <c r="AF91" i="11"/>
  <c r="AC91" i="11"/>
  <c r="AG91" i="11"/>
  <c r="AE91" i="11"/>
  <c r="AB91" i="11"/>
  <c r="AB66" i="11"/>
  <c r="AF66" i="11"/>
  <c r="AC66" i="11"/>
  <c r="AE66" i="11"/>
  <c r="AD66" i="11"/>
  <c r="AG66" i="11"/>
  <c r="AE131" i="11"/>
  <c r="AG131" i="11"/>
  <c r="AB131" i="11"/>
  <c r="AD131" i="11" s="1"/>
  <c r="AF131" i="11"/>
  <c r="AC131" i="11"/>
  <c r="AE217" i="11"/>
  <c r="AF217" i="11"/>
  <c r="AB217" i="11"/>
  <c r="AD217" i="11" s="1"/>
  <c r="AG217" i="11"/>
  <c r="AF204" i="11"/>
  <c r="AC204" i="11"/>
  <c r="AE204" i="11"/>
  <c r="AG204" i="11"/>
  <c r="AB204" i="11"/>
  <c r="AD204" i="11" s="1"/>
  <c r="AF206" i="11"/>
  <c r="AE206" i="11"/>
  <c r="AC206" i="11"/>
  <c r="AB206" i="11"/>
  <c r="AG206" i="11"/>
  <c r="AF212" i="11"/>
  <c r="AC212" i="11"/>
  <c r="AE212" i="11"/>
  <c r="AB212" i="11"/>
  <c r="AG212" i="11"/>
  <c r="AB203" i="11"/>
  <c r="AD203" i="11"/>
  <c r="AF203" i="11"/>
  <c r="AC203" i="11"/>
  <c r="AE203" i="11"/>
  <c r="AG203" i="11"/>
  <c r="AF251" i="11"/>
  <c r="AG251" i="11"/>
  <c r="AB251" i="11"/>
  <c r="AD251" i="11" s="1"/>
  <c r="AE251" i="11"/>
  <c r="AG181" i="11"/>
  <c r="AE181" i="11"/>
  <c r="AF181" i="11"/>
  <c r="AB181" i="11"/>
  <c r="AD181" i="11" s="1"/>
  <c r="AC181" i="11"/>
  <c r="AB256" i="11"/>
  <c r="AF256" i="11"/>
  <c r="AC256" i="11"/>
  <c r="AD256" i="11" s="1"/>
  <c r="AE256" i="11"/>
  <c r="AG256" i="11"/>
  <c r="AE258" i="11"/>
  <c r="AB258" i="11"/>
  <c r="AD258" i="11" s="1"/>
  <c r="AG258" i="11"/>
  <c r="AF258" i="11"/>
  <c r="AE224" i="11"/>
  <c r="AB224" i="11"/>
  <c r="AD224" i="11" s="1"/>
  <c r="AG224" i="11"/>
  <c r="AF224" i="11"/>
  <c r="AB130" i="11"/>
  <c r="AG130" i="11"/>
  <c r="AF130" i="11"/>
  <c r="AE130" i="11"/>
  <c r="AC130" i="11"/>
  <c r="AS20" i="11"/>
  <c r="AI215" i="11"/>
  <c r="AS215" i="11" s="1"/>
  <c r="AI21" i="11"/>
  <c r="AS21" i="11" s="1"/>
  <c r="AS244" i="11"/>
  <c r="AS22" i="11"/>
  <c r="AI71" i="11"/>
  <c r="AS71" i="11" s="1"/>
  <c r="AD89" i="11"/>
  <c r="Y100" i="11"/>
  <c r="Y287" i="11" s="1"/>
  <c r="AC14" i="11" l="1"/>
  <c r="AI229" i="11"/>
  <c r="AS229" i="11" s="1"/>
  <c r="AB53" i="11"/>
  <c r="AE156" i="11"/>
  <c r="AI156" i="11" s="1"/>
  <c r="AG14" i="11"/>
  <c r="AC53" i="11"/>
  <c r="AF156" i="11"/>
  <c r="AF14" i="11"/>
  <c r="AI14" i="11" s="1"/>
  <c r="AF53" i="11"/>
  <c r="AI269" i="11"/>
  <c r="AI27" i="11"/>
  <c r="AD275" i="11"/>
  <c r="AI275" i="11"/>
  <c r="AI254" i="11"/>
  <c r="AI230" i="11"/>
  <c r="AB257" i="11"/>
  <c r="AD257" i="11" s="1"/>
  <c r="AE257" i="11"/>
  <c r="AI257" i="11" s="1"/>
  <c r="AT238" i="15"/>
  <c r="AI278" i="11"/>
  <c r="AS278" i="11" s="1"/>
  <c r="AB14" i="11"/>
  <c r="AD14" i="11" s="1"/>
  <c r="AS27" i="11"/>
  <c r="AC156" i="11"/>
  <c r="AD156" i="11" s="1"/>
  <c r="AG156" i="11"/>
  <c r="AT272" i="15"/>
  <c r="AI53" i="11"/>
  <c r="AE113" i="15"/>
  <c r="AE104" i="15"/>
  <c r="AT275" i="15"/>
  <c r="AE109" i="15"/>
  <c r="AE136" i="15"/>
  <c r="AE103" i="15"/>
  <c r="AT139" i="15"/>
  <c r="AE93" i="15"/>
  <c r="AC237" i="11"/>
  <c r="AE123" i="15"/>
  <c r="AF237" i="11"/>
  <c r="AB237" i="11"/>
  <c r="AE90" i="15"/>
  <c r="AG237" i="11"/>
  <c r="AE107" i="15"/>
  <c r="AE92" i="15"/>
  <c r="AE111" i="15"/>
  <c r="AT271" i="15"/>
  <c r="AE128" i="15"/>
  <c r="AE112" i="15"/>
  <c r="AJ118" i="15"/>
  <c r="AE118" i="15"/>
  <c r="AE87" i="15"/>
  <c r="AJ94" i="15"/>
  <c r="AT94" i="15" s="1"/>
  <c r="AJ129" i="15"/>
  <c r="AT129" i="15" s="1"/>
  <c r="AE22" i="15"/>
  <c r="AE117" i="15"/>
  <c r="AE99" i="15"/>
  <c r="AJ114" i="15"/>
  <c r="AT114" i="15" s="1"/>
  <c r="AJ22" i="15"/>
  <c r="AJ122" i="15"/>
  <c r="AE88" i="15"/>
  <c r="AE125" i="15"/>
  <c r="AE135" i="15"/>
  <c r="AE24" i="15"/>
  <c r="AE95" i="15"/>
  <c r="AJ93" i="15"/>
  <c r="AJ113" i="15"/>
  <c r="AI264" i="11"/>
  <c r="AS264" i="11" s="1"/>
  <c r="AJ87" i="15"/>
  <c r="AE122" i="15"/>
  <c r="AJ88" i="15"/>
  <c r="AE105" i="15"/>
  <c r="AJ117" i="15"/>
  <c r="AJ135" i="15"/>
  <c r="AE98" i="15"/>
  <c r="AE85" i="15"/>
  <c r="AJ95" i="15"/>
  <c r="AJ109" i="15"/>
  <c r="AE133" i="15"/>
  <c r="AE124" i="15"/>
  <c r="Z287" i="15"/>
  <c r="AJ89" i="15"/>
  <c r="AT89" i="15" s="1"/>
  <c r="AJ112" i="15"/>
  <c r="AJ111" i="15"/>
  <c r="AJ26" i="15"/>
  <c r="AT26" i="15" s="1"/>
  <c r="AF15" i="15"/>
  <c r="AD15" i="15"/>
  <c r="AC15" i="15"/>
  <c r="AH15" i="15"/>
  <c r="AG15" i="15"/>
  <c r="AA73" i="15"/>
  <c r="AH29" i="15"/>
  <c r="AG29" i="15"/>
  <c r="AD29" i="15"/>
  <c r="AC29" i="15"/>
  <c r="AF29" i="15"/>
  <c r="AJ96" i="15"/>
  <c r="AT96" i="15" s="1"/>
  <c r="AJ124" i="15"/>
  <c r="AJ126" i="15"/>
  <c r="AJ105" i="15"/>
  <c r="AT105" i="15" s="1"/>
  <c r="AJ97" i="15"/>
  <c r="AT97" i="15" s="1"/>
  <c r="AJ24" i="15"/>
  <c r="AJ90" i="15"/>
  <c r="AE126" i="15"/>
  <c r="AJ98" i="15"/>
  <c r="AJ132" i="15"/>
  <c r="AT132" i="15" s="1"/>
  <c r="AE27" i="15"/>
  <c r="AJ120" i="15"/>
  <c r="AT120" i="15" s="1"/>
  <c r="Y287" i="15"/>
  <c r="Y284" i="15"/>
  <c r="Y290" i="15" s="1"/>
  <c r="AJ125" i="15"/>
  <c r="AJ99" i="15"/>
  <c r="AJ123" i="15"/>
  <c r="AJ27" i="15"/>
  <c r="AJ115" i="15"/>
  <c r="AT115" i="15" s="1"/>
  <c r="AJ85" i="15"/>
  <c r="AJ101" i="15"/>
  <c r="AT101" i="15" s="1"/>
  <c r="AE137" i="15"/>
  <c r="AA83" i="15"/>
  <c r="Z283" i="15"/>
  <c r="Z289" i="15" s="1"/>
  <c r="AJ108" i="15"/>
  <c r="AT108" i="15" s="1"/>
  <c r="AJ119" i="15"/>
  <c r="AT119" i="15" s="1"/>
  <c r="AJ136" i="15"/>
  <c r="AJ128" i="15"/>
  <c r="AT128" i="15" s="1"/>
  <c r="AJ107" i="15"/>
  <c r="AJ103" i="15"/>
  <c r="AJ106" i="15"/>
  <c r="AT106" i="15" s="1"/>
  <c r="AJ102" i="15"/>
  <c r="AJ104" i="15"/>
  <c r="AJ133" i="15"/>
  <c r="AJ92" i="15"/>
  <c r="AJ121" i="15"/>
  <c r="AT121" i="15" s="1"/>
  <c r="AE102" i="15"/>
  <c r="AJ137" i="15"/>
  <c r="AU65" i="15"/>
  <c r="A66" i="15"/>
  <c r="AI249" i="11"/>
  <c r="AS249" i="11" s="1"/>
  <c r="AI239" i="11"/>
  <c r="AS239" i="11" s="1"/>
  <c r="AD269" i="11"/>
  <c r="AS269" i="11" s="1"/>
  <c r="AS175" i="11"/>
  <c r="AR18" i="10"/>
  <c r="AR19" i="10" s="1"/>
  <c r="AQ19" i="10"/>
  <c r="AF165" i="11"/>
  <c r="AB235" i="11"/>
  <c r="AD235" i="11" s="1"/>
  <c r="AE235" i="11"/>
  <c r="AG235" i="11"/>
  <c r="AF235" i="11"/>
  <c r="AU18" i="10"/>
  <c r="AD130" i="11"/>
  <c r="AD212" i="11"/>
  <c r="AI223" i="11"/>
  <c r="AG165" i="11"/>
  <c r="AD183" i="11"/>
  <c r="AS183" i="11" s="1"/>
  <c r="AI112" i="11"/>
  <c r="AC81" i="11"/>
  <c r="AF81" i="11"/>
  <c r="AB81" i="11"/>
  <c r="AG81" i="11"/>
  <c r="AE81" i="11"/>
  <c r="AC41" i="11"/>
  <c r="AS223" i="11"/>
  <c r="AF136" i="11"/>
  <c r="AI177" i="11"/>
  <c r="AS17" i="11"/>
  <c r="AD210" i="11"/>
  <c r="AI25" i="11"/>
  <c r="AI105" i="11"/>
  <c r="AS105" i="11" s="1"/>
  <c r="AS177" i="11"/>
  <c r="AI210" i="11"/>
  <c r="AS243" i="11"/>
  <c r="AS179" i="11"/>
  <c r="AE41" i="11"/>
  <c r="AI41" i="11" s="1"/>
  <c r="AS112" i="11"/>
  <c r="AI118" i="11"/>
  <c r="AD198" i="11"/>
  <c r="AB247" i="11"/>
  <c r="AF247" i="11"/>
  <c r="AE247" i="11"/>
  <c r="AG247" i="11"/>
  <c r="AC247" i="11"/>
  <c r="AB240" i="11"/>
  <c r="AF240" i="11"/>
  <c r="AC240" i="11"/>
  <c r="AG240" i="11"/>
  <c r="AE240" i="11"/>
  <c r="AI56" i="11"/>
  <c r="AC197" i="11"/>
  <c r="AG197" i="11"/>
  <c r="AE197" i="11"/>
  <c r="AI197" i="11" s="1"/>
  <c r="AB197" i="11"/>
  <c r="AD197" i="11" s="1"/>
  <c r="AF197" i="11"/>
  <c r="AF79" i="11"/>
  <c r="AG79" i="11"/>
  <c r="AC79" i="11"/>
  <c r="AD79" i="11" s="1"/>
  <c r="AE79" i="11"/>
  <c r="AB79" i="11"/>
  <c r="AI36" i="11"/>
  <c r="AS36" i="11" s="1"/>
  <c r="AI277" i="11"/>
  <c r="AS277" i="11" s="1"/>
  <c r="AI243" i="11"/>
  <c r="AG52" i="11"/>
  <c r="AB52" i="11"/>
  <c r="AC52" i="11"/>
  <c r="AD52" i="11" s="1"/>
  <c r="AF52" i="11"/>
  <c r="AE52" i="11"/>
  <c r="AI52" i="11" s="1"/>
  <c r="AI198" i="11"/>
  <c r="AE245" i="11"/>
  <c r="AF245" i="11"/>
  <c r="AG245" i="11"/>
  <c r="AC245" i="11"/>
  <c r="AB245" i="11"/>
  <c r="AD245" i="11" s="1"/>
  <c r="AS118" i="11"/>
  <c r="AD206" i="11"/>
  <c r="AI132" i="11"/>
  <c r="AS132" i="11" s="1"/>
  <c r="AI227" i="11"/>
  <c r="AS227" i="11" s="1"/>
  <c r="AC14" i="10"/>
  <c r="AC19" i="10" s="1"/>
  <c r="AG14" i="10"/>
  <c r="AG19" i="10" s="1"/>
  <c r="AF14" i="10"/>
  <c r="AB14" i="10"/>
  <c r="AB19" i="10" s="1"/>
  <c r="AH14" i="10"/>
  <c r="AH19" i="10" s="1"/>
  <c r="Z19" i="10"/>
  <c r="AI206" i="11"/>
  <c r="AB41" i="11"/>
  <c r="AI189" i="11"/>
  <c r="AD179" i="11"/>
  <c r="AF121" i="11"/>
  <c r="AC121" i="11"/>
  <c r="AB121" i="11"/>
  <c r="AG121" i="11"/>
  <c r="AE121" i="11"/>
  <c r="AI51" i="11"/>
  <c r="AS56" i="11"/>
  <c r="AS189" i="11"/>
  <c r="AI175" i="11"/>
  <c r="AF119" i="11"/>
  <c r="AC119" i="11"/>
  <c r="AD119" i="11" s="1"/>
  <c r="AG119" i="11"/>
  <c r="AE119" i="11"/>
  <c r="AI119" i="11" s="1"/>
  <c r="AB119" i="11"/>
  <c r="AI216" i="11"/>
  <c r="AS216" i="11" s="1"/>
  <c r="AI31" i="11"/>
  <c r="AI144" i="11"/>
  <c r="AS144" i="11" s="1"/>
  <c r="AE165" i="11"/>
  <c r="AC165" i="11"/>
  <c r="AD165" i="11" s="1"/>
  <c r="AS230" i="11"/>
  <c r="AI155" i="11"/>
  <c r="AD19" i="11"/>
  <c r="AI276" i="11"/>
  <c r="AS276" i="11" s="1"/>
  <c r="AI158" i="11"/>
  <c r="AS158" i="11" s="1"/>
  <c r="AD155" i="11"/>
  <c r="AB166" i="11"/>
  <c r="AD166" i="11" s="1"/>
  <c r="AG166" i="11"/>
  <c r="AI147" i="11"/>
  <c r="AI271" i="11"/>
  <c r="AI153" i="11"/>
  <c r="AS153" i="11" s="1"/>
  <c r="AD135" i="11"/>
  <c r="AG138" i="11"/>
  <c r="AB138" i="11"/>
  <c r="AF138" i="11"/>
  <c r="AE138" i="11"/>
  <c r="AC138" i="11"/>
  <c r="AC146" i="11"/>
  <c r="AB146" i="11"/>
  <c r="AG146" i="11"/>
  <c r="AF146" i="11"/>
  <c r="AE146" i="11"/>
  <c r="AF23" i="11"/>
  <c r="AE23" i="11"/>
  <c r="AB23" i="11"/>
  <c r="AC23" i="11"/>
  <c r="AG23" i="11"/>
  <c r="AD31" i="11"/>
  <c r="AI262" i="11"/>
  <c r="AS262" i="11" s="1"/>
  <c r="AC136" i="11"/>
  <c r="AD136" i="11" s="1"/>
  <c r="AG136" i="11"/>
  <c r="AE136" i="11"/>
  <c r="AI161" i="11"/>
  <c r="AS186" i="11"/>
  <c r="AD279" i="11"/>
  <c r="AI167" i="11"/>
  <c r="AI110" i="11"/>
  <c r="AI280" i="11"/>
  <c r="AS280" i="11" s="1"/>
  <c r="AD271" i="11"/>
  <c r="AD110" i="11"/>
  <c r="AI279" i="11"/>
  <c r="AI16" i="11"/>
  <c r="AI75" i="11"/>
  <c r="AS75" i="11" s="1"/>
  <c r="AS261" i="11"/>
  <c r="AD16" i="11"/>
  <c r="AF166" i="11"/>
  <c r="AI163" i="11"/>
  <c r="AS163" i="11" s="1"/>
  <c r="AB143" i="11"/>
  <c r="AC143" i="11"/>
  <c r="AE143" i="11"/>
  <c r="AF143" i="11"/>
  <c r="AG143" i="11"/>
  <c r="AS232" i="11"/>
  <c r="AI170" i="11"/>
  <c r="AD238" i="11"/>
  <c r="AI116" i="11"/>
  <c r="AS116" i="11" s="1"/>
  <c r="AI149" i="11"/>
  <c r="AS149" i="11" s="1"/>
  <c r="AI135" i="11"/>
  <c r="AD196" i="11"/>
  <c r="AD167" i="11"/>
  <c r="AI188" i="11"/>
  <c r="AS188" i="11" s="1"/>
  <c r="AD161" i="11"/>
  <c r="AS254" i="11"/>
  <c r="AI117" i="11"/>
  <c r="AS117" i="11" s="1"/>
  <c r="AD147" i="11"/>
  <c r="AI238" i="11"/>
  <c r="AS281" i="11"/>
  <c r="AI253" i="11"/>
  <c r="AS253" i="11" s="1"/>
  <c r="AS82" i="11"/>
  <c r="AB115" i="11"/>
  <c r="AS29" i="11"/>
  <c r="AI19" i="11"/>
  <c r="AS270" i="11"/>
  <c r="AI74" i="11"/>
  <c r="AS74" i="11" s="1"/>
  <c r="AI24" i="11"/>
  <c r="AD120" i="11"/>
  <c r="AI141" i="11"/>
  <c r="AS141" i="11" s="1"/>
  <c r="AS142" i="11"/>
  <c r="AI137" i="11"/>
  <c r="AS137" i="11" s="1"/>
  <c r="AI120" i="11"/>
  <c r="AD259" i="11"/>
  <c r="AD108" i="11"/>
  <c r="AI199" i="11"/>
  <c r="AS199" i="11" s="1"/>
  <c r="AS109" i="11"/>
  <c r="AS90" i="11"/>
  <c r="R87" i="11"/>
  <c r="R286" i="11" s="1"/>
  <c r="R289" i="11" s="1"/>
  <c r="AS148" i="11"/>
  <c r="AD159" i="11"/>
  <c r="AS62" i="11"/>
  <c r="AI196" i="11"/>
  <c r="AC115" i="11"/>
  <c r="AI108" i="11"/>
  <c r="AG115" i="11"/>
  <c r="AC100" i="11"/>
  <c r="AC287" i="11" s="1"/>
  <c r="AB100" i="11"/>
  <c r="AB287" i="11" s="1"/>
  <c r="AF100" i="11"/>
  <c r="AF287" i="11" s="1"/>
  <c r="AE115" i="11"/>
  <c r="AS164" i="11"/>
  <c r="AS93" i="11"/>
  <c r="Y282" i="11"/>
  <c r="Y288" i="11" s="1"/>
  <c r="R282" i="11"/>
  <c r="AF255" i="11"/>
  <c r="AC255" i="11"/>
  <c r="AE255" i="11"/>
  <c r="AB255" i="11"/>
  <c r="AG255" i="11"/>
  <c r="AD107" i="11"/>
  <c r="AG100" i="11"/>
  <c r="AG287" i="11" s="1"/>
  <c r="AD84" i="11"/>
  <c r="AD53" i="11"/>
  <c r="AD24" i="11"/>
  <c r="AC151" i="11"/>
  <c r="AG151" i="11"/>
  <c r="AF151" i="11"/>
  <c r="AE151" i="11"/>
  <c r="AB151" i="11"/>
  <c r="AD151" i="11" s="1"/>
  <c r="AD145" i="11"/>
  <c r="AI171" i="11"/>
  <c r="AS171" i="11" s="1"/>
  <c r="AI145" i="11"/>
  <c r="AD30" i="11"/>
  <c r="AF205" i="11"/>
  <c r="AC205" i="11"/>
  <c r="AE205" i="11"/>
  <c r="AB205" i="11"/>
  <c r="AG205" i="11"/>
  <c r="AS187" i="11"/>
  <c r="AG86" i="11"/>
  <c r="AF86" i="11"/>
  <c r="AB86" i="11"/>
  <c r="AE86" i="11"/>
  <c r="AC86" i="11"/>
  <c r="AG150" i="11"/>
  <c r="AE150" i="11"/>
  <c r="AB150" i="11"/>
  <c r="AD150" i="11" s="1"/>
  <c r="AF150" i="11"/>
  <c r="AD157" i="11"/>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D91" i="11"/>
  <c r="AI84" i="11"/>
  <c r="AF200" i="11"/>
  <c r="AE200" i="11"/>
  <c r="AC200" i="11"/>
  <c r="AB200" i="11"/>
  <c r="AG200" i="11"/>
  <c r="AB192" i="11"/>
  <c r="AC192" i="11"/>
  <c r="AF192" i="11"/>
  <c r="AE192" i="11"/>
  <c r="AG192" i="11"/>
  <c r="AC47" i="11"/>
  <c r="AB47" i="11"/>
  <c r="AG47" i="11"/>
  <c r="AF47" i="11"/>
  <c r="AE47" i="11"/>
  <c r="AD92" i="11"/>
  <c r="AD170" i="11"/>
  <c r="AI18" i="11"/>
  <c r="AC140" i="11"/>
  <c r="AE140" i="11"/>
  <c r="AF140" i="11"/>
  <c r="AG140" i="11"/>
  <c r="AB140" i="11"/>
  <c r="AE267" i="11"/>
  <c r="AG267" i="11"/>
  <c r="AF267" i="11"/>
  <c r="AB267" i="11"/>
  <c r="AD267" i="11" s="1"/>
  <c r="AI159" i="11"/>
  <c r="AI91" i="11"/>
  <c r="AE100" i="11"/>
  <c r="AE287" i="11" s="1"/>
  <c r="AI130" i="11"/>
  <c r="AS130" i="11" s="1"/>
  <c r="AI224" i="11"/>
  <c r="AS224" i="11" s="1"/>
  <c r="AI256" i="11"/>
  <c r="AS256" i="11" s="1"/>
  <c r="AI203" i="11"/>
  <c r="AS203" i="11" s="1"/>
  <c r="AI212" i="11"/>
  <c r="AS212" i="11" s="1"/>
  <c r="AI204" i="11"/>
  <c r="AS204" i="11" s="1"/>
  <c r="AI66" i="11"/>
  <c r="AS66" i="11" s="1"/>
  <c r="Y87" i="11"/>
  <c r="AQ282" i="11"/>
  <c r="AQ288" i="11" s="1"/>
  <c r="AI94" i="11"/>
  <c r="AI73" i="11"/>
  <c r="AS73" i="11" s="1"/>
  <c r="AI64" i="11"/>
  <c r="AS64" i="11" s="1"/>
  <c r="AI32" i="11"/>
  <c r="AS32" i="11" s="1"/>
  <c r="AI57" i="11"/>
  <c r="AS57" i="11" s="1"/>
  <c r="AQ25" i="11"/>
  <c r="AQ87" i="11" s="1"/>
  <c r="AP286" i="11"/>
  <c r="AP87" i="11"/>
  <c r="AI122" i="11"/>
  <c r="AS122" i="11" s="1"/>
  <c r="AI251" i="11"/>
  <c r="AS251" i="11" s="1"/>
  <c r="AI217" i="11"/>
  <c r="AS217" i="11" s="1"/>
  <c r="AS89" i="11"/>
  <c r="AI258" i="11"/>
  <c r="AS258" i="11" s="1"/>
  <c r="AI131" i="11"/>
  <c r="AS131" i="11" s="1"/>
  <c r="AB15" i="11"/>
  <c r="AG15" i="11"/>
  <c r="AC15" i="11"/>
  <c r="AE15" i="11"/>
  <c r="AF15" i="11"/>
  <c r="Z87" i="11"/>
  <c r="AF114" i="11"/>
  <c r="AG114" i="11"/>
  <c r="AC114" i="11"/>
  <c r="AE114" i="11"/>
  <c r="AB114" i="11"/>
  <c r="Z282" i="11"/>
  <c r="Z288" i="11" s="1"/>
  <c r="AI133" i="11"/>
  <c r="AQ92" i="11"/>
  <c r="AQ100" i="11" s="1"/>
  <c r="AQ287" i="11" s="1"/>
  <c r="AP100" i="11"/>
  <c r="AP287" i="11" s="1"/>
  <c r="AI225" i="11"/>
  <c r="AS225" i="11" s="1"/>
  <c r="AF184" i="11"/>
  <c r="AC184" i="11"/>
  <c r="AE184" i="11"/>
  <c r="AG184" i="11"/>
  <c r="AB184" i="11"/>
  <c r="AD184" i="11" s="1"/>
  <c r="AI61" i="11"/>
  <c r="AS61" i="11" s="1"/>
  <c r="X286" i="11"/>
  <c r="X283" i="11"/>
  <c r="X289" i="11" s="1"/>
  <c r="AS25" i="11"/>
  <c r="AI40" i="11"/>
  <c r="AS40" i="11" s="1"/>
  <c r="AI211" i="11"/>
  <c r="AI259" i="11"/>
  <c r="AI92" i="11"/>
  <c r="AI181" i="11"/>
  <c r="AS181" i="11" s="1"/>
  <c r="AG26" i="11"/>
  <c r="AE26" i="11"/>
  <c r="AB26" i="11"/>
  <c r="AD26" i="11" s="1"/>
  <c r="AF26" i="11"/>
  <c r="AS133" i="11"/>
  <c r="AS51" i="11"/>
  <c r="AI241" i="11"/>
  <c r="AS241" i="11" s="1"/>
  <c r="AS211" i="11"/>
  <c r="AT87" i="15" l="1"/>
  <c r="AS257" i="11"/>
  <c r="AS275" i="11"/>
  <c r="AS31" i="11"/>
  <c r="AG73" i="15"/>
  <c r="AT109" i="15"/>
  <c r="AT93" i="15"/>
  <c r="AT104" i="15"/>
  <c r="AS156" i="11"/>
  <c r="AD237" i="11"/>
  <c r="AS53" i="11"/>
  <c r="AS147" i="11"/>
  <c r="AS161" i="11"/>
  <c r="AT90" i="15"/>
  <c r="AT125" i="15"/>
  <c r="AT118" i="15"/>
  <c r="AT85" i="15"/>
  <c r="AT88" i="15"/>
  <c r="AT113" i="15"/>
  <c r="AT136" i="15"/>
  <c r="AE15" i="15"/>
  <c r="AT111" i="15"/>
  <c r="AT124" i="15"/>
  <c r="AI237" i="11"/>
  <c r="AI165" i="11"/>
  <c r="AE29" i="15"/>
  <c r="AT123" i="15"/>
  <c r="AT103" i="15"/>
  <c r="AT22" i="15"/>
  <c r="AT92" i="15"/>
  <c r="AD81" i="11"/>
  <c r="AT133" i="15"/>
  <c r="AT98" i="15"/>
  <c r="AT24" i="15"/>
  <c r="AT122" i="15"/>
  <c r="AT107" i="15"/>
  <c r="AT99" i="15"/>
  <c r="AT112" i="15"/>
  <c r="AT117" i="15"/>
  <c r="AT135" i="15"/>
  <c r="AT95" i="15"/>
  <c r="AS167" i="11"/>
  <c r="AA287" i="15"/>
  <c r="AT27" i="15"/>
  <c r="Z284" i="15"/>
  <c r="Z290" i="15" s="1"/>
  <c r="AT137" i="15"/>
  <c r="AT102" i="15"/>
  <c r="AH73" i="15"/>
  <c r="AS170" i="11"/>
  <c r="AC73" i="15"/>
  <c r="AS155" i="11"/>
  <c r="AD73" i="15"/>
  <c r="AD287" i="15" s="1"/>
  <c r="AT126" i="15"/>
  <c r="AJ15" i="15"/>
  <c r="AF73" i="15"/>
  <c r="AS19" i="11"/>
  <c r="AA283" i="15"/>
  <c r="AA289" i="15" s="1"/>
  <c r="AH83" i="15"/>
  <c r="AH283" i="15" s="1"/>
  <c r="AH289" i="15" s="1"/>
  <c r="AG83" i="15"/>
  <c r="AG283" i="15" s="1"/>
  <c r="AG289" i="15" s="1"/>
  <c r="AD83" i="15"/>
  <c r="AD283" i="15" s="1"/>
  <c r="AD289" i="15" s="1"/>
  <c r="AF83" i="15"/>
  <c r="AC83" i="15"/>
  <c r="AC283" i="15" s="1"/>
  <c r="AC289" i="15" s="1"/>
  <c r="AJ29" i="15"/>
  <c r="AU66" i="15"/>
  <c r="A67" i="15"/>
  <c r="AD121" i="11"/>
  <c r="AS271" i="11"/>
  <c r="AI81" i="11"/>
  <c r="AI136" i="11"/>
  <c r="AS136" i="11" s="1"/>
  <c r="AD240" i="11"/>
  <c r="AD140" i="11"/>
  <c r="AS52" i="11"/>
  <c r="AD247" i="11"/>
  <c r="AI235" i="11"/>
  <c r="AS235" i="11" s="1"/>
  <c r="AD41" i="11"/>
  <c r="AS41" i="11" s="1"/>
  <c r="AS206" i="11"/>
  <c r="AS197" i="11"/>
  <c r="AI247" i="11"/>
  <c r="AS210" i="11"/>
  <c r="AS198" i="11"/>
  <c r="AD14" i="10"/>
  <c r="AI121" i="11"/>
  <c r="AF19" i="10"/>
  <c r="AJ14" i="10"/>
  <c r="AJ19" i="10" s="1"/>
  <c r="AI240" i="11"/>
  <c r="AS119" i="11"/>
  <c r="AI245" i="11"/>
  <c r="AS245" i="11" s="1"/>
  <c r="AI79" i="11"/>
  <c r="AS79" i="11" s="1"/>
  <c r="AD23" i="11"/>
  <c r="AI166" i="11"/>
  <c r="AS166" i="11" s="1"/>
  <c r="AD146" i="11"/>
  <c r="AI23" i="11"/>
  <c r="AD138" i="11"/>
  <c r="AI146" i="11"/>
  <c r="AS135" i="11"/>
  <c r="AI138" i="11"/>
  <c r="AS279" i="11"/>
  <c r="AS110" i="11"/>
  <c r="AS16" i="11"/>
  <c r="AS24" i="11"/>
  <c r="AI143" i="11"/>
  <c r="AD143" i="11"/>
  <c r="AS145" i="11"/>
  <c r="AD115" i="11"/>
  <c r="AS30" i="11"/>
  <c r="AS196" i="11"/>
  <c r="AS238" i="11"/>
  <c r="AS91" i="11"/>
  <c r="AD172" i="11"/>
  <c r="AS14" i="11"/>
  <c r="AS157" i="11"/>
  <c r="AS108" i="11"/>
  <c r="AD100" i="11"/>
  <c r="AD287" i="11" s="1"/>
  <c r="AS159" i="11"/>
  <c r="AS107" i="11"/>
  <c r="AS84" i="11"/>
  <c r="AI115" i="11"/>
  <c r="AS120" i="11"/>
  <c r="AS92" i="11"/>
  <c r="AS259" i="11"/>
  <c r="AS94" i="11"/>
  <c r="AD85" i="11"/>
  <c r="AD86" i="11"/>
  <c r="AD205" i="11"/>
  <c r="AD255" i="11"/>
  <c r="AS18" i="11"/>
  <c r="AI151" i="11"/>
  <c r="AS151" i="11" s="1"/>
  <c r="AD192" i="11"/>
  <c r="AD200" i="11"/>
  <c r="AI139" i="11"/>
  <c r="AD169" i="11"/>
  <c r="AI172" i="11"/>
  <c r="AI255" i="11"/>
  <c r="AD139" i="11"/>
  <c r="AI169" i="11"/>
  <c r="AI152" i="11"/>
  <c r="AG282" i="11"/>
  <c r="AG288" i="11" s="1"/>
  <c r="AD152" i="11"/>
  <c r="AI86" i="11"/>
  <c r="AC87" i="11"/>
  <c r="AC286" i="11" s="1"/>
  <c r="AS165" i="11"/>
  <c r="AI205" i="11"/>
  <c r="AI267" i="11"/>
  <c r="AS267" i="11" s="1"/>
  <c r="AD63" i="11"/>
  <c r="AI150" i="11"/>
  <c r="AS150" i="11" s="1"/>
  <c r="AI192" i="11"/>
  <c r="AI85" i="11"/>
  <c r="AI140" i="11"/>
  <c r="AI63" i="11"/>
  <c r="AI200" i="11"/>
  <c r="AI47" i="11"/>
  <c r="AD47" i="1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C282" i="11"/>
  <c r="AC288" i="11" s="1"/>
  <c r="AF87" i="11"/>
  <c r="AG87" i="11"/>
  <c r="Y286" i="11"/>
  <c r="Y283" i="11"/>
  <c r="Y289" i="11" s="1"/>
  <c r="AJ73" i="15" l="1"/>
  <c r="AG284" i="15"/>
  <c r="AG290" i="15" s="1"/>
  <c r="AH284" i="15"/>
  <c r="AH290" i="15" s="1"/>
  <c r="AS237" i="11"/>
  <c r="AE73" i="15"/>
  <c r="AE287" i="15" s="1"/>
  <c r="AS81" i="11"/>
  <c r="AT29" i="15"/>
  <c r="AS140" i="11"/>
  <c r="AS121" i="11"/>
  <c r="AG287" i="15"/>
  <c r="AH287" i="15"/>
  <c r="AF287" i="15"/>
  <c r="AT15" i="15"/>
  <c r="AT73" i="15" s="1"/>
  <c r="AS146" i="11"/>
  <c r="AE83" i="15"/>
  <c r="AA284" i="15"/>
  <c r="AA290" i="15" s="1"/>
  <c r="AC284" i="15"/>
  <c r="AC290" i="15" s="1"/>
  <c r="AC287" i="15"/>
  <c r="AF283" i="15"/>
  <c r="AJ83" i="15"/>
  <c r="AJ283" i="15" s="1"/>
  <c r="AU67" i="15"/>
  <c r="A68" i="15"/>
  <c r="AS23" i="11"/>
  <c r="AS200" i="11"/>
  <c r="AS138" i="11"/>
  <c r="AD19" i="10"/>
  <c r="AU14" i="10"/>
  <c r="AU19" i="10" s="1"/>
  <c r="AS172" i="11"/>
  <c r="AS240" i="11"/>
  <c r="AS247" i="11"/>
  <c r="AS115" i="11"/>
  <c r="AS143" i="11"/>
  <c r="AS139" i="11"/>
  <c r="AS205" i="11"/>
  <c r="AS86" i="11"/>
  <c r="AS85" i="11"/>
  <c r="AS100" i="11"/>
  <c r="AS287" i="11" s="1"/>
  <c r="AS192" i="11"/>
  <c r="AS255" i="11"/>
  <c r="AS169" i="11"/>
  <c r="AI282" i="11"/>
  <c r="AI288" i="11" s="1"/>
  <c r="AS63" i="11"/>
  <c r="AS152" i="11"/>
  <c r="AS47" i="11"/>
  <c r="AI87" i="11"/>
  <c r="AI286" i="11" s="1"/>
  <c r="AG286" i="11"/>
  <c r="AG283" i="11"/>
  <c r="AG289" i="11" s="1"/>
  <c r="AE286" i="11"/>
  <c r="AE283" i="11"/>
  <c r="AE289" i="11" s="1"/>
  <c r="AF286" i="11"/>
  <c r="AF283" i="11"/>
  <c r="AF289" i="11" s="1"/>
  <c r="AS15" i="11"/>
  <c r="AD87" i="11"/>
  <c r="AS114" i="11"/>
  <c r="AD282" i="11"/>
  <c r="AD288" i="11" s="1"/>
  <c r="AB286" i="11"/>
  <c r="AB283" i="11"/>
  <c r="AB289" i="11" s="1"/>
  <c r="AF289" i="15" l="1"/>
  <c r="AF284" i="15"/>
  <c r="AF290" i="15" s="1"/>
  <c r="AJ284" i="15"/>
  <c r="AT287" i="15"/>
  <c r="AJ287" i="15"/>
  <c r="AE283" i="15"/>
  <c r="AT83" i="15"/>
  <c r="AT283" i="15" s="1"/>
  <c r="AU68" i="15"/>
  <c r="A69" i="15"/>
  <c r="AS282" i="11"/>
  <c r="AS288" i="11" s="1"/>
  <c r="AS87" i="11"/>
  <c r="AI283" i="11"/>
  <c r="AI289" i="11" s="1"/>
  <c r="AD283" i="11"/>
  <c r="AD289" i="11" s="1"/>
  <c r="AD286" i="11"/>
  <c r="AT289" i="15" l="1"/>
  <c r="AJ290" i="15"/>
  <c r="AJ289" i="15"/>
  <c r="AE289" i="15"/>
  <c r="AE284" i="15"/>
  <c r="AE290" i="15" s="1"/>
  <c r="AU69" i="15"/>
  <c r="A70" i="15"/>
  <c r="AS283" i="11"/>
  <c r="AS289" i="11" s="1"/>
  <c r="AS286" i="11"/>
  <c r="AT284" i="15" l="1"/>
  <c r="AT290" i="15" s="1"/>
  <c r="AU70" i="15"/>
  <c r="A71" i="15"/>
  <c r="AU71" i="15" l="1"/>
  <c r="A72" i="15"/>
  <c r="AU72" i="15" l="1"/>
  <c r="E287" i="15"/>
  <c r="AU75" i="15" l="1"/>
  <c r="A76" i="15"/>
  <c r="A78" i="15" l="1"/>
  <c r="A77" i="15"/>
  <c r="A79" i="15" l="1"/>
  <c r="AU79" i="15" s="1"/>
  <c r="E288" i="15" l="1"/>
  <c r="A83" i="15"/>
  <c r="A84" i="15" l="1"/>
  <c r="AU84" i="15" s="1"/>
  <c r="AU83" i="15"/>
  <c r="A85" i="15"/>
  <c r="AU85" i="15" s="1"/>
  <c r="A86" i="15" l="1"/>
  <c r="A87" i="15"/>
  <c r="AU87" i="15" s="1"/>
  <c r="A88" i="15"/>
  <c r="AU88" i="15" s="1"/>
  <c r="A89" i="15"/>
  <c r="AU89" i="15" s="1"/>
  <c r="AU86" i="15" l="1"/>
  <c r="A90" i="15"/>
  <c r="A91" i="15"/>
  <c r="AU91" i="15" s="1"/>
  <c r="A92" i="15" l="1"/>
  <c r="AU90" i="15"/>
  <c r="A93" i="15"/>
  <c r="AU92" i="15" l="1"/>
  <c r="AU93" i="15"/>
  <c r="A94" i="15"/>
  <c r="AU94" i="15" l="1"/>
  <c r="A95" i="15"/>
  <c r="AU95" i="15" l="1"/>
  <c r="A96" i="15"/>
  <c r="AU96" i="15" l="1"/>
  <c r="A97" i="15"/>
  <c r="AU97" i="15" l="1"/>
  <c r="A98" i="15"/>
  <c r="AU98" i="15" l="1"/>
  <c r="A99" i="15"/>
  <c r="AU99" i="15" l="1"/>
  <c r="A100" i="15"/>
  <c r="AU100" i="15" l="1"/>
  <c r="A101" i="15"/>
  <c r="AU101" i="15" l="1"/>
  <c r="A102" i="15"/>
  <c r="AU102" i="15" l="1"/>
  <c r="A103" i="15"/>
  <c r="AU103" i="15" l="1"/>
  <c r="A104" i="15"/>
  <c r="AU104" i="15" l="1"/>
  <c r="A105" i="15"/>
  <c r="AU105" i="15" l="1"/>
  <c r="A106" i="15"/>
  <c r="AU106" i="15" l="1"/>
  <c r="A107" i="15"/>
  <c r="AU107" i="15" l="1"/>
  <c r="A108" i="15"/>
  <c r="AU108" i="15" l="1"/>
  <c r="A109" i="15"/>
  <c r="AU109" i="15" l="1"/>
  <c r="A110" i="15"/>
  <c r="AU110" i="15" l="1"/>
  <c r="A111" i="15"/>
  <c r="AU111" i="15" l="1"/>
  <c r="A112" i="15"/>
  <c r="AU112" i="15" l="1"/>
  <c r="A113" i="15"/>
  <c r="AU113" i="15" l="1"/>
  <c r="A114" i="15"/>
  <c r="AU114" i="15" l="1"/>
  <c r="A115" i="15"/>
  <c r="AU115" i="15" l="1"/>
  <c r="A116" i="15"/>
  <c r="AU116" i="15" l="1"/>
  <c r="A117" i="15"/>
  <c r="AU117" i="15" l="1"/>
  <c r="A118" i="15"/>
  <c r="AU118" i="15" l="1"/>
  <c r="A119" i="15"/>
  <c r="AU119" i="15" l="1"/>
  <c r="A120" i="15"/>
  <c r="AU120" i="15" l="1"/>
  <c r="A121" i="15"/>
  <c r="AU121" i="15" l="1"/>
  <c r="A122" i="15"/>
  <c r="AU122" i="15" l="1"/>
  <c r="A123" i="15"/>
  <c r="AU123" i="15" l="1"/>
  <c r="A124" i="15"/>
  <c r="AU124" i="15" l="1"/>
  <c r="A125" i="15"/>
  <c r="AU125" i="15" l="1"/>
  <c r="A126" i="15"/>
  <c r="AU126" i="15" l="1"/>
  <c r="A127" i="15"/>
  <c r="AU127" i="15" l="1"/>
  <c r="A128" i="15"/>
  <c r="AU128" i="15" l="1"/>
  <c r="A129" i="15"/>
  <c r="AU129" i="15" l="1"/>
  <c r="A130" i="15"/>
  <c r="AU130" i="15" l="1"/>
  <c r="A131" i="15"/>
  <c r="AU131" i="15" l="1"/>
  <c r="A132" i="15"/>
  <c r="AU132" i="15" l="1"/>
  <c r="A133" i="15"/>
  <c r="AU133" i="15" l="1"/>
  <c r="A134" i="15"/>
  <c r="AU134" i="15" l="1"/>
  <c r="A135" i="15"/>
  <c r="AU135" i="15" l="1"/>
  <c r="A136" i="15"/>
  <c r="AU136" i="15" l="1"/>
  <c r="A137" i="15"/>
  <c r="AU137" i="15" l="1"/>
  <c r="A138" i="15"/>
  <c r="AU138" i="15" l="1"/>
  <c r="A139" i="15"/>
  <c r="AU139" i="15" l="1"/>
  <c r="A140" i="15"/>
  <c r="AU140" i="15" l="1"/>
  <c r="A141" i="15"/>
  <c r="AU141" i="15" l="1"/>
  <c r="A142" i="15"/>
  <c r="AU142" i="15" l="1"/>
  <c r="A143" i="15"/>
  <c r="AU143" i="15" l="1"/>
  <c r="A144" i="15"/>
  <c r="AU144" i="15" l="1"/>
  <c r="A145" i="15"/>
  <c r="AU145" i="15" l="1"/>
  <c r="A146" i="15"/>
  <c r="AU146" i="15" l="1"/>
  <c r="A147" i="15"/>
  <c r="AU147" i="15" l="1"/>
  <c r="A148" i="15"/>
  <c r="AU148" i="15" l="1"/>
  <c r="A149" i="15"/>
  <c r="AU149" i="15" l="1"/>
  <c r="A150" i="15"/>
  <c r="AU150" i="15" l="1"/>
  <c r="A151" i="15"/>
  <c r="AU151" i="15" l="1"/>
  <c r="A152" i="15"/>
  <c r="AU152" i="15" l="1"/>
  <c r="A153" i="15"/>
  <c r="AU153" i="15" l="1"/>
  <c r="A154" i="15"/>
  <c r="AU154" i="15" l="1"/>
  <c r="A155" i="15"/>
  <c r="AU155" i="15" l="1"/>
  <c r="A156" i="15"/>
  <c r="AU156" i="15" l="1"/>
  <c r="A157" i="15"/>
  <c r="AU157" i="15" l="1"/>
  <c r="A158" i="15"/>
  <c r="AU158" i="15" l="1"/>
  <c r="A159" i="15"/>
  <c r="AU159" i="15" l="1"/>
  <c r="A160" i="15"/>
  <c r="AU160" i="15" l="1"/>
  <c r="A161" i="15"/>
  <c r="AU161" i="15" l="1"/>
  <c r="A162" i="15"/>
  <c r="AU162" i="15" l="1"/>
  <c r="A163" i="15"/>
  <c r="AU163" i="15" l="1"/>
  <c r="A164" i="15"/>
  <c r="AU164" i="15" l="1"/>
  <c r="A165" i="15"/>
  <c r="AU165" i="15" l="1"/>
  <c r="A166" i="15"/>
  <c r="AU166" i="15" l="1"/>
  <c r="A167" i="15"/>
  <c r="AU167" i="15" l="1"/>
  <c r="A168" i="15"/>
  <c r="AU168" i="15" l="1"/>
  <c r="A169" i="15"/>
  <c r="AU169" i="15" l="1"/>
  <c r="A170" i="15"/>
  <c r="AU170" i="15" l="1"/>
  <c r="A171" i="15"/>
  <c r="AU171" i="15" l="1"/>
  <c r="A172" i="15"/>
  <c r="AU172" i="15" l="1"/>
  <c r="A173" i="15"/>
  <c r="AU173" i="15" l="1"/>
  <c r="A174" i="15"/>
  <c r="AU174" i="15" l="1"/>
  <c r="A175" i="15"/>
  <c r="AU175" i="15" l="1"/>
  <c r="A176" i="15"/>
  <c r="AU176" i="15" l="1"/>
  <c r="A177" i="15"/>
  <c r="AU177" i="15" l="1"/>
  <c r="A178" i="15"/>
  <c r="AU178" i="15" l="1"/>
  <c r="A179" i="15"/>
  <c r="AU179" i="15" l="1"/>
  <c r="A180" i="15"/>
  <c r="AU180" i="15" l="1"/>
  <c r="A181" i="15"/>
  <c r="AU181" i="15" l="1"/>
  <c r="A182" i="15"/>
  <c r="AU182" i="15" l="1"/>
  <c r="A183" i="15"/>
  <c r="AU183" i="15" l="1"/>
  <c r="A184" i="15"/>
  <c r="AU184" i="15" l="1"/>
  <c r="A185" i="15"/>
  <c r="AU185" i="15" l="1"/>
  <c r="A186" i="15"/>
  <c r="AU186" i="15" l="1"/>
  <c r="A187" i="15"/>
  <c r="AU187" i="15" l="1"/>
  <c r="A188" i="15"/>
  <c r="AU188" i="15" l="1"/>
  <c r="A189" i="15"/>
  <c r="AU189" i="15" l="1"/>
  <c r="A190" i="15"/>
  <c r="AU190" i="15" l="1"/>
  <c r="A191" i="15"/>
  <c r="AU191" i="15" l="1"/>
  <c r="A192" i="15"/>
  <c r="AU192" i="15" l="1"/>
  <c r="A193" i="15"/>
  <c r="AU193" i="15" l="1"/>
  <c r="A194" i="15"/>
  <c r="AU194" i="15" l="1"/>
  <c r="A195" i="15"/>
  <c r="AU195" i="15" l="1"/>
  <c r="A196" i="15"/>
  <c r="AU196" i="15" l="1"/>
  <c r="A197" i="15"/>
  <c r="AU197" i="15" l="1"/>
  <c r="A198" i="15"/>
  <c r="AU198" i="15" l="1"/>
  <c r="A199" i="15"/>
  <c r="AU199" i="15" l="1"/>
  <c r="A200" i="15"/>
  <c r="AU200" i="15" l="1"/>
  <c r="A201" i="15"/>
  <c r="AU201" i="15" l="1"/>
  <c r="A202" i="15"/>
  <c r="AU202" i="15" l="1"/>
  <c r="A203" i="15"/>
  <c r="AU203" i="15" l="1"/>
  <c r="A204" i="15"/>
  <c r="AU204" i="15" l="1"/>
  <c r="A205" i="15"/>
  <c r="AU205" i="15" l="1"/>
  <c r="A206" i="15"/>
  <c r="AU206" i="15" l="1"/>
  <c r="A207" i="15"/>
  <c r="AU207" i="15" l="1"/>
  <c r="A208" i="15"/>
  <c r="AU208" i="15" l="1"/>
  <c r="A209" i="15"/>
  <c r="AU209" i="15" l="1"/>
  <c r="A210" i="15"/>
  <c r="AU210" i="15" l="1"/>
  <c r="A211" i="15"/>
  <c r="AU211" i="15" l="1"/>
  <c r="A212" i="15"/>
  <c r="AU212" i="15" l="1"/>
  <c r="A213" i="15"/>
  <c r="AU213" i="15" l="1"/>
  <c r="A214" i="15"/>
  <c r="AU214" i="15" l="1"/>
  <c r="A215" i="15"/>
  <c r="AU215" i="15" l="1"/>
  <c r="A216" i="15"/>
  <c r="AU216" i="15" l="1"/>
  <c r="A217" i="15"/>
  <c r="AU217" i="15" l="1"/>
  <c r="A218" i="15"/>
  <c r="AU218" i="15" l="1"/>
  <c r="A219" i="15"/>
  <c r="AU219" i="15" l="1"/>
  <c r="A220" i="15"/>
  <c r="AU220" i="15" l="1"/>
  <c r="A221" i="15"/>
  <c r="AU221" i="15" l="1"/>
  <c r="A222" i="15"/>
  <c r="AU222" i="15" l="1"/>
  <c r="A223" i="15"/>
  <c r="AU223" i="15" l="1"/>
  <c r="A224" i="15"/>
  <c r="AU224" i="15" l="1"/>
  <c r="A225" i="15"/>
  <c r="AU225" i="15" l="1"/>
  <c r="A226" i="15"/>
  <c r="AU226" i="15" l="1"/>
  <c r="A227" i="15"/>
  <c r="AU227" i="15" l="1"/>
  <c r="A228" i="15"/>
  <c r="AU228" i="15" l="1"/>
  <c r="A229" i="15"/>
  <c r="AU229" i="15" l="1"/>
  <c r="A230" i="15"/>
  <c r="AU230" i="15" l="1"/>
  <c r="A231" i="15"/>
  <c r="AU231" i="15" l="1"/>
  <c r="A232" i="15"/>
  <c r="AU232" i="15" l="1"/>
  <c r="A233" i="15"/>
  <c r="AU233" i="15" l="1"/>
  <c r="A234" i="15"/>
  <c r="AU234" i="15" l="1"/>
  <c r="A235" i="15"/>
  <c r="AU235" i="15" l="1"/>
  <c r="A236" i="15"/>
  <c r="AU236" i="15" l="1"/>
  <c r="A237" i="15"/>
  <c r="AU237" i="15" l="1"/>
  <c r="A238" i="15"/>
  <c r="AU238" i="15" l="1"/>
  <c r="A239" i="15"/>
  <c r="AU239" i="15" l="1"/>
  <c r="A240" i="15"/>
  <c r="AU240" i="15" l="1"/>
  <c r="A241" i="15"/>
  <c r="AU241" i="15" l="1"/>
  <c r="A242" i="15"/>
  <c r="AU242" i="15" l="1"/>
  <c r="A243" i="15"/>
  <c r="AU243" i="15" l="1"/>
  <c r="A244" i="15"/>
  <c r="AU244" i="15" l="1"/>
  <c r="A245" i="15"/>
  <c r="AU245" i="15" l="1"/>
  <c r="A246" i="15"/>
  <c r="AU246" i="15" l="1"/>
  <c r="A247" i="15"/>
  <c r="AU247" i="15" l="1"/>
  <c r="A248" i="15"/>
  <c r="AU248" i="15" l="1"/>
  <c r="A249" i="15"/>
  <c r="AU249" i="15" l="1"/>
  <c r="A250" i="15"/>
  <c r="AU250" i="15" l="1"/>
  <c r="A251" i="15"/>
  <c r="AU251" i="15" l="1"/>
  <c r="A252" i="15"/>
  <c r="AU252" i="15" l="1"/>
  <c r="A253" i="15"/>
  <c r="AU253" i="15" l="1"/>
  <c r="A254" i="15"/>
  <c r="AU254" i="15" l="1"/>
  <c r="A255" i="15"/>
  <c r="AU255" i="15" l="1"/>
  <c r="A256" i="15"/>
  <c r="AU256" i="15" l="1"/>
  <c r="A257" i="15"/>
  <c r="AU257" i="15" l="1"/>
  <c r="A258" i="15"/>
  <c r="AU258" i="15" l="1"/>
  <c r="A259" i="15"/>
  <c r="AU259" i="15" l="1"/>
  <c r="A260" i="15"/>
  <c r="AU260" i="15" l="1"/>
  <c r="A261" i="15"/>
  <c r="AU261" i="15" l="1"/>
  <c r="A262" i="15"/>
  <c r="AU262" i="15" l="1"/>
  <c r="A263" i="15"/>
  <c r="AU263" i="15" l="1"/>
  <c r="A264" i="15"/>
  <c r="AU264" i="15" l="1"/>
  <c r="A265" i="15"/>
  <c r="AU265" i="15" l="1"/>
  <c r="A266" i="15"/>
  <c r="AU266" i="15" l="1"/>
  <c r="A267" i="15"/>
  <c r="AU267" i="15" l="1"/>
  <c r="A268" i="15"/>
  <c r="AU268" i="15" l="1"/>
  <c r="A269" i="15"/>
  <c r="AU269" i="15" l="1"/>
  <c r="A270" i="15"/>
  <c r="AU270" i="15" l="1"/>
  <c r="A271" i="15"/>
  <c r="AU271" i="15" l="1"/>
  <c r="A272" i="15"/>
  <c r="AU272" i="15" l="1"/>
  <c r="A273" i="15"/>
  <c r="AU273" i="15" l="1"/>
  <c r="A274" i="15"/>
  <c r="AU274" i="15" l="1"/>
  <c r="A275" i="15"/>
  <c r="AU275" i="15" l="1"/>
  <c r="A276" i="15"/>
  <c r="AU276" i="15" l="1"/>
  <c r="A277" i="15"/>
  <c r="AU277" i="15" l="1"/>
  <c r="A278" i="15"/>
  <c r="AU278" i="15" l="1"/>
  <c r="A279" i="15"/>
  <c r="AU279" i="15" l="1"/>
  <c r="A280" i="15"/>
  <c r="AU280" i="15" l="1"/>
  <c r="A281" i="15"/>
  <c r="AU281" i="15" l="1"/>
  <c r="A282" i="15"/>
  <c r="AU282" i="15" l="1"/>
  <c r="E289" i="15"/>
  <c r="E290" i="15" s="1"/>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Admin</author>
    <author>hapham</author>
    <author>Windows User</author>
    <author>User</author>
    <author>user</author>
    <author>Quynh</author>
    <author>admin</author>
    <author>huynh-panda</author>
    <author>Minh</author>
  </authors>
  <commentList>
    <comment ref="R14" authorId="0" shapeId="0">
      <text>
        <r>
          <rPr>
            <b/>
            <sz val="9"/>
            <color indexed="81"/>
            <rFont val="Tahoma"/>
            <family val="2"/>
          </rPr>
          <t>Admin:</t>
        </r>
        <r>
          <rPr>
            <sz val="9"/>
            <color indexed="81"/>
            <rFont val="Tahoma"/>
            <family val="2"/>
          </rPr>
          <t xml:space="preserve">
- HS 4,65 từ 01/12/2015 (Nâng lương trước hạn)
- HS 4,98 từ 01/12/2018</t>
        </r>
      </text>
    </comment>
    <comment ref="T14" authorId="1" shapeId="0">
      <text>
        <r>
          <rPr>
            <b/>
            <sz val="9"/>
            <color indexed="81"/>
            <rFont val="Tahoma"/>
            <family val="2"/>
          </rPr>
          <t>hapham:</t>
        </r>
        <r>
          <rPr>
            <sz val="9"/>
            <color indexed="81"/>
            <rFont val="Tahoma"/>
            <family val="2"/>
          </rPr>
          <t xml:space="preserve">
- 5% từ 01/12/2021
- 6% từ 01/12/2022
- 7% từ 01/12/2023</t>
        </r>
      </text>
    </comment>
    <comment ref="W14" authorId="2" shapeId="0">
      <text>
        <r>
          <rPr>
            <b/>
            <sz val="9"/>
            <color indexed="81"/>
            <rFont val="Tahoma"/>
            <charset val="1"/>
          </rPr>
          <t>Windows User:</t>
        </r>
        <r>
          <rPr>
            <sz val="9"/>
            <color indexed="81"/>
            <rFont val="Tahoma"/>
            <charset val="1"/>
          </rPr>
          <t xml:space="preserve">
- HS 0.9 từ 01/9/2024</t>
        </r>
      </text>
    </comment>
    <comment ref="X14" authorId="3"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
- 23% từ 01/10/2024</t>
        </r>
      </text>
    </comment>
    <comment ref="R15" authorId="3" shapeId="0">
      <text>
        <r>
          <rPr>
            <b/>
            <sz val="9"/>
            <color indexed="81"/>
            <rFont val="Tahoma"/>
            <family val="2"/>
          </rPr>
          <t>User:</t>
        </r>
        <r>
          <rPr>
            <sz val="9"/>
            <color indexed="81"/>
            <rFont val="Tahoma"/>
            <family val="2"/>
          </rPr>
          <t xml:space="preserve">
- HS 4,65 từ 01/10/2015
- HS 4,98 từ 01/10/2017 (Nâng lương trước hạn 2017)</t>
        </r>
      </text>
    </comment>
    <comment ref="T15" authorId="4" shapeId="0">
      <text>
        <r>
          <rPr>
            <b/>
            <sz val="9"/>
            <color indexed="81"/>
            <rFont val="Tahoma"/>
            <family val="2"/>
          </rPr>
          <t>user:</t>
        </r>
        <r>
          <rPr>
            <sz val="9"/>
            <color indexed="81"/>
            <rFont val="Tahoma"/>
            <family val="2"/>
          </rPr>
          <t xml:space="preserve">
- 5% từ 01/10/2020
- 6% từ 01/10/2021
- 7% từ 01/10/2022
- 8% từ 01/10/2023
- 9% từ 01/10/2024</t>
        </r>
      </text>
    </comment>
    <comment ref="R16" authorId="0"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6" authorId="3" shapeId="0">
      <text>
        <r>
          <rPr>
            <b/>
            <sz val="9"/>
            <color indexed="81"/>
            <rFont val="Tahoma"/>
            <family val="2"/>
          </rPr>
          <t>User:</t>
        </r>
        <r>
          <rPr>
            <sz val="9"/>
            <color indexed="81"/>
            <rFont val="Tahoma"/>
            <family val="2"/>
          </rPr>
          <t xml:space="preserve">
+ QĐ Bổ nhiệm Trưởng khoa Điện - Điện tử từ 08/01/2015</t>
        </r>
      </text>
    </comment>
    <comment ref="X16" authorId="3"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
- 22% từ 01/9/2024</t>
        </r>
      </text>
    </comment>
    <comment ref="AK16" authorId="4" shapeId="0">
      <text>
        <r>
          <rPr>
            <b/>
            <sz val="9"/>
            <color indexed="81"/>
            <rFont val="Tahoma"/>
            <family val="2"/>
          </rPr>
          <t>user:</t>
        </r>
        <r>
          <rPr>
            <sz val="9"/>
            <color indexed="81"/>
            <rFont val="Tahoma"/>
            <family val="2"/>
          </rPr>
          <t xml:space="preserve">
UV BCH Đảng bộ Trường từ 13/4/2020. NK(2020-2025)</t>
        </r>
      </text>
    </comment>
    <comment ref="E17" authorId="5" shapeId="0">
      <text>
        <r>
          <rPr>
            <b/>
            <sz val="9"/>
            <color indexed="81"/>
            <rFont val="Tahoma"/>
            <family val="2"/>
          </rPr>
          <t>Quynh:</t>
        </r>
        <r>
          <rPr>
            <sz val="9"/>
            <color indexed="81"/>
            <rFont val="Tahoma"/>
            <family val="2"/>
          </rPr>
          <t xml:space="preserve">
TP. TC-HC-TH từ 01/01/2019</t>
        </r>
      </text>
    </comment>
    <comment ref="R17" authorId="3"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7" authorId="2" shapeId="0">
      <text>
        <r>
          <rPr>
            <b/>
            <sz val="9"/>
            <color indexed="81"/>
            <rFont val="Tahoma"/>
            <family val="2"/>
          </rPr>
          <t>Windows User:</t>
        </r>
        <r>
          <rPr>
            <sz val="9"/>
            <color indexed="81"/>
            <rFont val="Tahoma"/>
            <family val="2"/>
          </rPr>
          <t xml:space="preserve">
- VK 5% từ 01/9/2023
- VK 6% từ 01/9/2024</t>
        </r>
      </text>
    </comment>
    <comment ref="W17" authorId="3" shapeId="0">
      <text>
        <r>
          <rPr>
            <b/>
            <sz val="9"/>
            <color indexed="81"/>
            <rFont val="Tahoma"/>
            <family val="2"/>
          </rPr>
          <t>User:</t>
        </r>
        <r>
          <rPr>
            <sz val="9"/>
            <color indexed="81"/>
            <rFont val="Tahoma"/>
            <family val="2"/>
          </rPr>
          <t xml:space="preserve">
QĐ Bổ nhiệm Trưởng phòng Thiết bị vật tư từ 15/7/15
</t>
        </r>
      </text>
    </comment>
    <comment ref="X17" authorId="3"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
- 23% từ 01/9/2024</t>
        </r>
      </text>
    </comment>
    <comment ref="AK17" authorId="4" shapeId="0">
      <text>
        <r>
          <rPr>
            <b/>
            <sz val="9"/>
            <color indexed="81"/>
            <rFont val="Tahoma"/>
            <family val="2"/>
          </rPr>
          <t>user:</t>
        </r>
        <r>
          <rPr>
            <sz val="9"/>
            <color indexed="81"/>
            <rFont val="Tahoma"/>
            <family val="2"/>
          </rPr>
          <t xml:space="preserve">
- UV BCH Đảng bộ Trường từ 13/4/2020 (NK 2020 - 2025)</t>
        </r>
      </text>
    </comment>
    <comment ref="R18" authorId="3"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8" authorId="2" shapeId="0">
      <text>
        <r>
          <rPr>
            <b/>
            <sz val="9"/>
            <color indexed="81"/>
            <rFont val="Tahoma"/>
            <family val="2"/>
          </rPr>
          <t>Windows User:</t>
        </r>
        <r>
          <rPr>
            <sz val="9"/>
            <color indexed="81"/>
            <rFont val="Tahoma"/>
            <family val="2"/>
          </rPr>
          <t xml:space="preserve">
- VK 5% từ 01/9/2023
- VK 6% từ 01/9/2024</t>
        </r>
      </text>
    </comment>
    <comment ref="W18" authorId="3" shapeId="0">
      <text>
        <r>
          <rPr>
            <b/>
            <sz val="9"/>
            <color indexed="81"/>
            <rFont val="Tahoma"/>
            <family val="2"/>
          </rPr>
          <t>User:</t>
        </r>
        <r>
          <rPr>
            <sz val="9"/>
            <color indexed="81"/>
            <rFont val="Tahoma"/>
            <family val="2"/>
          </rPr>
          <t xml:space="preserve">
+ QĐ Bổ nhiệm Trưởng phòng QT CSVC từ 08/1/2015</t>
        </r>
      </text>
    </comment>
    <comment ref="X18" authorId="3"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
+ 24% từ 01/9/2024</t>
        </r>
      </text>
    </comment>
    <comment ref="R19" authorId="0" shapeId="0">
      <text>
        <r>
          <rPr>
            <b/>
            <sz val="9"/>
            <color indexed="81"/>
            <rFont val="Tahoma"/>
            <family val="2"/>
          </rPr>
          <t>Admin:</t>
        </r>
        <r>
          <rPr>
            <sz val="9"/>
            <color indexed="81"/>
            <rFont val="Tahoma"/>
            <family val="2"/>
          </rPr>
          <t xml:space="preserve">
- HS 4,65 từ 01/12/2015 (NL trước hạn)
- HS 4,98 từ 01/12/2018</t>
        </r>
      </text>
    </comment>
    <comment ref="T19" authorId="1" shapeId="0">
      <text>
        <r>
          <rPr>
            <b/>
            <sz val="9"/>
            <color indexed="81"/>
            <rFont val="Tahoma"/>
            <family val="2"/>
          </rPr>
          <t>hapham:</t>
        </r>
        <r>
          <rPr>
            <sz val="9"/>
            <color indexed="81"/>
            <rFont val="Tahoma"/>
            <family val="2"/>
          </rPr>
          <t xml:space="preserve">
- VK 5% từ 01/12/2021
- VK 6% từ 01/12/2022
- VK 7% từ 01/12/2023</t>
        </r>
      </text>
    </comment>
    <comment ref="W19" authorId="6" shapeId="0">
      <text>
        <r>
          <rPr>
            <b/>
            <sz val="8"/>
            <color indexed="81"/>
            <rFont val="Tahoma"/>
            <family val="2"/>
          </rPr>
          <t>admin:</t>
        </r>
        <r>
          <rPr>
            <sz val="8"/>
            <color indexed="81"/>
            <rFont val="Tahoma"/>
            <family val="2"/>
          </rPr>
          <t xml:space="preserve">
+ QĐ Bổ nhiệm Phó Trưởng phòng Quản trị CSVC từ 01/06/2014</t>
        </r>
      </text>
    </comment>
    <comment ref="X19" authorId="6"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
+ 22% từ 01/03/2024</t>
        </r>
      </text>
    </comment>
    <comment ref="R20" authorId="3"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0" authorId="2" shapeId="0">
      <text>
        <r>
          <rPr>
            <b/>
            <sz val="9"/>
            <color indexed="81"/>
            <rFont val="Tahoma"/>
            <family val="2"/>
          </rPr>
          <t>Windows User:</t>
        </r>
        <r>
          <rPr>
            <sz val="9"/>
            <color indexed="81"/>
            <rFont val="Tahoma"/>
            <family val="2"/>
          </rPr>
          <t xml:space="preserve">
- VK 5% từ 01/9/2023
- VK 6% từ 01/9/2024</t>
        </r>
      </text>
    </comment>
    <comment ref="W20" authorId="3" shapeId="0">
      <text>
        <r>
          <rPr>
            <b/>
            <sz val="9"/>
            <color indexed="81"/>
            <rFont val="Tahoma"/>
            <family val="2"/>
          </rPr>
          <t>User:</t>
        </r>
        <r>
          <rPr>
            <sz val="9"/>
            <color indexed="81"/>
            <rFont val="Tahoma"/>
            <family val="2"/>
          </rPr>
          <t xml:space="preserve">
Tổ trưởng tổ QL Ký túc xá SV từ 15/9/2015</t>
        </r>
      </text>
    </comment>
    <comment ref="X20" authorId="0"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
- 23% từ 01/9/2024</t>
        </r>
      </text>
    </comment>
    <comment ref="T21" authorId="2" shapeId="0">
      <text>
        <r>
          <rPr>
            <b/>
            <sz val="9"/>
            <color indexed="81"/>
            <rFont val="Tahoma"/>
            <family val="2"/>
          </rPr>
          <t>Windows User:</t>
        </r>
        <r>
          <rPr>
            <sz val="9"/>
            <color indexed="81"/>
            <rFont val="Tahoma"/>
            <family val="2"/>
          </rPr>
          <t xml:space="preserve">
- VK 9% từ 01/9/2022
- VK 10% từ 01/9/2023
- VK 11% từ 01/9/2024</t>
        </r>
      </text>
    </comment>
    <comment ref="W21" authorId="2" shapeId="0">
      <text>
        <r>
          <rPr>
            <b/>
            <sz val="9"/>
            <color indexed="81"/>
            <rFont val="Tahoma"/>
            <family val="2"/>
          </rPr>
          <t>Windows User:</t>
        </r>
        <r>
          <rPr>
            <sz val="9"/>
            <color indexed="81"/>
            <rFont val="Tahoma"/>
            <family val="2"/>
          </rPr>
          <t xml:space="preserve">
- Phó Trưởng phòng QTDV từ 01/10/2023</t>
        </r>
      </text>
    </comment>
    <comment ref="R22" authorId="0"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3" authorId="0"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3" authorId="5" shapeId="0">
      <text>
        <r>
          <rPr>
            <b/>
            <sz val="9"/>
            <color indexed="81"/>
            <rFont val="Tahoma"/>
            <family val="2"/>
          </rPr>
          <t>Quynh:</t>
        </r>
        <r>
          <rPr>
            <sz val="9"/>
            <color indexed="81"/>
            <rFont val="Tahoma"/>
            <family val="2"/>
          </rPr>
          <t xml:space="preserve">
- 32% từ 01/10/2018
- 33% từ 01/10/2019
- 34% từ 01/10/2020
- 35% từ 01/10/2021
- 36% từ 01/10/2022
- 37% từ 01/10/2023
- 38% từ 01/10/2024</t>
        </r>
      </text>
    </comment>
    <comment ref="W23" authorId="3" shapeId="0">
      <text>
        <r>
          <rPr>
            <b/>
            <sz val="9"/>
            <color indexed="81"/>
            <rFont val="Tahoma"/>
            <family val="2"/>
          </rPr>
          <t>User:</t>
        </r>
        <r>
          <rPr>
            <sz val="9"/>
            <color indexed="81"/>
            <rFont val="Tahoma"/>
            <family val="2"/>
          </rPr>
          <t xml:space="preserve">
QĐ Bổ nhiệm TP Kế hoạch - Tài chính từ 19/8/2015
</t>
        </r>
      </text>
    </comment>
    <comment ref="X23" authorId="0"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3" authorId="3"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E24" authorId="2" shapeId="0">
      <text>
        <r>
          <rPr>
            <b/>
            <sz val="9"/>
            <color indexed="81"/>
            <rFont val="Tahoma"/>
            <family val="2"/>
          </rPr>
          <t>Windows User:</t>
        </r>
        <r>
          <rPr>
            <sz val="9"/>
            <color indexed="81"/>
            <rFont val="Tahoma"/>
            <family val="2"/>
          </rPr>
          <t xml:space="preserve">
Thôi TP từ 01/3/2024</t>
        </r>
      </text>
    </comment>
    <comment ref="R24" authorId="5" shapeId="0">
      <text>
        <r>
          <rPr>
            <b/>
            <sz val="9"/>
            <color indexed="81"/>
            <rFont val="Tahoma"/>
            <family val="2"/>
          </rPr>
          <t>Quynh:</t>
        </r>
        <r>
          <rPr>
            <sz val="9"/>
            <color indexed="81"/>
            <rFont val="Tahoma"/>
            <family val="2"/>
          </rPr>
          <t xml:space="preserve">
- HS 4,98 từ 01/9/2018 </t>
        </r>
      </text>
    </comment>
    <comment ref="T24" authorId="4" shapeId="0">
      <text>
        <r>
          <rPr>
            <b/>
            <sz val="9"/>
            <color indexed="81"/>
            <rFont val="Tahoma"/>
            <family val="2"/>
          </rPr>
          <t>user:</t>
        </r>
        <r>
          <rPr>
            <sz val="9"/>
            <color indexed="81"/>
            <rFont val="Tahoma"/>
            <family val="2"/>
          </rPr>
          <t xml:space="preserve">
- VK 5% từ 01/09/2021
- VK 6% từ 01/09/2022
- VK 7% từ 01/9/2023
- VK 8% từ 01/9/2024</t>
        </r>
      </text>
    </comment>
    <comment ref="R25" authorId="0" shapeId="0">
      <text>
        <r>
          <rPr>
            <b/>
            <sz val="9"/>
            <color indexed="81"/>
            <rFont val="Tahoma"/>
            <family val="2"/>
          </rPr>
          <t>Admin:</t>
        </r>
        <r>
          <rPr>
            <sz val="9"/>
            <color indexed="81"/>
            <rFont val="Tahoma"/>
            <family val="2"/>
          </rPr>
          <t xml:space="preserve">
- HS 4.65 từ 01/01/2016</t>
        </r>
      </text>
    </comment>
    <comment ref="T25" authorId="4" shapeId="0">
      <text>
        <r>
          <rPr>
            <b/>
            <sz val="9"/>
            <color indexed="81"/>
            <rFont val="Tahoma"/>
            <family val="2"/>
          </rPr>
          <t>user:</t>
        </r>
        <r>
          <rPr>
            <sz val="9"/>
            <color indexed="81"/>
            <rFont val="Tahoma"/>
            <family val="2"/>
          </rPr>
          <t xml:space="preserve">
- VK 5% từ 01/01/2022
- VK 6% từ 01/01/2023
- VK 7% từ 01/01/2024</t>
        </r>
      </text>
    </comment>
    <comment ref="W25" authorId="6"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
- QĐ MN Phó TP. Thanh tra Giáo dục - CTSV từ 01/01/2024</t>
        </r>
      </text>
    </comment>
    <comment ref="X25" authorId="6"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
+ 24% từ 01/02/2024
</t>
        </r>
      </text>
    </comment>
    <comment ref="R26" authorId="0" shapeId="0">
      <text>
        <r>
          <rPr>
            <b/>
            <sz val="9"/>
            <color indexed="81"/>
            <rFont val="Tahoma"/>
            <family val="2"/>
          </rPr>
          <t>Admin:</t>
        </r>
        <r>
          <rPr>
            <sz val="9"/>
            <color indexed="81"/>
            <rFont val="Tahoma"/>
            <family val="2"/>
          </rPr>
          <t xml:space="preserve">
- HS 3,66 từ 01/9/2016
- HS 3,99 từ 01/9/2019
- HS 4,32 từ 01/09/2022</t>
        </r>
      </text>
    </comment>
    <comment ref="R27" authorId="4"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8" authorId="3"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8" authorId="6"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8" authorId="4"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O29" authorId="2" shapeId="0">
      <text>
        <r>
          <rPr>
            <b/>
            <sz val="9"/>
            <color indexed="81"/>
            <rFont val="Tahoma"/>
            <family val="2"/>
          </rPr>
          <t>Windows User:</t>
        </r>
        <r>
          <rPr>
            <sz val="9"/>
            <color indexed="81"/>
            <rFont val="Tahoma"/>
            <family val="2"/>
          </rPr>
          <t xml:space="preserve">
- QĐ Chuyển ngạch V.07.01.03 sang ngạch 01.003 từ 30/6/2023</t>
        </r>
      </text>
    </comment>
    <comment ref="R29" authorId="3" shapeId="0">
      <text>
        <r>
          <rPr>
            <b/>
            <sz val="9"/>
            <color indexed="81"/>
            <rFont val="Tahoma"/>
            <family val="2"/>
          </rPr>
          <t>User:</t>
        </r>
        <r>
          <rPr>
            <sz val="9"/>
            <color indexed="81"/>
            <rFont val="Tahoma"/>
            <family val="2"/>
          </rPr>
          <t xml:space="preserve">
- HS 4,32 từ 1/9/2014
- HS 4,65 từ 01/9/2017
- HS 4,98 từ 01/9/2020</t>
        </r>
      </text>
    </comment>
    <comment ref="T29" authorId="2" shapeId="0">
      <text>
        <r>
          <rPr>
            <b/>
            <sz val="9"/>
            <color indexed="81"/>
            <rFont val="Tahoma"/>
            <family val="2"/>
          </rPr>
          <t>Windows User:</t>
        </r>
        <r>
          <rPr>
            <sz val="9"/>
            <color indexed="81"/>
            <rFont val="Tahoma"/>
            <family val="2"/>
          </rPr>
          <t xml:space="preserve">
- VK 5% từ 01/9/2023
- VK 6% từ 01/9/2024</t>
        </r>
      </text>
    </comment>
    <comment ref="E30" authorId="2" shapeId="0">
      <text>
        <r>
          <rPr>
            <b/>
            <sz val="9"/>
            <color indexed="81"/>
            <rFont val="Tahoma"/>
            <family val="2"/>
          </rPr>
          <t>Windows User:</t>
        </r>
        <r>
          <rPr>
            <sz val="9"/>
            <color indexed="81"/>
            <rFont val="Tahoma"/>
            <family val="2"/>
          </rPr>
          <t xml:space="preserve">
- Trưởng phòng KHCN &amp; HTQT từ 01/10/2022</t>
        </r>
      </text>
    </comment>
    <comment ref="R30" authorId="4" shapeId="0">
      <text>
        <r>
          <rPr>
            <b/>
            <sz val="9"/>
            <color indexed="81"/>
            <rFont val="Tahoma"/>
            <family val="2"/>
          </rPr>
          <t>user:</t>
        </r>
        <r>
          <rPr>
            <sz val="9"/>
            <color indexed="81"/>
            <rFont val="Tahoma"/>
            <family val="2"/>
          </rPr>
          <t xml:space="preserve">
- HS 4,65 từ 01/12/2019 (NL trước hạn)
- HS 4,98 từ 01/12/2022</t>
        </r>
      </text>
    </comment>
    <comment ref="W30" authorId="3" shapeId="0">
      <text>
        <r>
          <rPr>
            <b/>
            <sz val="9"/>
            <color indexed="81"/>
            <rFont val="Tahoma"/>
            <family val="2"/>
          </rPr>
          <t>User:</t>
        </r>
        <r>
          <rPr>
            <sz val="9"/>
            <color indexed="81"/>
            <rFont val="Tahoma"/>
            <family val="2"/>
          </rPr>
          <t xml:space="preserve">
QĐ Bổ nhiệm Trưởng khoa Kinh tế từ 20/8/2015</t>
        </r>
      </text>
    </comment>
    <comment ref="X30" authorId="3"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01/10/2022
+ 17% từ 01/10/2023
+ 18% từ 01/10/2024</t>
        </r>
      </text>
    </comment>
    <comment ref="R31" authorId="3" shapeId="0">
      <text>
        <r>
          <rPr>
            <b/>
            <sz val="9"/>
            <color indexed="81"/>
            <rFont val="Tahoma"/>
            <family val="2"/>
          </rPr>
          <t>User:</t>
        </r>
        <r>
          <rPr>
            <sz val="9"/>
            <color indexed="81"/>
            <rFont val="Tahoma"/>
            <family val="2"/>
          </rPr>
          <t xml:space="preserve">
- 4,32 từ 01/11/2015
- 4,65 từ 01/11/2018
- 4,98 từ 01/11/2020</t>
        </r>
      </text>
    </comment>
    <comment ref="T31" authorId="2" shapeId="0">
      <text>
        <r>
          <rPr>
            <b/>
            <sz val="9"/>
            <color indexed="81"/>
            <rFont val="Tahoma"/>
            <family val="2"/>
          </rPr>
          <t>Windows User:</t>
        </r>
        <r>
          <rPr>
            <sz val="9"/>
            <color indexed="81"/>
            <rFont val="Tahoma"/>
            <family val="2"/>
          </rPr>
          <t xml:space="preserve">
- VK 5% từ 01/11/2023
- VK 6% từ 01/11/2024</t>
        </r>
      </text>
    </comment>
    <comment ref="X31" authorId="3"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2" authorId="0"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2" authorId="6"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2" authorId="0" shapeId="0">
      <text>
        <r>
          <rPr>
            <b/>
            <sz val="9"/>
            <color indexed="81"/>
            <rFont val="Tahoma"/>
            <family val="2"/>
          </rPr>
          <t>Admin:</t>
        </r>
        <r>
          <rPr>
            <sz val="9"/>
            <color indexed="81"/>
            <rFont val="Tahoma"/>
            <family val="2"/>
          </rPr>
          <t xml:space="preserve">
-13% từ 01/6/2018
- 14% từ 01/6/2019
- 15% từ 01/06/2020
- 16% từ 01/06/2021
- 17% từ 01/06/2022
- 18% từ 01/6/2023
- 19% từ 01/6/2024</t>
        </r>
      </text>
    </comment>
    <comment ref="AK32" authorId="4" shapeId="0">
      <text>
        <r>
          <rPr>
            <b/>
            <sz val="8"/>
            <color indexed="81"/>
            <rFont val="Tahoma"/>
            <family val="2"/>
          </rPr>
          <t>user:</t>
        </r>
        <r>
          <rPr>
            <sz val="8"/>
            <color indexed="81"/>
            <rFont val="Tahoma"/>
            <family val="2"/>
          </rPr>
          <t xml:space="preserve">
HS 0.75
</t>
        </r>
      </text>
    </comment>
    <comment ref="R33" authorId="0" shapeId="0">
      <text>
        <r>
          <rPr>
            <b/>
            <sz val="9"/>
            <color indexed="81"/>
            <rFont val="Tahoma"/>
            <family val="2"/>
          </rPr>
          <t>Admin:</t>
        </r>
        <r>
          <rPr>
            <sz val="9"/>
            <color indexed="81"/>
            <rFont val="Tahoma"/>
            <family val="2"/>
          </rPr>
          <t xml:space="preserve">
- HS 4,65 từ 01/6/2016 (NL trước hạn 2016)</t>
        </r>
      </text>
    </comment>
    <comment ref="T33" authorId="4" shapeId="0">
      <text>
        <r>
          <rPr>
            <b/>
            <sz val="9"/>
            <color indexed="81"/>
            <rFont val="Tahoma"/>
            <family val="2"/>
          </rPr>
          <t>user:</t>
        </r>
        <r>
          <rPr>
            <sz val="9"/>
            <color indexed="81"/>
            <rFont val="Tahoma"/>
            <family val="2"/>
          </rPr>
          <t xml:space="preserve">
- VK 5% từ 01/06/2022
- VK 6% từ 01/06/2023
- VK 7% từ 01/6/2024</t>
        </r>
      </text>
    </comment>
    <comment ref="W33" authorId="0" shapeId="0">
      <text>
        <r>
          <rPr>
            <b/>
            <sz val="9"/>
            <color indexed="81"/>
            <rFont val="Tahoma"/>
            <family val="2"/>
          </rPr>
          <t>Admin:</t>
        </r>
        <r>
          <rPr>
            <sz val="9"/>
            <color indexed="81"/>
            <rFont val="Tahoma"/>
            <family val="2"/>
          </rPr>
          <t xml:space="preserve">
- Tổ trưởng tổ Lý - Hóa từ 01/9/2016</t>
        </r>
      </text>
    </comment>
    <comment ref="X33" authorId="4"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+ 25% từ 01/9/2024</t>
        </r>
      </text>
    </comment>
    <comment ref="R34" authorId="0"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4" authorId="4"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
+ 22% từ 01/9/2024</t>
        </r>
      </text>
    </comment>
    <comment ref="R35" authorId="3" shapeId="0">
      <text>
        <r>
          <rPr>
            <b/>
            <sz val="9"/>
            <color indexed="81"/>
            <rFont val="Tahoma"/>
            <family val="2"/>
          </rPr>
          <t>User:</t>
        </r>
        <r>
          <rPr>
            <sz val="9"/>
            <color indexed="81"/>
            <rFont val="Tahoma"/>
            <family val="2"/>
          </rPr>
          <t xml:space="preserve">
- HS 4,65 từ 01/9/2015
- HS 4,98 từ 01/9/2017 (Nâng lương trước hạn năm 2017)</t>
        </r>
      </text>
    </comment>
    <comment ref="T35" authorId="4" shapeId="0">
      <text>
        <r>
          <rPr>
            <b/>
            <sz val="9"/>
            <color indexed="81"/>
            <rFont val="Tahoma"/>
            <family val="2"/>
          </rPr>
          <t>user:</t>
        </r>
        <r>
          <rPr>
            <sz val="9"/>
            <color indexed="81"/>
            <rFont val="Tahoma"/>
            <family val="2"/>
          </rPr>
          <t xml:space="preserve">
- VK 5% từ 01/9/2020
- VK 6% từ 01/9/2021
- VK 7% từ 01/09/2022
- VK 8% từ 01/9/2023
- VK 9% từ 01/9/2024</t>
        </r>
      </text>
    </comment>
    <comment ref="X35" authorId="4"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+ 25% từ 01/9/2024</t>
        </r>
      </text>
    </comment>
    <comment ref="R36" authorId="3"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6" authorId="0" shapeId="0">
      <text>
        <r>
          <rPr>
            <b/>
            <sz val="9"/>
            <color indexed="81"/>
            <rFont val="Tahoma"/>
            <family val="2"/>
          </rPr>
          <t>Admin:</t>
        </r>
        <r>
          <rPr>
            <sz val="9"/>
            <color indexed="81"/>
            <rFont val="Tahoma"/>
            <family val="2"/>
          </rPr>
          <t xml:space="preserve">
- QĐ BN Phó Trưởng khoa từ 01/8/18</t>
        </r>
      </text>
    </comment>
    <comment ref="X36" authorId="4"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
+ 22% từ 01/9/2024</t>
        </r>
      </text>
    </comment>
    <comment ref="R37" authorId="3" shapeId="0">
      <text>
        <r>
          <rPr>
            <b/>
            <sz val="9"/>
            <color indexed="81"/>
            <rFont val="Tahoma"/>
            <family val="2"/>
          </rPr>
          <t>User:</t>
        </r>
        <r>
          <rPr>
            <sz val="9"/>
            <color indexed="81"/>
            <rFont val="Tahoma"/>
            <family val="2"/>
          </rPr>
          <t xml:space="preserve">
- HS 4,32 từ 01/9/14 (Nâng lương trước hạn)
- HS 4,98 từ 01/9/2020</t>
        </r>
      </text>
    </comment>
    <comment ref="T37" authorId="2" shapeId="0">
      <text>
        <r>
          <rPr>
            <b/>
            <sz val="9"/>
            <color indexed="81"/>
            <rFont val="Tahoma"/>
            <family val="2"/>
          </rPr>
          <t>Windows User:</t>
        </r>
        <r>
          <rPr>
            <sz val="9"/>
            <color indexed="81"/>
            <rFont val="Tahoma"/>
            <family val="2"/>
          </rPr>
          <t xml:space="preserve">
- VK 5% từ 01/9/2023
- VK 6% từ 01/9/2024</t>
        </r>
      </text>
    </comment>
    <comment ref="X37" authorId="4"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
+ 23% từ 01/9/2024</t>
        </r>
      </text>
    </comment>
    <comment ref="R38" authorId="3" shapeId="0">
      <text>
        <r>
          <rPr>
            <b/>
            <sz val="9"/>
            <color indexed="81"/>
            <rFont val="Tahoma"/>
            <family val="2"/>
          </rPr>
          <t>User:</t>
        </r>
        <r>
          <rPr>
            <sz val="9"/>
            <color indexed="81"/>
            <rFont val="Tahoma"/>
            <family val="2"/>
          </rPr>
          <t xml:space="preserve">
- bậc 5, hệ số 3,66
- HS 4,32 từ 01/12/2020
- HS 4,65 từ 01/12/2023</t>
        </r>
      </text>
    </comment>
    <comment ref="X38" authorId="6" shapeId="0">
      <text>
        <r>
          <rPr>
            <b/>
            <sz val="8"/>
            <color indexed="81"/>
            <rFont val="Tahoma"/>
            <family val="2"/>
          </rPr>
          <t>admin:</t>
        </r>
        <r>
          <rPr>
            <sz val="8"/>
            <color indexed="81"/>
            <rFont val="Tahoma"/>
            <family val="2"/>
          </rPr>
          <t xml:space="preserve">
+ 11% từ 01/02/2014
+ 12% từ 01/02/2015
+ 13% từ 01/02/2016
+ 14% từ 01/02/2017
+ 15% từ 01/02/2018
+ 16% từ 01/02/2019
+ 17% từ 01/02/2020
+ 18% từ 01/02/2021
+ 19% từ 01/02/2022
+ 20% từ 01/02/2023
+ 21% từ 01/02/2024
</t>
        </r>
      </text>
    </comment>
    <comment ref="R39" authorId="3"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39" authorId="4"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
+ 22% từ 01/9/2024</t>
        </r>
      </text>
    </comment>
    <comment ref="R40" authorId="3"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0" authorId="4"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
+ 22% từ 01/9/2024</t>
        </r>
      </text>
    </comment>
    <comment ref="R41" authorId="0" shapeId="0">
      <text>
        <r>
          <rPr>
            <b/>
            <sz val="9"/>
            <color indexed="81"/>
            <rFont val="Tahoma"/>
            <family val="2"/>
          </rPr>
          <t>Admin:</t>
        </r>
        <r>
          <rPr>
            <sz val="9"/>
            <color indexed="81"/>
            <rFont val="Tahoma"/>
            <family val="2"/>
          </rPr>
          <t xml:space="preserve">
- HS 4,32 từ 01/9/2016
- HS 4,65 từ 01/9/2019
- HS 4,98 từ 01/9/2022</t>
        </r>
      </text>
    </comment>
    <comment ref="X41" authorId="4"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+ 25% từ 01/9/2024</t>
        </r>
      </text>
    </comment>
    <comment ref="R42" authorId="3"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2" authorId="4"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
+ 22% từ 01/9/2024</t>
        </r>
      </text>
    </comment>
    <comment ref="R43" authorId="3"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X43" authorId="4"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
+ 20% từ 01/01/2024</t>
        </r>
      </text>
    </comment>
    <comment ref="R44" authorId="0" shapeId="0">
      <text>
        <r>
          <rPr>
            <b/>
            <sz val="9"/>
            <color indexed="81"/>
            <rFont val="Tahoma"/>
            <family val="2"/>
          </rPr>
          <t>Admin:</t>
        </r>
        <r>
          <rPr>
            <sz val="9"/>
            <color indexed="81"/>
            <rFont val="Tahoma"/>
            <family val="2"/>
          </rPr>
          <t xml:space="preserve">
- HS 4,65 từ 01/12/15 (NL Trước hạn)
- HS 4,98 từ 01/12/2018</t>
        </r>
      </text>
    </comment>
    <comment ref="T44" authorId="1" shapeId="0">
      <text>
        <r>
          <rPr>
            <b/>
            <sz val="9"/>
            <color indexed="81"/>
            <rFont val="Tahoma"/>
            <family val="2"/>
          </rPr>
          <t>hapham:</t>
        </r>
        <r>
          <rPr>
            <sz val="9"/>
            <color indexed="81"/>
            <rFont val="Tahoma"/>
            <family val="2"/>
          </rPr>
          <t xml:space="preserve">
- 5% từ 01/12/21
- 6% từ 01/12/2022
- 7% từ 01/12/2023</t>
        </r>
      </text>
    </comment>
    <comment ref="W44" authorId="3" shapeId="0">
      <text>
        <r>
          <rPr>
            <b/>
            <sz val="9"/>
            <color indexed="81"/>
            <rFont val="Tahoma"/>
            <family val="2"/>
          </rPr>
          <t>User:</t>
        </r>
        <r>
          <rPr>
            <sz val="9"/>
            <color indexed="81"/>
            <rFont val="Tahoma"/>
            <family val="2"/>
          </rPr>
          <t xml:space="preserve">
QĐ Miễn nhiệm Trưởng bộ môn CAD/CAM-CNC từ 01/9/2015</t>
        </r>
      </text>
    </comment>
    <comment ref="X44" authorId="6"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
+ 25% từ 01/11/2024</t>
        </r>
      </text>
    </comment>
    <comment ref="R45" authorId="0" shapeId="0">
      <text>
        <r>
          <rPr>
            <b/>
            <sz val="9"/>
            <color indexed="81"/>
            <rFont val="Tahoma"/>
            <family val="2"/>
          </rPr>
          <t>Admin:</t>
        </r>
        <r>
          <rPr>
            <sz val="9"/>
            <color indexed="81"/>
            <rFont val="Tahoma"/>
            <family val="2"/>
          </rPr>
          <t xml:space="preserve">
- HS 4,65 từ 01/9/2015 Nâng lương trước hạn
- HS 4,98 từ 01/9/2018</t>
        </r>
      </text>
    </comment>
    <comment ref="T45" authorId="4" shapeId="0">
      <text>
        <r>
          <rPr>
            <b/>
            <sz val="9"/>
            <color indexed="81"/>
            <rFont val="Tahoma"/>
            <family val="2"/>
          </rPr>
          <t>user:</t>
        </r>
        <r>
          <rPr>
            <sz val="9"/>
            <color indexed="81"/>
            <rFont val="Tahoma"/>
            <family val="2"/>
          </rPr>
          <t xml:space="preserve">
- VK 5% từ 01/9/2021
- VK 6% từ 01/9/2022
- VK 7% từ 01/9/2023
- VK 8% từ 01/9/2024</t>
        </r>
      </text>
    </comment>
    <comment ref="W45" authorId="3" shapeId="0">
      <text>
        <r>
          <rPr>
            <b/>
            <sz val="9"/>
            <color indexed="81"/>
            <rFont val="Tahoma"/>
            <family val="2"/>
          </rPr>
          <t>User:</t>
        </r>
        <r>
          <rPr>
            <sz val="9"/>
            <color indexed="81"/>
            <rFont val="Tahoma"/>
            <family val="2"/>
          </rPr>
          <t xml:space="preserve">
Miễn nhiệm trưởng BM cơ khí chế tạo máy 3 từ 01/9/2015</t>
        </r>
      </text>
    </comment>
    <comment ref="X45" authorId="4"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
+ 24% từ 01/9/2024</t>
        </r>
      </text>
    </comment>
    <comment ref="T46" authorId="3"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
+ 16% từ 01/10/2024</t>
        </r>
      </text>
    </comment>
    <comment ref="W46" authorId="3" shapeId="0">
      <text>
        <r>
          <rPr>
            <b/>
            <sz val="9"/>
            <color indexed="81"/>
            <rFont val="Tahoma"/>
            <family val="2"/>
          </rPr>
          <t>User:</t>
        </r>
        <r>
          <rPr>
            <sz val="9"/>
            <color indexed="81"/>
            <rFont val="Tahoma"/>
            <family val="2"/>
          </rPr>
          <t xml:space="preserve">
Miễn nhiệm Trưởng BM Cơ khí chế tạo máy 1 từ 01/9/2015</t>
        </r>
      </text>
    </comment>
    <comment ref="X46" authorId="4"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
+ 35% từ 01/10/2024</t>
        </r>
      </text>
    </comment>
    <comment ref="R47" authorId="3"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7" authorId="7" shapeId="0">
      <text>
        <r>
          <rPr>
            <b/>
            <sz val="9"/>
            <color indexed="81"/>
            <rFont val="Tahoma"/>
            <family val="2"/>
          </rPr>
          <t>huynh-panda:</t>
        </r>
        <r>
          <rPr>
            <sz val="9"/>
            <color indexed="81"/>
            <rFont val="Tahoma"/>
            <family val="2"/>
          </rPr>
          <t xml:space="preserve">
- VK 5% từ 01/09/2022
- VK 6% từ 01/9/2023
- VK 7% từ 01/9/2024</t>
        </r>
      </text>
    </comment>
    <comment ref="W47" authorId="3" shapeId="0">
      <text>
        <r>
          <rPr>
            <b/>
            <sz val="9"/>
            <color indexed="81"/>
            <rFont val="Tahoma"/>
            <family val="2"/>
          </rPr>
          <t>User:</t>
        </r>
        <r>
          <rPr>
            <sz val="9"/>
            <color indexed="81"/>
            <rFont val="Tahoma"/>
            <family val="2"/>
          </rPr>
          <t xml:space="preserve">
Miễn nhiệm Trưởng bộ môn Cơ sở cơ khí từ 01/9/2015</t>
        </r>
      </text>
    </comment>
    <comment ref="X47" authorId="4"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+ 25% từ 01/9/2024</t>
        </r>
      </text>
    </comment>
    <comment ref="R48" authorId="3" shapeId="0">
      <text>
        <r>
          <rPr>
            <b/>
            <sz val="9"/>
            <color indexed="81"/>
            <rFont val="Tahoma"/>
            <family val="2"/>
          </rPr>
          <t>User:</t>
        </r>
        <r>
          <rPr>
            <sz val="9"/>
            <color indexed="81"/>
            <rFont val="Tahoma"/>
            <family val="2"/>
          </rPr>
          <t xml:space="preserve">
- HS 4,32 từ 1/9/2014
- HS 4,65 từ 01/9/2017
- HS 4,98 từ 01/9/2020</t>
        </r>
      </text>
    </comment>
    <comment ref="T48" authorId="2" shapeId="0">
      <text>
        <r>
          <rPr>
            <b/>
            <sz val="9"/>
            <color indexed="81"/>
            <rFont val="Tahoma"/>
            <family val="2"/>
          </rPr>
          <t>Windows User:</t>
        </r>
        <r>
          <rPr>
            <sz val="9"/>
            <color indexed="81"/>
            <rFont val="Tahoma"/>
            <family val="2"/>
          </rPr>
          <t xml:space="preserve">
- VK 5% từ 01/9/2023
- VK 6% từ 01/9/2024</t>
        </r>
      </text>
    </comment>
    <comment ref="X48" authorId="4"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
+ 24% từ 01/9/2024</t>
        </r>
      </text>
    </comment>
    <comment ref="R49" authorId="3" shapeId="0">
      <text>
        <r>
          <rPr>
            <b/>
            <sz val="9"/>
            <color indexed="81"/>
            <rFont val="Tahoma"/>
            <family val="2"/>
          </rPr>
          <t>User:</t>
        </r>
        <r>
          <rPr>
            <sz val="9"/>
            <color indexed="81"/>
            <rFont val="Tahoma"/>
            <family val="2"/>
          </rPr>
          <t xml:space="preserve">
- HS 4,65 từ 01/9/2015
- HS 4,98 từ 01/9/2018</t>
        </r>
      </text>
    </comment>
    <comment ref="T49" authorId="4" shapeId="0">
      <text>
        <r>
          <rPr>
            <b/>
            <sz val="9"/>
            <color indexed="81"/>
            <rFont val="Tahoma"/>
            <family val="2"/>
          </rPr>
          <t>user:</t>
        </r>
        <r>
          <rPr>
            <sz val="9"/>
            <color indexed="81"/>
            <rFont val="Tahoma"/>
            <family val="2"/>
          </rPr>
          <t xml:space="preserve">
- VK 5% từ 01/9/2021
- VK 6% từ 01/9/2022
- VK 7% từ 01/9/2023
- VK 8% từ 01/9/2024</t>
        </r>
      </text>
    </comment>
    <comment ref="X49" authorId="3"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
- 18% từ 01/8/2024</t>
        </r>
      </text>
    </comment>
    <comment ref="T50" authorId="0" shapeId="0">
      <text>
        <r>
          <rPr>
            <b/>
            <sz val="9"/>
            <color indexed="81"/>
            <rFont val="Tahoma"/>
            <family val="2"/>
          </rPr>
          <t>Admin:</t>
        </r>
        <r>
          <rPr>
            <sz val="9"/>
            <color indexed="81"/>
            <rFont val="Tahoma"/>
            <family val="2"/>
          </rPr>
          <t xml:space="preserve">
- 6% từ 01/5/2018
- 7% từ 01/5/2019
- 8% từ 01/5/2020
- 9% từ 01/5/2021
- 10% từ 01/5/2022
- 11% từ 01/5/2023
- 12% từ 01/5/2024</t>
        </r>
      </text>
    </comment>
    <comment ref="X50" authorId="6"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
+ 33% từ 01/05/2024</t>
        </r>
      </text>
    </comment>
    <comment ref="R51" authorId="3"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1" authorId="4"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1" authorId="4"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2" authorId="3"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
+ 17% từ 01/10/2024</t>
        </r>
      </text>
    </comment>
    <comment ref="W52" authorId="4"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2" authorId="4"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
+ 35% từ 01/10/2024</t>
        </r>
      </text>
    </comment>
    <comment ref="R53" authorId="3" shapeId="0">
      <text>
        <r>
          <rPr>
            <b/>
            <sz val="9"/>
            <color indexed="81"/>
            <rFont val="Tahoma"/>
            <family val="2"/>
          </rPr>
          <t>User:</t>
        </r>
        <r>
          <rPr>
            <sz val="9"/>
            <color indexed="81"/>
            <rFont val="Tahoma"/>
            <family val="2"/>
          </rPr>
          <t xml:space="preserve">
- HS 4,65 từ 01/05/2014 (Nâng lương trước hạn 2015)
- HS 4,98 từ 01/5/2017</t>
        </r>
      </text>
    </comment>
    <comment ref="T53" authorId="4"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53" authorId="3"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3" authorId="6"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
+ 26% từ 01/5/2024</t>
        </r>
      </text>
    </comment>
    <comment ref="R54" authorId="3"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4" authorId="7" shapeId="0">
      <text>
        <r>
          <rPr>
            <b/>
            <sz val="9"/>
            <color indexed="81"/>
            <rFont val="Tahoma"/>
            <family val="2"/>
          </rPr>
          <t>huynh-panda:</t>
        </r>
        <r>
          <rPr>
            <sz val="9"/>
            <color indexed="81"/>
            <rFont val="Tahoma"/>
            <family val="2"/>
          </rPr>
          <t xml:space="preserve">
- VK 5% từ 01/9/2022
- VK 6% từ 01/9/2023
- VK 7% từ 01/9/2024</t>
        </r>
      </text>
    </comment>
    <comment ref="W54" authorId="4" shapeId="0">
      <text>
        <r>
          <rPr>
            <b/>
            <sz val="8"/>
            <color indexed="81"/>
            <rFont val="Tahoma"/>
            <family val="2"/>
          </rPr>
          <t>user:</t>
        </r>
        <r>
          <rPr>
            <sz val="8"/>
            <color indexed="81"/>
            <rFont val="Tahoma"/>
            <family val="2"/>
          </rPr>
          <t xml:space="preserve">
Miễn nhiệm phó TK từ 15/11/2013</t>
        </r>
      </text>
    </comment>
    <comment ref="X54" authorId="4"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
+ 24% từ 01/9/2024</t>
        </r>
      </text>
    </comment>
    <comment ref="R55" authorId="3"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5" authorId="2" shapeId="0">
      <text>
        <r>
          <rPr>
            <b/>
            <sz val="9"/>
            <color indexed="81"/>
            <rFont val="Tahoma"/>
            <family val="2"/>
          </rPr>
          <t>Windows User:</t>
        </r>
        <r>
          <rPr>
            <sz val="9"/>
            <color indexed="81"/>
            <rFont val="Tahoma"/>
            <family val="2"/>
          </rPr>
          <t xml:space="preserve">
- VK 5% từ 01/10/2022
- VK 6% từ 01/10/2023
- VK 7% từ 01/10/2024</t>
        </r>
      </text>
    </comment>
    <comment ref="X55" authorId="4"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
+ 25% từ 01/10/2024</t>
        </r>
      </text>
    </comment>
    <comment ref="R56" authorId="0" shapeId="0">
      <text>
        <r>
          <rPr>
            <b/>
            <sz val="9"/>
            <color indexed="81"/>
            <rFont val="Tahoma"/>
            <family val="2"/>
          </rPr>
          <t>Admin:</t>
        </r>
        <r>
          <rPr>
            <sz val="9"/>
            <color indexed="81"/>
            <rFont val="Tahoma"/>
            <family val="2"/>
          </rPr>
          <t xml:space="preserve">
- HS 3,99 từ 01/9/15 (NL trước hạn)
- HS 4,32 từ 01/9/18
- HS 4,65 từ 01/9/21
- HS 4,98 từ 01/9/2024</t>
        </r>
      </text>
    </comment>
    <comment ref="W56" authorId="3"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6" authorId="4"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
+ 22% từ 01/9/2024</t>
        </r>
      </text>
    </comment>
    <comment ref="R57" authorId="0" shapeId="0">
      <text>
        <r>
          <rPr>
            <b/>
            <sz val="9"/>
            <color indexed="81"/>
            <rFont val="Tahoma"/>
            <family val="2"/>
          </rPr>
          <t>Admin:</t>
        </r>
        <r>
          <rPr>
            <sz val="9"/>
            <color indexed="81"/>
            <rFont val="Tahoma"/>
            <family val="2"/>
          </rPr>
          <t xml:space="preserve">
- HS 3,66 từ 01/9/2016
- HS 3,99 từ 01/9/2019
- HS 4,32 từ 01/9/2022
</t>
        </r>
      </text>
    </comment>
    <comment ref="X57" authorId="4"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
+ 20% từ 01/9/2024</t>
        </r>
      </text>
    </comment>
    <comment ref="R58" authorId="3"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X58" authorId="4"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+ 21% từ 01/9/2024</t>
        </r>
      </text>
    </comment>
    <comment ref="R59" authorId="0" shapeId="0">
      <text>
        <r>
          <rPr>
            <b/>
            <sz val="9"/>
            <color indexed="81"/>
            <rFont val="Tahoma"/>
            <family val="2"/>
          </rPr>
          <t>Admin:</t>
        </r>
        <r>
          <rPr>
            <sz val="9"/>
            <color indexed="81"/>
            <rFont val="Tahoma"/>
            <family val="2"/>
          </rPr>
          <t xml:space="preserve">
- HS 3,66 từ 01/9/2016
- HS 3,99 từ 01/9/2019
- HS 4,32 từ 01/09/2022</t>
        </r>
      </text>
    </comment>
    <comment ref="X59" authorId="4"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
+ 20% từ 01/9/2024</t>
        </r>
      </text>
    </comment>
    <comment ref="R60" authorId="3"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0" authorId="4"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0" authorId="4"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
+ 22% từ 01/9/2024</t>
        </r>
      </text>
    </comment>
    <comment ref="T61" authorId="5" shapeId="0">
      <text>
        <r>
          <rPr>
            <b/>
            <sz val="9"/>
            <color indexed="81"/>
            <rFont val="Tahoma"/>
            <family val="2"/>
          </rPr>
          <t>Quynh:</t>
        </r>
        <r>
          <rPr>
            <sz val="9"/>
            <color indexed="81"/>
            <rFont val="Tahoma"/>
            <family val="2"/>
          </rPr>
          <t xml:space="preserve">
- 7% từ 01/01/2019
- 8% từ 01/01/2020
- 9% từ 01/01/2021
- 10% từ 01/01/2022
- 11% từ 01/01/2023
- 12% từ 01/01/2024</t>
        </r>
      </text>
    </comment>
    <comment ref="X61" authorId="4"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
+ 33% từ 01/10/2024</t>
        </r>
      </text>
    </comment>
    <comment ref="R62" authorId="3" shapeId="0">
      <text>
        <r>
          <rPr>
            <b/>
            <sz val="9"/>
            <color indexed="81"/>
            <rFont val="Tahoma"/>
            <family val="2"/>
          </rPr>
          <t>User:</t>
        </r>
        <r>
          <rPr>
            <sz val="9"/>
            <color indexed="81"/>
            <rFont val="Tahoma"/>
            <family val="2"/>
          </rPr>
          <t xml:space="preserve">
- HS 4,65 từ 01/5/2014 (Nâng lương trước hạn năm 2015)
- HS 4,98 từ 01/5/2017</t>
        </r>
      </text>
    </comment>
    <comment ref="T62" authorId="4" shapeId="0">
      <text>
        <r>
          <rPr>
            <b/>
            <sz val="9"/>
            <color indexed="81"/>
            <rFont val="Tahoma"/>
            <family val="2"/>
          </rPr>
          <t>user:</t>
        </r>
        <r>
          <rPr>
            <sz val="9"/>
            <color indexed="81"/>
            <rFont val="Tahoma"/>
            <family val="2"/>
          </rPr>
          <t xml:space="preserve">
- VK 5% từ 01/05/2020
- VK 6% từ 01/05/2021
- VK 7% từ 01/05/2022
- VK 8% từ 01/05/2023
- VK 9% từ 01/05/2024</t>
        </r>
      </text>
    </comment>
    <comment ref="W62" authorId="3"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2" authorId="6"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
+ 26% từ 01/5/2026</t>
        </r>
      </text>
    </comment>
    <comment ref="R63" authorId="3"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X63" authorId="4"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+ 21% từ 01/9/2024</t>
        </r>
      </text>
    </comment>
    <comment ref="R64" authorId="3"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W64" authorId="4"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4" authorId="4"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+ 21% từ 01/9/2024</t>
        </r>
      </text>
    </comment>
    <comment ref="R65" authorId="3"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5" authorId="4"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
+ 20% từ 01/9/2024</t>
        </r>
      </text>
    </comment>
    <comment ref="R66" authorId="3"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6" authorId="4" shapeId="0">
      <text>
        <r>
          <rPr>
            <sz val="8"/>
            <color indexed="81"/>
            <rFont val="Tahoma"/>
            <family val="2"/>
          </rPr>
          <t>9% Từ 01/09/2013
+ 10% từ 01/9/2014
+ 11% từ 01/9/2015
+ 12% từ 01/9/2016
+ 13% từ 01/9/2017
+ 14% từ 01/9/2018
+ 15% từ 01/9/2019
+ 16% từ 01/9/2020
+ 17% từ 01/9/2021
+ 18% từ 01/9/2022
+ 19% từ 01/9/2023
+ 20% từ 01/9/2024</t>
        </r>
      </text>
    </comment>
    <comment ref="R67" authorId="3"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7" authorId="4"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
+ 20% từ 01/9/2024</t>
        </r>
      </text>
    </comment>
    <comment ref="R68" authorId="3"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8" authorId="4" shapeId="0">
      <text>
        <r>
          <rPr>
            <sz val="12"/>
            <color indexed="81"/>
            <rFont val="Times New Roman"/>
            <family val="1"/>
          </rPr>
          <t>9% Từ 01/09/2013
+ 10% từ 01/9/2014
+ 11% từ 01/9/2015
+ 12% từ 01/9/2016
+ 13% từ 01/9/2017
+ 14% từ 01/9/2018
+ 15% từ 01/9/2019
+ 16% từ 01/9/2020
+ 17% từ 01/9/2021
+ 18% từ 01/9/2022
+ 19% từ 01/9/2023
+ 20% từ 01/9/2024</t>
        </r>
      </text>
    </comment>
    <comment ref="R69" authorId="3" shapeId="0">
      <text>
        <r>
          <rPr>
            <b/>
            <sz val="9"/>
            <color indexed="81"/>
            <rFont val="Tahoma"/>
            <family val="2"/>
          </rPr>
          <t>User:</t>
        </r>
        <r>
          <rPr>
            <sz val="9"/>
            <color indexed="81"/>
            <rFont val="Tahoma"/>
            <family val="2"/>
          </rPr>
          <t xml:space="preserve">
- HS 3.66 từ 01/09/2013 (NL trước hạn)
- HS 3,99 từ 01/9/2016
- HS 4,32 từ 01/9/2018 (NL trước hạn)
- HS 4,65 từ 01/9/2021
- HS 4,98 từ 01/9/2023 (NL trước hạn)</t>
        </r>
      </text>
    </comment>
    <comment ref="X69" authorId="4"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
+ 21% từ 01/9/2024</t>
        </r>
      </text>
    </comment>
    <comment ref="R70" authorId="3"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0" authorId="4" shapeId="0">
      <text>
        <r>
          <rPr>
            <b/>
            <sz val="8"/>
            <color indexed="81"/>
            <rFont val="Tahoma"/>
            <family val="2"/>
          </rPr>
          <t>user:</t>
        </r>
        <r>
          <rPr>
            <sz val="8"/>
            <color indexed="81"/>
            <rFont val="Tahoma"/>
            <family val="2"/>
          </rPr>
          <t xml:space="preserve">
QĐ Miễn nhiệm Phó trưởng khoa từ 01/06/2012</t>
        </r>
      </text>
    </comment>
    <comment ref="X70" authorId="4"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
+ 22% từ 01/9/2024</t>
        </r>
      </text>
    </comment>
    <comment ref="R71" authorId="3"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1" authorId="4"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+ 21% từ 01/9/2024</t>
        </r>
      </text>
    </comment>
    <comment ref="R72" authorId="3" shapeId="0">
      <text>
        <r>
          <rPr>
            <b/>
            <sz val="9"/>
            <color indexed="81"/>
            <rFont val="Tahoma"/>
            <family val="2"/>
          </rPr>
          <t>User:</t>
        </r>
        <r>
          <rPr>
            <sz val="9"/>
            <color indexed="81"/>
            <rFont val="Tahoma"/>
            <family val="2"/>
          </rPr>
          <t xml:space="preserve">
- HS 4,32 từ 01/10/2015
- HS 4,65 từ 01/10/2018
- HS 4,98 từ 01/10/2021</t>
        </r>
      </text>
    </comment>
    <comment ref="T72" authorId="2" shapeId="0">
      <text>
        <r>
          <rPr>
            <b/>
            <sz val="9"/>
            <color indexed="81"/>
            <rFont val="Tahoma"/>
            <family val="2"/>
          </rPr>
          <t>Windows User:</t>
        </r>
        <r>
          <rPr>
            <sz val="9"/>
            <color indexed="81"/>
            <rFont val="Tahoma"/>
            <family val="2"/>
          </rPr>
          <t xml:space="preserve">
- VK 5% từ 01/10/2024</t>
        </r>
      </text>
    </comment>
    <comment ref="X72" authorId="4"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
+ 23% từ 01/10/2024</t>
        </r>
      </text>
    </comment>
    <comment ref="R75" authorId="2" shapeId="0">
      <text>
        <r>
          <rPr>
            <b/>
            <sz val="9"/>
            <color indexed="81"/>
            <rFont val="Tahoma"/>
            <family val="2"/>
          </rPr>
          <t>Windows User:</t>
        </r>
        <r>
          <rPr>
            <sz val="9"/>
            <color indexed="81"/>
            <rFont val="Tahoma"/>
            <family val="2"/>
          </rPr>
          <t xml:space="preserve">
- Tuyển dụng thử việc từ 01/9/2023 (HS 2,34)</t>
        </r>
      </text>
    </comment>
    <comment ref="R78" authorId="2" shapeId="0">
      <text>
        <r>
          <rPr>
            <b/>
            <sz val="9"/>
            <color indexed="81"/>
            <rFont val="Tahoma"/>
            <family val="2"/>
          </rPr>
          <t>Windows User:</t>
        </r>
        <r>
          <rPr>
            <sz val="9"/>
            <color indexed="81"/>
            <rFont val="Tahoma"/>
            <family val="2"/>
          </rPr>
          <t xml:space="preserve">
- HS 1,989 (tập sự 7 tháng từ T10/24 đến đến hết T4/25)</t>
        </r>
      </text>
    </comment>
    <comment ref="R79" authorId="2" shapeId="0">
      <text>
        <r>
          <rPr>
            <b/>
            <sz val="9"/>
            <color indexed="81"/>
            <rFont val="Tahoma"/>
            <family val="2"/>
          </rPr>
          <t>Windows User:</t>
        </r>
        <r>
          <rPr>
            <sz val="9"/>
            <color indexed="81"/>
            <rFont val="Tahoma"/>
            <family val="2"/>
          </rPr>
          <t xml:space="preserve">
- Tuyển dụng thử việc từ 01/01/2024: HS 2,34 (85%)</t>
        </r>
      </text>
    </comment>
    <comment ref="R83" authorId="4" shapeId="0">
      <text>
        <r>
          <rPr>
            <b/>
            <sz val="9"/>
            <color indexed="81"/>
            <rFont val="Tahoma"/>
            <family val="2"/>
          </rPr>
          <t>user:</t>
        </r>
        <r>
          <rPr>
            <sz val="9"/>
            <color indexed="81"/>
            <rFont val="Tahoma"/>
            <family val="2"/>
          </rPr>
          <t xml:space="preserve">
- HS 3,00 từ 01/10/2019
- HS 3,33 từ 01/10/2021 (NL trước hạn)
- HS 3,66 từ 01/10/2024</t>
        </r>
      </text>
    </comment>
    <comment ref="W83" authorId="4" shapeId="0">
      <text>
        <r>
          <rPr>
            <b/>
            <sz val="9"/>
            <color indexed="81"/>
            <rFont val="Tahoma"/>
            <family val="2"/>
          </rPr>
          <t>user:</t>
        </r>
        <r>
          <rPr>
            <sz val="9"/>
            <color indexed="81"/>
            <rFont val="Tahoma"/>
            <family val="2"/>
          </rPr>
          <t xml:space="preserve">
- QĐ BN Phó phòng từ 01/9/2020</t>
        </r>
      </text>
    </comment>
    <comment ref="R84" authorId="4" shapeId="0">
      <text>
        <r>
          <rPr>
            <b/>
            <sz val="9"/>
            <color indexed="81"/>
            <rFont val="Tahoma"/>
            <family val="2"/>
          </rPr>
          <t>user:</t>
        </r>
        <r>
          <rPr>
            <sz val="9"/>
            <color indexed="81"/>
            <rFont val="Tahoma"/>
            <family val="2"/>
          </rPr>
          <t xml:space="preserve">
- HS 2,67 từ 01/11/2020
- HS 3,00 từ 01/11/2022 (NL trước hạn)</t>
        </r>
      </text>
    </comment>
    <comment ref="W84" authorId="4" shapeId="0">
      <text>
        <r>
          <rPr>
            <b/>
            <sz val="9"/>
            <color indexed="81"/>
            <rFont val="Tahoma"/>
            <family val="2"/>
          </rPr>
          <t>user:</t>
        </r>
        <r>
          <rPr>
            <sz val="9"/>
            <color indexed="81"/>
            <rFont val="Tahoma"/>
            <family val="2"/>
          </rPr>
          <t xml:space="preserve">
- Phó TP TC - HC - TH từ T01/3/2021</t>
        </r>
      </text>
    </comment>
    <comment ref="R85" authorId="3"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6" authorId="5" shapeId="0">
      <text>
        <r>
          <rPr>
            <b/>
            <sz val="9"/>
            <color indexed="81"/>
            <rFont val="Tahoma"/>
            <family val="2"/>
          </rPr>
          <t>Quynh:</t>
        </r>
        <r>
          <rPr>
            <sz val="9"/>
            <color indexed="81"/>
            <rFont val="Tahoma"/>
            <family val="2"/>
          </rPr>
          <t xml:space="preserve">
- HS 2,10 từ 01/04/2019
- HS 2,41 từ 01/04/2022
- HS 2,26 từ 01/04/2022 (HS Chênh lệch bảo lưu: 0,15)
- HS 2,46 từ 01/04/2023 (HS Chênh lệch bảo lưu: 0,15)</t>
        </r>
      </text>
    </comment>
    <comment ref="R87" authorId="3"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
- HS 3,99 từ 01/6/2024 </t>
        </r>
      </text>
    </comment>
    <comment ref="R88" authorId="4"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
- HS 3,66 từ 01/6/2023 (NL trước hạn)</t>
        </r>
      </text>
    </comment>
    <comment ref="R89" authorId="3"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0" authorId="3"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1" authorId="2"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E91" authorId="2" shapeId="0">
      <text>
        <r>
          <rPr>
            <b/>
            <sz val="9"/>
            <color indexed="81"/>
            <rFont val="Tahoma"/>
            <family val="2"/>
          </rPr>
          <t>Windows User:</t>
        </r>
        <r>
          <rPr>
            <sz val="9"/>
            <color indexed="81"/>
            <rFont val="Tahoma"/>
            <family val="2"/>
          </rPr>
          <t xml:space="preserve">
- Về phòng Tổ chức từ 01/4/2023
- Về phòng KHCN HTQT từ 01/01/2024</t>
        </r>
      </text>
    </comment>
    <comment ref="R91" authorId="2" shapeId="0">
      <text>
        <r>
          <rPr>
            <b/>
            <sz val="9"/>
            <color indexed="81"/>
            <rFont val="Tahoma"/>
            <family val="2"/>
          </rPr>
          <t>Windows User:</t>
        </r>
        <r>
          <rPr>
            <sz val="9"/>
            <color indexed="81"/>
            <rFont val="Tahoma"/>
            <family val="2"/>
          </rPr>
          <t xml:space="preserve">
- HS 3,66 từ 01/01/2022</t>
        </r>
      </text>
    </comment>
    <comment ref="R92" authorId="3"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
- HS 3,99 từ 01/4/2024</t>
        </r>
      </text>
    </comment>
    <comment ref="R93" authorId="0"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4" authorId="3"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5" authorId="3"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5" authorId="3" shapeId="0">
      <text>
        <r>
          <rPr>
            <b/>
            <sz val="9"/>
            <color indexed="81"/>
            <rFont val="Tahoma"/>
            <family val="2"/>
          </rPr>
          <t>User:</t>
        </r>
        <r>
          <rPr>
            <sz val="9"/>
            <color indexed="81"/>
            <rFont val="Tahoma"/>
            <family val="2"/>
          </rPr>
          <t xml:space="preserve">
+ BN Tổ trưởng từ 01/11/2013</t>
        </r>
      </text>
    </comment>
    <comment ref="R96" authorId="3"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97" authorId="3" shapeId="0">
      <text>
        <r>
          <rPr>
            <b/>
            <sz val="9"/>
            <color indexed="81"/>
            <rFont val="Tahoma"/>
            <family val="2"/>
          </rPr>
          <t>User:</t>
        </r>
        <r>
          <rPr>
            <sz val="9"/>
            <color indexed="81"/>
            <rFont val="Tahoma"/>
            <family val="2"/>
          </rPr>
          <t xml:space="preserve">
+ HS 2,10 từ 01/11/2013
+ HS 2,41 từ 01/11/2015 (NL trước hạn)
+ HS 2,72 từ 01/11/2018
+ HS 3,03 từ 01/11/2021
+ HS 3,34 từ 01/11/2024</t>
        </r>
      </text>
    </comment>
    <comment ref="R98" authorId="3"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98" authorId="3"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99" authorId="4" shapeId="0">
      <text>
        <r>
          <rPr>
            <b/>
            <sz val="9"/>
            <color indexed="81"/>
            <rFont val="Tahoma"/>
            <family val="2"/>
          </rPr>
          <t>user:</t>
        </r>
        <r>
          <rPr>
            <sz val="9"/>
            <color indexed="81"/>
            <rFont val="Tahoma"/>
            <family val="2"/>
          </rPr>
          <t xml:space="preserve">
- HS 2,67 từ 01/2/2019 (NL trước hạn)
- HS 3,00 từ 01/2/2022</t>
        </r>
      </text>
    </comment>
    <comment ref="W99" authorId="2" shapeId="0">
      <text>
        <r>
          <rPr>
            <b/>
            <sz val="9"/>
            <color indexed="81"/>
            <rFont val="Tahoma"/>
            <family val="2"/>
          </rPr>
          <t>Windows User:</t>
        </r>
        <r>
          <rPr>
            <sz val="9"/>
            <color indexed="81"/>
            <rFont val="Tahoma"/>
            <family val="2"/>
          </rPr>
          <t xml:space="preserve">
- Phó GĐ TT Đào tạo LTT từ ngày 01/10/2023</t>
        </r>
      </text>
    </comment>
    <comment ref="R100" authorId="4" shapeId="0">
      <text>
        <r>
          <rPr>
            <b/>
            <sz val="9"/>
            <color indexed="81"/>
            <rFont val="Tahoma"/>
            <family val="2"/>
          </rPr>
          <t>user:</t>
        </r>
        <r>
          <rPr>
            <sz val="9"/>
            <color indexed="81"/>
            <rFont val="Tahoma"/>
            <family val="2"/>
          </rPr>
          <t xml:space="preserve">
- HS 2,34 từ 01/11/2020
- HS 2,67 từ 01/11/2022 (NL trước hạn)</t>
        </r>
      </text>
    </comment>
    <comment ref="R101" authorId="3"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
- HS 3,66 từ 01/10/2024</t>
        </r>
      </text>
    </comment>
    <comment ref="R102" authorId="0" shapeId="0">
      <text>
        <r>
          <rPr>
            <b/>
            <sz val="9"/>
            <color indexed="81"/>
            <rFont val="Tahoma"/>
            <family val="2"/>
          </rPr>
          <t>Admin:</t>
        </r>
        <r>
          <rPr>
            <sz val="9"/>
            <color indexed="81"/>
            <rFont val="Tahoma"/>
            <family val="2"/>
          </rPr>
          <t xml:space="preserve">
- HS 2.66 từ 01/4/2016
- HS 2,86 từ 01/04/2018
- HS 3,06 từ 01/04/2020
- HS 3,26 từ 01/04/2022
- HS 3,46 từ 01/4/2024</t>
        </r>
      </text>
    </comment>
    <comment ref="R103" authorId="0"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4" authorId="0"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5" authorId="3"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6" authorId="2" shapeId="0">
      <text>
        <r>
          <rPr>
            <b/>
            <sz val="9"/>
            <color indexed="81"/>
            <rFont val="Tahoma"/>
            <family val="2"/>
          </rPr>
          <t>Windows User:</t>
        </r>
        <r>
          <rPr>
            <sz val="9"/>
            <color indexed="81"/>
            <rFont val="Tahoma"/>
            <family val="2"/>
          </rPr>
          <t xml:space="preserve">
- Kế toán viên từ 23/11/2022</t>
        </r>
      </text>
    </comment>
    <comment ref="R106" authorId="3"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07" authorId="3"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08" authorId="3"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
- HS 3,00 từ 01/6/2024</t>
        </r>
      </text>
    </comment>
    <comment ref="R109" authorId="4" shapeId="0">
      <text>
        <r>
          <rPr>
            <b/>
            <sz val="9"/>
            <color indexed="81"/>
            <rFont val="Tahoma"/>
            <family val="2"/>
          </rPr>
          <t>user:</t>
        </r>
        <r>
          <rPr>
            <sz val="9"/>
            <color indexed="81"/>
            <rFont val="Tahoma"/>
            <family val="2"/>
          </rPr>
          <t xml:space="preserve">
- BNCD NN từ 01/10/2019 (HS 2,34)
- HS 2,67 từ 01/10/2021(NL trước hạn)
- HS 3,00 từ 01/10/2024</t>
        </r>
      </text>
    </comment>
    <comment ref="W109" authorId="4"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09" authorId="4" shapeId="0">
      <text>
        <r>
          <rPr>
            <b/>
            <sz val="9"/>
            <color indexed="81"/>
            <rFont val="Tahoma"/>
            <family val="2"/>
          </rPr>
          <t>user:</t>
        </r>
        <r>
          <rPr>
            <sz val="9"/>
            <color indexed="81"/>
            <rFont val="Tahoma"/>
            <family val="2"/>
          </rPr>
          <t xml:space="preserve">
- Bí thư Đoàn TN hưởng PCTN 0,45</t>
        </r>
      </text>
    </comment>
    <comment ref="R110" authorId="3"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0" authorId="3"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0" authorId="4"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01/9/2023
+ 17% từ 01/9/2024</t>
        </r>
      </text>
    </comment>
    <comment ref="R111" authorId="3"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2" authorId="0"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3" authorId="0"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4" authorId="4" shapeId="0">
      <text>
        <r>
          <rPr>
            <b/>
            <sz val="9"/>
            <color indexed="81"/>
            <rFont val="Tahoma"/>
            <family val="2"/>
          </rPr>
          <t>user:</t>
        </r>
        <r>
          <rPr>
            <sz val="9"/>
            <color indexed="81"/>
            <rFont val="Tahoma"/>
            <family val="2"/>
          </rPr>
          <t xml:space="preserve">
- HS 3,00 từ 01/9/2019
- HS 3,33 từ 01/9/2021 (NL trước hạn)
- HS 3,66 từ 01/9/2024</t>
        </r>
      </text>
    </comment>
    <comment ref="R115" authorId="3" shapeId="0">
      <text>
        <r>
          <rPr>
            <b/>
            <sz val="9"/>
            <color indexed="81"/>
            <rFont val="Tahoma"/>
            <family val="2"/>
          </rPr>
          <t>User:</t>
        </r>
        <r>
          <rPr>
            <sz val="9"/>
            <color indexed="81"/>
            <rFont val="Tahoma"/>
            <family val="2"/>
          </rPr>
          <t xml:space="preserve">
- HS 2,46
- HS 2,66 từ 01/11/16
- HS 2,86 từ 01/11/2018
- HS 3,06 từ 01/11/2020
- HS 3,33 từ 01/06/2021
- HS 3,66 từ 01/06/2024</t>
        </r>
      </text>
    </comment>
    <comment ref="O116" authorId="4" shapeId="0">
      <text>
        <r>
          <rPr>
            <b/>
            <sz val="9"/>
            <color indexed="81"/>
            <rFont val="Tahoma"/>
            <family val="2"/>
          </rPr>
          <t>user:</t>
        </r>
        <r>
          <rPr>
            <sz val="9"/>
            <color indexed="81"/>
            <rFont val="Tahoma"/>
            <family val="2"/>
          </rPr>
          <t xml:space="preserve">
Chuyển mã ngạch từ 30/10/2020
</t>
        </r>
      </text>
    </comment>
    <comment ref="R116" authorId="4" shapeId="0">
      <text>
        <r>
          <rPr>
            <b/>
            <sz val="9"/>
            <color indexed="81"/>
            <rFont val="Tahoma"/>
            <family val="2"/>
          </rPr>
          <t>user:</t>
        </r>
        <r>
          <rPr>
            <sz val="9"/>
            <color indexed="81"/>
            <rFont val="Tahoma"/>
            <family val="2"/>
          </rPr>
          <t xml:space="preserve">
- HS 3,33 từ 01/11/2019
- HS 3,66 từ 01/11/2022</t>
        </r>
      </text>
    </comment>
    <comment ref="D117" authorId="0" shapeId="0">
      <text>
        <r>
          <rPr>
            <b/>
            <sz val="9"/>
            <color indexed="81"/>
            <rFont val="Tahoma"/>
            <family val="2"/>
          </rPr>
          <t>Admin:</t>
        </r>
        <r>
          <rPr>
            <sz val="9"/>
            <color indexed="81"/>
            <rFont val="Tahoma"/>
            <family val="2"/>
          </rPr>
          <t xml:space="preserve">
Chuyển về phòng TS - ĐT từ ngày 01/8/2017</t>
        </r>
      </text>
    </comment>
    <comment ref="R117" authorId="4"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E118" authorId="5" shapeId="0">
      <text>
        <r>
          <rPr>
            <b/>
            <sz val="9"/>
            <color indexed="81"/>
            <rFont val="Tahoma"/>
            <family val="2"/>
          </rPr>
          <t>Quynh:</t>
        </r>
        <r>
          <rPr>
            <sz val="9"/>
            <color indexed="81"/>
            <rFont val="Tahoma"/>
            <family val="2"/>
          </rPr>
          <t xml:space="preserve">
- Nhân viên phòng Thanh tra GD - QHDN từ 01/03/2024</t>
        </r>
      </text>
    </comment>
    <comment ref="R118" authorId="0"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19" authorId="0" shapeId="0">
      <text>
        <r>
          <rPr>
            <b/>
            <sz val="9"/>
            <color indexed="81"/>
            <rFont val="Tahoma"/>
            <family val="2"/>
          </rPr>
          <t>Admin:</t>
        </r>
        <r>
          <rPr>
            <sz val="9"/>
            <color indexed="81"/>
            <rFont val="Tahoma"/>
            <family val="2"/>
          </rPr>
          <t xml:space="preserve">
Chuyển về Tổ Thanh tra - Pháp chế từ 01/8/2017</t>
        </r>
      </text>
    </comment>
    <comment ref="E119" authorId="2" shapeId="0">
      <text>
        <r>
          <rPr>
            <b/>
            <sz val="9"/>
            <color indexed="81"/>
            <rFont val="Tahoma"/>
            <family val="2"/>
          </rPr>
          <t>Windows User:</t>
        </r>
        <r>
          <rPr>
            <sz val="9"/>
            <color indexed="81"/>
            <rFont val="Tahoma"/>
            <family val="2"/>
          </rPr>
          <t xml:space="preserve">
- Từ phòng Thanh tra sang Phòng TS - ĐT từ 01/10/2023</t>
        </r>
      </text>
    </comment>
    <comment ref="R119" authorId="3" shapeId="0">
      <text>
        <r>
          <rPr>
            <b/>
            <sz val="9"/>
            <color indexed="81"/>
            <rFont val="Tahoma"/>
            <family val="2"/>
          </rPr>
          <t>User:</t>
        </r>
        <r>
          <rPr>
            <sz val="9"/>
            <color indexed="81"/>
            <rFont val="Tahoma"/>
            <family val="2"/>
          </rPr>
          <t xml:space="preserve">
BN CDNN từ 01/8/14 
- Mốc nâng lương 01/3/2012
- HS 3,99 từ 01/3/18
- HS 4,32 từ 01/3/2021
- HS 4,65 từ 01/3/2024</t>
        </r>
      </text>
    </comment>
    <comment ref="E120" authorId="5" shapeId="0">
      <text>
        <r>
          <rPr>
            <b/>
            <sz val="9"/>
            <color indexed="81"/>
            <rFont val="Tahoma"/>
            <family val="2"/>
          </rPr>
          <t>Quynh:</t>
        </r>
        <r>
          <rPr>
            <sz val="9"/>
            <color indexed="81"/>
            <rFont val="Tahoma"/>
            <family val="2"/>
          </rPr>
          <t xml:space="preserve">
- Nhân viên phòng Thanh tra GD - QHDN từ 01/03/2024</t>
        </r>
      </text>
    </comment>
    <comment ref="O120" authorId="4" shapeId="0">
      <text>
        <r>
          <rPr>
            <b/>
            <sz val="9"/>
            <color indexed="81"/>
            <rFont val="Tahoma"/>
            <family val="2"/>
          </rPr>
          <t>user:</t>
        </r>
        <r>
          <rPr>
            <sz val="9"/>
            <color indexed="81"/>
            <rFont val="Tahoma"/>
            <family val="2"/>
          </rPr>
          <t xml:space="preserve">
Chuyển mã ngạch từ 30/10/20</t>
        </r>
      </text>
    </comment>
    <comment ref="R120" authorId="0" shapeId="0">
      <text>
        <r>
          <rPr>
            <b/>
            <sz val="9"/>
            <color indexed="81"/>
            <rFont val="Tahoma"/>
            <family val="2"/>
          </rPr>
          <t>Admin:</t>
        </r>
        <r>
          <rPr>
            <sz val="9"/>
            <color indexed="81"/>
            <rFont val="Tahoma"/>
            <family val="2"/>
          </rPr>
          <t xml:space="preserve">
- HS 3,00 từ 01/9/2016
- HS 3,33 từ 01/9/2019
- HS 3,66 từ 01/9/2022</t>
        </r>
      </text>
    </comment>
    <comment ref="E121" authorId="5" shapeId="0">
      <text>
        <r>
          <rPr>
            <b/>
            <sz val="9"/>
            <color indexed="81"/>
            <rFont val="Tahoma"/>
            <family val="2"/>
          </rPr>
          <t>Quynh:</t>
        </r>
        <r>
          <rPr>
            <sz val="9"/>
            <color indexed="81"/>
            <rFont val="Tahoma"/>
            <family val="2"/>
          </rPr>
          <t xml:space="preserve">
- Nhân viên phòng Thanh tra GD - QHDN từ 01/03/2024</t>
        </r>
      </text>
    </comment>
    <comment ref="R121" authorId="3"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E122" authorId="5" shapeId="0">
      <text>
        <r>
          <rPr>
            <b/>
            <sz val="9"/>
            <color indexed="81"/>
            <rFont val="Tahoma"/>
            <family val="2"/>
          </rPr>
          <t>Quynh:</t>
        </r>
        <r>
          <rPr>
            <sz val="9"/>
            <color indexed="81"/>
            <rFont val="Tahoma"/>
            <family val="2"/>
          </rPr>
          <t xml:space="preserve">
- Nhân viên phòng Thanh tra GD - QHDN từ 01/03/2024</t>
        </r>
      </text>
    </comment>
    <comment ref="R122" authorId="3"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3" authorId="4" shapeId="0">
      <text>
        <r>
          <rPr>
            <b/>
            <sz val="9"/>
            <color indexed="81"/>
            <rFont val="Tahoma"/>
            <family val="2"/>
          </rPr>
          <t>user:</t>
        </r>
        <r>
          <rPr>
            <sz val="9"/>
            <color indexed="81"/>
            <rFont val="Tahoma"/>
            <family val="2"/>
          </rPr>
          <t xml:space="preserve">
Phó TP Khảo thí từ T4/2022</t>
        </r>
      </text>
    </comment>
    <comment ref="R123" authorId="3"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3" authorId="4" shapeId="0">
      <text>
        <r>
          <rPr>
            <b/>
            <sz val="8"/>
            <color indexed="81"/>
            <rFont val="Tahoma"/>
            <family val="2"/>
          </rPr>
          <t>user:</t>
        </r>
        <r>
          <rPr>
            <sz val="8"/>
            <color indexed="81"/>
            <rFont val="Tahoma"/>
            <family val="2"/>
          </rPr>
          <t xml:space="preserve">
QĐ Bổ nhiệm phó TP Kế toán từ 01/03/2012</t>
        </r>
      </text>
    </comment>
    <comment ref="R124" authorId="3"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D125" authorId="0" shapeId="0">
      <text>
        <r>
          <rPr>
            <b/>
            <sz val="9"/>
            <color indexed="81"/>
            <rFont val="Tahoma"/>
            <family val="2"/>
          </rPr>
          <t>Admin:</t>
        </r>
        <r>
          <rPr>
            <sz val="9"/>
            <color indexed="81"/>
            <rFont val="Tahoma"/>
            <family val="2"/>
          </rPr>
          <t xml:space="preserve">
Chuyển lên khối chuyên nghiệp từ 01/06/2016</t>
        </r>
      </text>
    </comment>
    <comment ref="R125" authorId="0"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26" authorId="4"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27" authorId="0"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27" authorId="0"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27" authorId="0"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
- 20% từ 01/11/2024</t>
        </r>
      </text>
    </comment>
    <comment ref="R128" authorId="3"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28" authorId="0"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29" authorId="5"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29" authorId="2"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29" authorId="3"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X129" authorId="6"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0" authorId="4"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0"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0" authorId="5" shapeId="0">
      <text>
        <r>
          <rPr>
            <b/>
            <sz val="9"/>
            <color indexed="81"/>
            <rFont val="Tahoma"/>
            <family val="2"/>
          </rPr>
          <t>Quynh:</t>
        </r>
        <r>
          <rPr>
            <sz val="9"/>
            <color indexed="81"/>
            <rFont val="Tahoma"/>
            <family val="2"/>
          </rPr>
          <t xml:space="preserve">
- 6% từ 01/11/2018
- 7% từ 01/11/2019
- 8% từ 01/11/2020
- 9% từ 01/11/2021
- 10% từ 01/11/2022
- 11% từ 01/11/2023
- 12% từ 01/11/2024</t>
        </r>
      </text>
    </comment>
    <comment ref="AK130" authorId="4" shapeId="0">
      <text>
        <r>
          <rPr>
            <b/>
            <sz val="9"/>
            <color indexed="81"/>
            <rFont val="Tahoma"/>
            <family val="2"/>
          </rPr>
          <t>user:</t>
        </r>
        <r>
          <rPr>
            <sz val="9"/>
            <color indexed="81"/>
            <rFont val="Tahoma"/>
            <family val="2"/>
          </rPr>
          <t xml:space="preserve">
UV BCH Đảng bộ từ 13/4/2020</t>
        </r>
      </text>
    </comment>
    <comment ref="R131" authorId="4" shapeId="0">
      <text>
        <r>
          <rPr>
            <b/>
            <sz val="9"/>
            <color indexed="81"/>
            <rFont val="Tahoma"/>
            <family val="2"/>
          </rPr>
          <t>user:</t>
        </r>
        <r>
          <rPr>
            <sz val="9"/>
            <color indexed="81"/>
            <rFont val="Tahoma"/>
            <family val="2"/>
          </rPr>
          <t xml:space="preserve">
- HS 2,67 từ 01/11/2020
- HS 3,00 từ 01/11/2022 (NL trước hạn)</t>
        </r>
      </text>
    </comment>
    <comment ref="W131" authorId="2" shapeId="0">
      <text>
        <r>
          <rPr>
            <b/>
            <sz val="9"/>
            <color indexed="81"/>
            <rFont val="Tahoma"/>
            <family val="2"/>
          </rPr>
          <t>Windows User:</t>
        </r>
        <r>
          <rPr>
            <sz val="9"/>
            <color indexed="81"/>
            <rFont val="Tahoma"/>
            <family val="2"/>
          </rPr>
          <t xml:space="preserve">
- QĐ BN Phó Trưởng TT ĐH và QLDL từ 01/10/2023</t>
        </r>
      </text>
    </comment>
    <comment ref="X131" authorId="4" shapeId="0">
      <text>
        <r>
          <rPr>
            <b/>
            <sz val="9"/>
            <color indexed="81"/>
            <rFont val="Tahoma"/>
            <family val="2"/>
          </rPr>
          <t>user:</t>
        </r>
        <r>
          <rPr>
            <sz val="9"/>
            <color indexed="81"/>
            <rFont val="Tahoma"/>
            <family val="2"/>
          </rPr>
          <t xml:space="preserve">
- 14% từ 01/03/2021
- 15% từ 01/03/2022
- 16% từ 01/03/2023
- 17% từ 01/03/2024</t>
        </r>
      </text>
    </comment>
    <comment ref="R132" authorId="0"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3" authorId="3"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4" authorId="2" shapeId="0">
      <text>
        <r>
          <rPr>
            <b/>
            <sz val="9"/>
            <color indexed="81"/>
            <rFont val="Tahoma"/>
            <family val="2"/>
          </rPr>
          <t>Windows User:</t>
        </r>
        <r>
          <rPr>
            <sz val="9"/>
            <color indexed="81"/>
            <rFont val="Tahoma"/>
            <family val="2"/>
          </rPr>
          <t xml:space="preserve">
- Phó Trưởng khoa Kinh tế từ 01/10/2022</t>
        </r>
      </text>
    </comment>
    <comment ref="R134" authorId="0"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4" authorId="5"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4" authorId="0"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01/03/2022
- 16% từ 01/03/2023
- 17% từ 01/03/2024</t>
        </r>
      </text>
    </comment>
    <comment ref="R135" authorId="4" shapeId="0">
      <text>
        <r>
          <rPr>
            <b/>
            <sz val="9"/>
            <color indexed="81"/>
            <rFont val="Tahoma"/>
            <family val="2"/>
          </rPr>
          <t>user:</t>
        </r>
        <r>
          <rPr>
            <sz val="9"/>
            <color indexed="81"/>
            <rFont val="Tahoma"/>
            <family val="2"/>
          </rPr>
          <t xml:space="preserve">
- HS 3,00 từ 01/12/2020
- HS 3,33 từ 01/12/2023</t>
        </r>
      </text>
    </comment>
    <comment ref="R136" authorId="3"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37" authorId="0"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38" authorId="4" shapeId="0">
      <text>
        <r>
          <rPr>
            <b/>
            <sz val="9"/>
            <color indexed="81"/>
            <rFont val="Tahoma"/>
            <family val="2"/>
          </rPr>
          <t>user:</t>
        </r>
        <r>
          <rPr>
            <sz val="9"/>
            <color indexed="81"/>
            <rFont val="Tahoma"/>
            <family val="2"/>
          </rPr>
          <t xml:space="preserve">
- HS 3,33 từ 01/02/2020
- HS 3,66 từ 01/02/2022 (NL trước hạn)</t>
        </r>
      </text>
    </comment>
    <comment ref="W138" authorId="5"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38" authorId="4" shapeId="0">
      <text>
        <r>
          <rPr>
            <b/>
            <sz val="9"/>
            <color indexed="81"/>
            <rFont val="Tahoma"/>
            <family val="2"/>
          </rPr>
          <t>user:</t>
        </r>
        <r>
          <rPr>
            <sz val="9"/>
            <color indexed="81"/>
            <rFont val="Tahoma"/>
            <family val="2"/>
          </rPr>
          <t xml:space="preserve">
+ 8% từ 01/02/2019
+ 9% từ 01/02/2020
+ 10% từ 01/02/2021
+ 11% từ 01/02/2022
+ 12% từ 01/02/2023
+ 13% từ 01/02/2024</t>
        </r>
      </text>
    </comment>
    <comment ref="R139" authorId="4" shapeId="0">
      <text>
        <r>
          <rPr>
            <b/>
            <sz val="9"/>
            <color indexed="81"/>
            <rFont val="Tahoma"/>
            <family val="2"/>
          </rPr>
          <t>user:</t>
        </r>
        <r>
          <rPr>
            <sz val="9"/>
            <color indexed="81"/>
            <rFont val="Tahoma"/>
            <family val="2"/>
          </rPr>
          <t xml:space="preserve">
- HS 2,67 từ 01/5/2021
- HS 3,00 từ 01/5/2024</t>
        </r>
      </text>
    </comment>
    <comment ref="R140" authorId="7" shapeId="0">
      <text>
        <r>
          <rPr>
            <b/>
            <sz val="9"/>
            <color indexed="81"/>
            <rFont val="Tahoma"/>
            <family val="2"/>
          </rPr>
          <t>huynh-panda:</t>
        </r>
        <r>
          <rPr>
            <sz val="9"/>
            <color indexed="81"/>
            <rFont val="Tahoma"/>
            <family val="2"/>
          </rPr>
          <t xml:space="preserve">
- HS 2,34 từ 01/4/2022</t>
        </r>
      </text>
    </comment>
    <comment ref="R141" authorId="0"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1" authorId="5"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1" authorId="0"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D142" authorId="7"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2" authorId="2" shapeId="0">
      <text>
        <r>
          <rPr>
            <b/>
            <sz val="9"/>
            <color indexed="81"/>
            <rFont val="Tahoma"/>
            <family val="2"/>
          </rPr>
          <t>Windows User:</t>
        </r>
        <r>
          <rPr>
            <sz val="9"/>
            <color indexed="81"/>
            <rFont val="Tahoma"/>
            <family val="2"/>
          </rPr>
          <t xml:space="preserve">
- 11% từ 01/9/2023
- 12% từ 01/9/2024</t>
        </r>
      </text>
    </comment>
    <comment ref="D143" authorId="2" shapeId="0">
      <text>
        <r>
          <rPr>
            <b/>
            <sz val="9"/>
            <color indexed="81"/>
            <rFont val="Tahoma"/>
            <family val="2"/>
          </rPr>
          <t>Windows User:</t>
        </r>
        <r>
          <rPr>
            <sz val="9"/>
            <color indexed="81"/>
            <rFont val="Tahoma"/>
            <family val="2"/>
          </rPr>
          <t xml:space="preserve">
- Chuyển từ Trường ĐH GTVT về trường ngày 01/10/2023</t>
        </r>
      </text>
    </comment>
    <comment ref="R143" authorId="2" shapeId="0">
      <text>
        <r>
          <rPr>
            <b/>
            <sz val="9"/>
            <color indexed="81"/>
            <rFont val="Tahoma"/>
            <family val="2"/>
          </rPr>
          <t>Windows User:</t>
        </r>
        <r>
          <rPr>
            <sz val="9"/>
            <color indexed="81"/>
            <rFont val="Tahoma"/>
            <family val="2"/>
          </rPr>
          <t xml:space="preserve">
- HS 3,66 từ 09/11/2022</t>
        </r>
      </text>
    </comment>
    <comment ref="R144" authorId="0" shapeId="0">
      <text>
        <r>
          <rPr>
            <b/>
            <sz val="9"/>
            <color indexed="81"/>
            <rFont val="Tahoma"/>
            <family val="2"/>
          </rPr>
          <t>Admin:</t>
        </r>
        <r>
          <rPr>
            <sz val="9"/>
            <color indexed="81"/>
            <rFont val="Tahoma"/>
            <family val="2"/>
          </rPr>
          <t xml:space="preserve">
- HS 2,67 từ 01/09/2016
- HS 3,00 từ 01/09/2019
- HS 3,33 từ 01/09/2022</t>
        </r>
      </text>
    </comment>
    <comment ref="X144" authorId="4" shapeId="0">
      <text>
        <r>
          <rPr>
            <b/>
            <sz val="9"/>
            <color indexed="81"/>
            <rFont val="Tahoma"/>
            <family val="2"/>
          </rPr>
          <t>user:</t>
        </r>
        <r>
          <rPr>
            <sz val="9"/>
            <color indexed="81"/>
            <rFont val="Tahoma"/>
            <family val="2"/>
          </rPr>
          <t xml:space="preserve">
- 5% từ 01/9/2021
- 6% từ 01/9/2022
- 7% từ 01/9/2023
- 8% từ 01/9/2024</t>
        </r>
      </text>
    </comment>
    <comment ref="R145" authorId="0" shapeId="0">
      <text>
        <r>
          <rPr>
            <b/>
            <sz val="9"/>
            <color indexed="81"/>
            <rFont val="Tahoma"/>
            <family val="2"/>
          </rPr>
          <t>Admin:</t>
        </r>
        <r>
          <rPr>
            <sz val="9"/>
            <color indexed="81"/>
            <rFont val="Tahoma"/>
            <family val="2"/>
          </rPr>
          <t xml:space="preserve">
- HS 3,00 từ 01/9/2016
- HS 3,33 từ 01/9/2019
- HS 3,66 từ 01/9/2022</t>
        </r>
      </text>
    </comment>
    <comment ref="X145" authorId="0"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
- 18% từ 01/03/2024</t>
        </r>
      </text>
    </comment>
    <comment ref="R146" authorId="4" shapeId="0">
      <text>
        <r>
          <rPr>
            <b/>
            <sz val="9"/>
            <color indexed="81"/>
            <rFont val="Tahoma"/>
            <family val="2"/>
          </rPr>
          <t>user:</t>
        </r>
        <r>
          <rPr>
            <sz val="9"/>
            <color indexed="81"/>
            <rFont val="Tahoma"/>
            <family val="2"/>
          </rPr>
          <t xml:space="preserve">
- HS 2,67 từ 01/11/2020
- HS 3,00 từ 01/11/2022 (NL trước hạn)</t>
        </r>
      </text>
    </comment>
    <comment ref="R147" authorId="4" shapeId="0">
      <text>
        <r>
          <rPr>
            <b/>
            <sz val="9"/>
            <color indexed="81"/>
            <rFont val="Tahoma"/>
            <family val="2"/>
          </rPr>
          <t>user:</t>
        </r>
        <r>
          <rPr>
            <sz val="9"/>
            <color indexed="81"/>
            <rFont val="Tahoma"/>
            <family val="2"/>
          </rPr>
          <t xml:space="preserve">
- HS 3,00 từ 01/10/2021
- HS 3,33 từ 01/10/2024</t>
        </r>
      </text>
    </comment>
    <comment ref="X147" authorId="2" shapeId="0">
      <text>
        <r>
          <rPr>
            <b/>
            <sz val="9"/>
            <color indexed="81"/>
            <rFont val="Tahoma"/>
            <family val="2"/>
          </rPr>
          <t>Windows User:</t>
        </r>
        <r>
          <rPr>
            <sz val="9"/>
            <color indexed="81"/>
            <rFont val="Tahoma"/>
            <family val="2"/>
          </rPr>
          <t xml:space="preserve">
- 5% từ 01/10/2023
- 6% từ 01/10/2024</t>
        </r>
      </text>
    </comment>
    <comment ref="R148" authorId="4" shapeId="0">
      <text>
        <r>
          <rPr>
            <b/>
            <sz val="9"/>
            <color indexed="81"/>
            <rFont val="Tahoma"/>
            <family val="2"/>
          </rPr>
          <t>user:</t>
        </r>
        <r>
          <rPr>
            <sz val="9"/>
            <color indexed="81"/>
            <rFont val="Tahoma"/>
            <family val="2"/>
          </rPr>
          <t xml:space="preserve">
- HS 3,00 từ 01/10/2021
- HS 3,33 từ 01/10/2024</t>
        </r>
      </text>
    </comment>
    <comment ref="X148" authorId="2" shapeId="0">
      <text>
        <r>
          <rPr>
            <b/>
            <sz val="9"/>
            <color indexed="81"/>
            <rFont val="Tahoma"/>
            <family val="2"/>
          </rPr>
          <t>Windows User:</t>
        </r>
        <r>
          <rPr>
            <sz val="9"/>
            <color indexed="81"/>
            <rFont val="Tahoma"/>
            <family val="2"/>
          </rPr>
          <t xml:space="preserve">
- 5% từ 01/10/2023
- 6% từ 01/10/2024</t>
        </r>
      </text>
    </comment>
    <comment ref="R149" authorId="4" shapeId="0">
      <text>
        <r>
          <rPr>
            <b/>
            <sz val="9"/>
            <color indexed="81"/>
            <rFont val="Tahoma"/>
            <family val="2"/>
          </rPr>
          <t>user:</t>
        </r>
        <r>
          <rPr>
            <sz val="9"/>
            <color indexed="81"/>
            <rFont val="Tahoma"/>
            <family val="2"/>
          </rPr>
          <t xml:space="preserve">
- BN CDNN từ 01/10/2019 (HS 2,67)
- HS 3,00 từ 01/10/2022</t>
        </r>
      </text>
    </comment>
    <comment ref="X149" authorId="2" shapeId="0">
      <text>
        <r>
          <rPr>
            <b/>
            <sz val="9"/>
            <color indexed="81"/>
            <rFont val="Tahoma"/>
            <charset val="163"/>
          </rPr>
          <t>Windows User:</t>
        </r>
        <r>
          <rPr>
            <sz val="9"/>
            <color indexed="81"/>
            <rFont val="Tahoma"/>
            <charset val="163"/>
          </rPr>
          <t xml:space="preserve">
- 5% từ 01/10/2024</t>
        </r>
      </text>
    </comment>
    <comment ref="R150" authorId="2"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X150" authorId="2" shapeId="0">
      <text>
        <r>
          <rPr>
            <b/>
            <sz val="9"/>
            <color indexed="81"/>
            <rFont val="Tahoma"/>
            <family val="2"/>
          </rPr>
          <t>Windows User:</t>
        </r>
        <r>
          <rPr>
            <sz val="9"/>
            <color indexed="81"/>
            <rFont val="Tahoma"/>
            <family val="2"/>
          </rPr>
          <t xml:space="preserve">
- 5% từ 01/11/2024</t>
        </r>
      </text>
    </comment>
    <comment ref="R151" authorId="2" shapeId="0">
      <text>
        <r>
          <rPr>
            <b/>
            <sz val="9"/>
            <color indexed="81"/>
            <rFont val="Tahoma"/>
            <family val="2"/>
          </rPr>
          <t>Windows User:</t>
        </r>
        <r>
          <rPr>
            <sz val="9"/>
            <color indexed="81"/>
            <rFont val="Tahoma"/>
            <family val="2"/>
          </rPr>
          <t xml:space="preserve">
- HS 2,34 từ 01/7/2023</t>
        </r>
      </text>
    </comment>
    <comment ref="R152" authorId="4" shapeId="0">
      <text>
        <r>
          <rPr>
            <b/>
            <sz val="9"/>
            <color indexed="81"/>
            <rFont val="Tahoma"/>
            <family val="2"/>
          </rPr>
          <t>user:</t>
        </r>
        <r>
          <rPr>
            <sz val="9"/>
            <color indexed="81"/>
            <rFont val="Tahoma"/>
            <family val="2"/>
          </rPr>
          <t xml:space="preserve">
- HS 2,34 từ 01/5/2021
- HS 2,67 từ 01/5/2023 (NL trước hạn)</t>
        </r>
      </text>
    </comment>
    <comment ref="W152" authorId="2" shapeId="0">
      <text>
        <r>
          <rPr>
            <b/>
            <sz val="9"/>
            <color indexed="81"/>
            <rFont val="Tahoma"/>
            <family val="2"/>
          </rPr>
          <t>Windows User:</t>
        </r>
        <r>
          <rPr>
            <sz val="9"/>
            <color indexed="81"/>
            <rFont val="Tahoma"/>
            <family val="2"/>
          </rPr>
          <t xml:space="preserve">
Trưởng khoa DL - Khách sạn từ 01/12/2023</t>
        </r>
      </text>
    </comment>
    <comment ref="R153" authorId="4" shapeId="0">
      <text>
        <r>
          <rPr>
            <b/>
            <sz val="9"/>
            <color indexed="81"/>
            <rFont val="Tahoma"/>
            <family val="2"/>
          </rPr>
          <t>user:</t>
        </r>
        <r>
          <rPr>
            <sz val="9"/>
            <color indexed="81"/>
            <rFont val="Tahoma"/>
            <family val="2"/>
          </rPr>
          <t xml:space="preserve">
- HS 3,33 từ 01/01/2020 (Nâng lương trước hạn)
- HS 3,66 từ 01/01/2023</t>
        </r>
      </text>
    </comment>
    <comment ref="W153" authorId="5" shapeId="0">
      <text>
        <r>
          <rPr>
            <b/>
            <sz val="9"/>
            <color indexed="81"/>
            <rFont val="Tahoma"/>
            <family val="2"/>
          </rPr>
          <t>Quynh:</t>
        </r>
        <r>
          <rPr>
            <sz val="9"/>
            <color indexed="81"/>
            <rFont val="Tahoma"/>
            <family val="2"/>
          </rPr>
          <t xml:space="preserve">
BN Trưởng BM Cơ sở ngành từ 01/01/2019</t>
        </r>
      </text>
    </comment>
    <comment ref="X153" authorId="0"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54" authorId="7" shapeId="0">
      <text>
        <r>
          <rPr>
            <b/>
            <sz val="9"/>
            <color indexed="81"/>
            <rFont val="Tahoma"/>
            <family val="2"/>
          </rPr>
          <t>huynh-panda:</t>
        </r>
        <r>
          <rPr>
            <sz val="9"/>
            <color indexed="81"/>
            <rFont val="Tahoma"/>
            <family val="2"/>
          </rPr>
          <t xml:space="preserve">
- HS 2,34 từ 01/5/2022</t>
        </r>
      </text>
    </comment>
    <comment ref="AG154" authorId="2" shapeId="0">
      <text>
        <r>
          <rPr>
            <b/>
            <sz val="9"/>
            <color indexed="81"/>
            <rFont val="Tahoma"/>
            <family val="2"/>
          </rPr>
          <t>Windows User:</t>
        </r>
        <r>
          <rPr>
            <sz val="9"/>
            <color indexed="81"/>
            <rFont val="Tahoma"/>
            <family val="2"/>
          </rPr>
          <t xml:space="preserve">
Học tập ở nước ngoài nên ko tham gia BHYT
</t>
        </r>
      </text>
    </comment>
    <comment ref="R155" authorId="7" shapeId="0">
      <text>
        <r>
          <rPr>
            <b/>
            <sz val="9"/>
            <color indexed="81"/>
            <rFont val="Tahoma"/>
            <family val="2"/>
          </rPr>
          <t>huynh-panda:</t>
        </r>
        <r>
          <rPr>
            <sz val="9"/>
            <color indexed="81"/>
            <rFont val="Tahoma"/>
            <family val="2"/>
          </rPr>
          <t xml:space="preserve">
- HS 2,34 từ 01/4/2022</t>
        </r>
      </text>
    </comment>
    <comment ref="R156" authorId="2" shapeId="0">
      <text>
        <r>
          <rPr>
            <b/>
            <sz val="9"/>
            <color indexed="81"/>
            <rFont val="Tahoma"/>
            <family val="2"/>
          </rPr>
          <t>Windows User:</t>
        </r>
        <r>
          <rPr>
            <sz val="9"/>
            <color indexed="81"/>
            <rFont val="Tahoma"/>
            <family val="2"/>
          </rPr>
          <t xml:space="preserve">
- HS: 3,33 từ 01/03/2022</t>
        </r>
      </text>
    </comment>
    <comment ref="X156" authorId="2" shapeId="0">
      <text>
        <r>
          <rPr>
            <b/>
            <sz val="9"/>
            <color indexed="81"/>
            <rFont val="Tahoma"/>
            <family val="2"/>
          </rPr>
          <t>Windows User:</t>
        </r>
        <r>
          <rPr>
            <sz val="9"/>
            <color indexed="81"/>
            <rFont val="Tahoma"/>
            <family val="2"/>
          </rPr>
          <t xml:space="preserve">
- 10% từ 01/03/2023
- 11% từ 01/03/2024</t>
        </r>
      </text>
    </comment>
    <comment ref="R157" authorId="0" shapeId="0">
      <text>
        <r>
          <rPr>
            <b/>
            <sz val="9"/>
            <color indexed="81"/>
            <rFont val="Tahoma"/>
            <family val="2"/>
          </rPr>
          <t>Admin:</t>
        </r>
        <r>
          <rPr>
            <sz val="9"/>
            <color indexed="81"/>
            <rFont val="Tahoma"/>
            <family val="2"/>
          </rPr>
          <t xml:space="preserve">
- HS 2,34 từ 01/09/2016
- HS 2,67 từ 01/09/2019
- HS 3,00 từ 01/09/2022</t>
        </r>
      </text>
    </comment>
    <comment ref="X157" authorId="4" shapeId="0">
      <text>
        <r>
          <rPr>
            <b/>
            <sz val="9"/>
            <color indexed="81"/>
            <rFont val="Tahoma"/>
            <family val="2"/>
          </rPr>
          <t>user:</t>
        </r>
        <r>
          <rPr>
            <sz val="9"/>
            <color indexed="81"/>
            <rFont val="Tahoma"/>
            <family val="2"/>
          </rPr>
          <t xml:space="preserve">
- 5% từ 01/9/2021
- 6% từ 01/9/2022
- 7% từ 01/9/2023
- 8% từ 01/9/2024</t>
        </r>
      </text>
    </comment>
    <comment ref="R158" authorId="0" shapeId="0">
      <text>
        <r>
          <rPr>
            <b/>
            <sz val="9"/>
            <color indexed="81"/>
            <rFont val="Tahoma"/>
            <family val="2"/>
          </rPr>
          <t>Admin:</t>
        </r>
        <r>
          <rPr>
            <sz val="9"/>
            <color indexed="81"/>
            <rFont val="Tahoma"/>
            <family val="2"/>
          </rPr>
          <t xml:space="preserve">
- HS 2,67 từ 01/9/2016
- HS 3,00 từ 01/9/2019
- HS 3,33 từ 01/9/2022</t>
        </r>
      </text>
    </comment>
    <comment ref="W158" authorId="4" shapeId="0">
      <text>
        <r>
          <rPr>
            <b/>
            <sz val="9"/>
            <color indexed="81"/>
            <rFont val="Tahoma"/>
            <family val="2"/>
          </rPr>
          <t>user:</t>
        </r>
        <r>
          <rPr>
            <sz val="9"/>
            <color indexed="81"/>
            <rFont val="Tahoma"/>
            <family val="2"/>
          </rPr>
          <t xml:space="preserve">
- QĐ Bổ nhiệm Trưởng khoa CN May từ 01/11/2020</t>
        </r>
      </text>
    </comment>
    <comment ref="X158" authorId="4" shapeId="0">
      <text>
        <r>
          <rPr>
            <b/>
            <sz val="9"/>
            <color indexed="81"/>
            <rFont val="Tahoma"/>
            <family val="2"/>
          </rPr>
          <t>user:</t>
        </r>
        <r>
          <rPr>
            <sz val="9"/>
            <color indexed="81"/>
            <rFont val="Tahoma"/>
            <family val="2"/>
          </rPr>
          <t xml:space="preserve">
- 5% từ 01/9/2018
- 6% từ 01/9/2019
- 7% từ 01/9/2020
- 8% từ 01/9/2021
- 9% từ 01/9/2022
- 10% từ 01/9/2023
- 11% từ 01/9/2024</t>
        </r>
      </text>
    </comment>
    <comment ref="R159" authorId="0" shapeId="0">
      <text>
        <r>
          <rPr>
            <b/>
            <sz val="9"/>
            <color indexed="81"/>
            <rFont val="Tahoma"/>
            <family val="2"/>
          </rPr>
          <t>Admin:</t>
        </r>
        <r>
          <rPr>
            <sz val="9"/>
            <color indexed="81"/>
            <rFont val="Tahoma"/>
            <family val="2"/>
          </rPr>
          <t xml:space="preserve">
- HS 3,00 từ 01/9/2016
- HS 3,33 từ 01/9/2019
- HS 3,66 từ 01/9/2022</t>
        </r>
      </text>
    </comment>
    <comment ref="W159" authorId="4"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59"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160" authorId="0"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0" authorId="3"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
+ 13% từ 01/4/2024</t>
        </r>
      </text>
    </comment>
    <comment ref="R161" authorId="0" shapeId="0">
      <text>
        <r>
          <rPr>
            <b/>
            <sz val="9"/>
            <color indexed="81"/>
            <rFont val="Tahoma"/>
            <family val="2"/>
          </rPr>
          <t>Admin:</t>
        </r>
        <r>
          <rPr>
            <sz val="9"/>
            <color indexed="81"/>
            <rFont val="Tahoma"/>
            <family val="2"/>
          </rPr>
          <t xml:space="preserve">
- HS 2,67 từ 01/9/2016
- HS 3,00 từ 01/9/2019
- HS 3,33 từ 01/9/2022</t>
        </r>
      </text>
    </comment>
    <comment ref="X161" authorId="4" shapeId="0">
      <text>
        <r>
          <rPr>
            <b/>
            <sz val="9"/>
            <color indexed="81"/>
            <rFont val="Tahoma"/>
            <family val="2"/>
          </rPr>
          <t>user:</t>
        </r>
        <r>
          <rPr>
            <sz val="9"/>
            <color indexed="81"/>
            <rFont val="Tahoma"/>
            <family val="2"/>
          </rPr>
          <t xml:space="preserve">
- 5% từ 01/9/2018
- 6% từ 01/9/2019
- 7% từ 01/9/2020
- 8% từ 01/9/2021
- 9% từ 01/9/2022
- 10% từ 01/9/2023
- 11% từ 01/9/2024</t>
        </r>
      </text>
    </comment>
    <comment ref="R162" authorId="4" shapeId="0">
      <text>
        <r>
          <rPr>
            <b/>
            <sz val="9"/>
            <color indexed="81"/>
            <rFont val="Tahoma"/>
            <family val="2"/>
          </rPr>
          <t>user:</t>
        </r>
        <r>
          <rPr>
            <sz val="9"/>
            <color indexed="81"/>
            <rFont val="Tahoma"/>
            <family val="2"/>
          </rPr>
          <t xml:space="preserve">
- HS 3,00 từ 01/12/2020
- HS 3,33 từ 01/12/2022 (NL Trước hạn)</t>
        </r>
      </text>
    </comment>
    <comment ref="X162" authorId="4" shapeId="0">
      <text>
        <r>
          <rPr>
            <b/>
            <sz val="9"/>
            <color indexed="81"/>
            <rFont val="Tahoma"/>
            <family val="2"/>
          </rPr>
          <t>user:</t>
        </r>
        <r>
          <rPr>
            <sz val="9"/>
            <color indexed="81"/>
            <rFont val="Tahoma"/>
            <family val="2"/>
          </rPr>
          <t xml:space="preserve">
- Hưởng 5% từ 01/7/2020
- 6% từ 01/7/2021
- 7% từ 01/7/2022
- 8% từ 01/7/2023
- 9% từ 01/7/2024</t>
        </r>
      </text>
    </comment>
    <comment ref="R163" authorId="4" shapeId="0">
      <text>
        <r>
          <rPr>
            <b/>
            <sz val="9"/>
            <color indexed="81"/>
            <rFont val="Tahoma"/>
            <family val="2"/>
          </rPr>
          <t>user:</t>
        </r>
        <r>
          <rPr>
            <sz val="9"/>
            <color indexed="81"/>
            <rFont val="Tahoma"/>
            <family val="2"/>
          </rPr>
          <t xml:space="preserve">
- HS 3,00 từ 01/10/2021
- HS 3,33 từ 01/10/2023 (NL trước hạn)</t>
        </r>
      </text>
    </comment>
    <comment ref="X163" authorId="2" shapeId="0">
      <text>
        <r>
          <rPr>
            <b/>
            <sz val="9"/>
            <color indexed="81"/>
            <rFont val="Tahoma"/>
            <family val="2"/>
          </rPr>
          <t>Windows User:</t>
        </r>
        <r>
          <rPr>
            <sz val="9"/>
            <color indexed="81"/>
            <rFont val="Tahoma"/>
            <family val="2"/>
          </rPr>
          <t xml:space="preserve">
- 5% từ 01/10/2023
- 6% từ 01/10/2024</t>
        </r>
      </text>
    </comment>
    <comment ref="R164" authorId="4" shapeId="0">
      <text>
        <r>
          <rPr>
            <b/>
            <sz val="9"/>
            <color indexed="81"/>
            <rFont val="Tahoma"/>
            <family val="2"/>
          </rPr>
          <t>user:</t>
        </r>
        <r>
          <rPr>
            <sz val="9"/>
            <color indexed="81"/>
            <rFont val="Tahoma"/>
            <family val="2"/>
          </rPr>
          <t xml:space="preserve">
- BN CDNN từ 01/10/2019 (HS 2,67)
- HS 3,00 từ 01/10/2022</t>
        </r>
      </text>
    </comment>
    <comment ref="X164" authorId="2" shapeId="0">
      <text>
        <r>
          <rPr>
            <b/>
            <sz val="9"/>
            <color indexed="81"/>
            <rFont val="Tahoma"/>
            <family val="2"/>
          </rPr>
          <t>Windows User:</t>
        </r>
        <r>
          <rPr>
            <sz val="9"/>
            <color indexed="81"/>
            <rFont val="Tahoma"/>
            <family val="2"/>
          </rPr>
          <t xml:space="preserve">
- 5% từ 01/10/2024</t>
        </r>
      </text>
    </comment>
    <comment ref="R165" authorId="0"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X165" authorId="4" shapeId="0">
      <text>
        <r>
          <rPr>
            <b/>
            <sz val="9"/>
            <color indexed="81"/>
            <rFont val="Tahoma"/>
            <family val="2"/>
          </rPr>
          <t>user:</t>
        </r>
        <r>
          <rPr>
            <sz val="9"/>
            <color indexed="81"/>
            <rFont val="Tahoma"/>
            <family val="2"/>
          </rPr>
          <t xml:space="preserve">
- 6% từ 01/10/2019
- 7% từ 01/10/2020
- 8% từ 01/10/2021
- 9% từ 01/10/2022
- 10% từ 01/10/2023
- 11% từ 01/10/2024</t>
        </r>
      </text>
    </comment>
    <comment ref="R166" authorId="3"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W166" authorId="0" shapeId="0">
      <text>
        <r>
          <rPr>
            <b/>
            <sz val="9"/>
            <color indexed="81"/>
            <rFont val="Tahoma"/>
            <family val="2"/>
          </rPr>
          <t>Admin:</t>
        </r>
        <r>
          <rPr>
            <sz val="9"/>
            <color indexed="81"/>
            <rFont val="Tahoma"/>
            <family val="2"/>
          </rPr>
          <t xml:space="preserve">
QĐ Bổ nhiệm Trưởng bộ môn Giáo dục thể chất từ 03/5/2017
</t>
        </r>
      </text>
    </comment>
    <comment ref="X166" authorId="4"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
+ 27% từ 01/9/2024</t>
        </r>
      </text>
    </comment>
    <comment ref="R167" authorId="0" shapeId="0">
      <text>
        <r>
          <rPr>
            <b/>
            <sz val="9"/>
            <color indexed="81"/>
            <rFont val="Tahoma"/>
            <family val="2"/>
          </rPr>
          <t>Admin:</t>
        </r>
        <r>
          <rPr>
            <sz val="9"/>
            <color indexed="81"/>
            <rFont val="Tahoma"/>
            <family val="2"/>
          </rPr>
          <t xml:space="preserve">
- HS 3,66 từ 01/9/2016
- HS 3,99 từ 01/9/2019
- HS 4,32 từ 01/9/2022</t>
        </r>
      </text>
    </comment>
    <comment ref="X167" authorId="0"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
+ 21% từ 01/11/2024</t>
        </r>
      </text>
    </comment>
    <comment ref="R168" authorId="3" shapeId="0">
      <text>
        <r>
          <rPr>
            <b/>
            <sz val="9"/>
            <color indexed="81"/>
            <rFont val="Tahoma"/>
            <family val="2"/>
          </rPr>
          <t>User:</t>
        </r>
        <r>
          <rPr>
            <sz val="9"/>
            <color indexed="81"/>
            <rFont val="Tahoma"/>
            <family val="2"/>
          </rPr>
          <t xml:space="preserve">
- HS 3,33 từ 1/9/2014
- HS 3,66 từ 01/9/2017
- HS 3,99 từ 01/3/2021
- HS 4,32 từ 01/3/2024</t>
        </r>
      </text>
    </comment>
    <comment ref="X168" authorId="6"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+ 22% từ 01/8/2024</t>
        </r>
      </text>
    </comment>
    <comment ref="R169" authorId="3"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69" authorId="4"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
+ 18% từ 01/9/2024</t>
        </r>
      </text>
    </comment>
    <comment ref="R170" authorId="3"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X170"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171" authorId="0"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1" authorId="3"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
- 14% từ 01/9/2024</t>
        </r>
      </text>
    </comment>
    <comment ref="R172" authorId="2" shapeId="0">
      <text>
        <r>
          <rPr>
            <b/>
            <sz val="9"/>
            <color indexed="81"/>
            <rFont val="Tahoma"/>
            <family val="2"/>
          </rPr>
          <t>Windows User:</t>
        </r>
        <r>
          <rPr>
            <sz val="9"/>
            <color indexed="81"/>
            <rFont val="Tahoma"/>
            <family val="2"/>
          </rPr>
          <t xml:space="preserve">
- HS 3,33 từ 01/01/2023</t>
        </r>
      </text>
    </comment>
    <comment ref="W172" authorId="2"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2" authorId="7" shapeId="0">
      <text>
        <r>
          <rPr>
            <b/>
            <sz val="9"/>
            <color indexed="81"/>
            <rFont val="Tahoma"/>
            <family val="2"/>
          </rPr>
          <t>huynh-panda:</t>
        </r>
        <r>
          <rPr>
            <sz val="9"/>
            <color indexed="81"/>
            <rFont val="Tahoma"/>
            <family val="2"/>
          </rPr>
          <t xml:space="preserve">
- 6% từ 01/01/2022
- 7% từ 01/01/2023
- 8% từ 01/01/2024</t>
        </r>
      </text>
    </comment>
    <comment ref="R173" authorId="0" shapeId="0">
      <text>
        <r>
          <rPr>
            <b/>
            <sz val="9"/>
            <color indexed="81"/>
            <rFont val="Tahoma"/>
            <family val="2"/>
          </rPr>
          <t>Admin:</t>
        </r>
        <r>
          <rPr>
            <sz val="9"/>
            <color indexed="81"/>
            <rFont val="Tahoma"/>
            <family val="2"/>
          </rPr>
          <t xml:space="preserve">
- HS 3,00 từ 01/11/2016
- HS 3,33 từ 01/11/2019
- HS 3,66 từ 01/11/2022</t>
        </r>
      </text>
    </comment>
    <comment ref="X173" authorId="4" shapeId="0">
      <text>
        <r>
          <rPr>
            <b/>
            <sz val="9"/>
            <color indexed="81"/>
            <rFont val="Tahoma"/>
            <family val="2"/>
          </rPr>
          <t>user:</t>
        </r>
        <r>
          <rPr>
            <sz val="9"/>
            <color indexed="81"/>
            <rFont val="Tahoma"/>
            <family val="2"/>
          </rPr>
          <t xml:space="preserve">
- 5% từ 01/11/2018
- 6% từ 01/11/2019
- 7% từ 01/11/2020
- 8% từ 01/11/2021
- 9% từ 01/11/2022
- 10% từ 01/11/2023
- 11% từ 01/11/2024</t>
        </r>
      </text>
    </comment>
    <comment ref="R174" authorId="3"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4" authorId="3" shapeId="0">
      <text>
        <r>
          <rPr>
            <b/>
            <sz val="9"/>
            <color indexed="81"/>
            <rFont val="Tahoma"/>
            <family val="2"/>
          </rPr>
          <t>User:</t>
        </r>
        <r>
          <rPr>
            <sz val="9"/>
            <color indexed="81"/>
            <rFont val="Tahoma"/>
            <family val="2"/>
          </rPr>
          <t xml:space="preserve">
- Miễn nhiệm tổ phó Anh văn từ 01/9/2015 (Bảo lưu đến hết 29/2/2016)</t>
        </r>
      </text>
    </comment>
    <comment ref="X174" authorId="6"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
+ 15% từ 01/6/2024</t>
        </r>
      </text>
    </comment>
    <comment ref="R175" authorId="3"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5" authorId="4"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
+ 16% từ 01/9/2024</t>
        </r>
      </text>
    </comment>
    <comment ref="R176" authorId="3"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6" authorId="4"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
+ 17% từ 01/10/2024</t>
        </r>
      </text>
    </comment>
    <comment ref="R177" authorId="3"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77"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178" authorId="3"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78"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179" authorId="3"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79" authorId="4"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
- 16% từ 01/9/2024</t>
        </r>
      </text>
    </comment>
    <comment ref="D180" authorId="0" shapeId="0">
      <text>
        <r>
          <rPr>
            <b/>
            <sz val="9"/>
            <color indexed="81"/>
            <rFont val="Tahoma"/>
            <family val="2"/>
          </rPr>
          <t>Admin:</t>
        </r>
        <r>
          <rPr>
            <sz val="9"/>
            <color indexed="81"/>
            <rFont val="Tahoma"/>
            <family val="2"/>
          </rPr>
          <t xml:space="preserve">
Chuyển về khối Chuyên nghiệp từ 01/8/2016 (Làm nhân viên)
</t>
        </r>
      </text>
    </comment>
    <comment ref="R180" authorId="0" shapeId="0">
      <text>
        <r>
          <rPr>
            <b/>
            <sz val="9"/>
            <color indexed="81"/>
            <rFont val="Tahoma"/>
            <family val="2"/>
          </rPr>
          <t>Admin:</t>
        </r>
        <r>
          <rPr>
            <sz val="9"/>
            <color indexed="81"/>
            <rFont val="Tahoma"/>
            <family val="2"/>
          </rPr>
          <t xml:space="preserve">
- HS 3,00 từ 01/12/2016
- HS 3,33 từ 01/12/2019
- HS 3,66 từ 01/12/2022</t>
        </r>
      </text>
    </comment>
    <comment ref="X180" authorId="4" shapeId="0">
      <text>
        <r>
          <rPr>
            <b/>
            <sz val="9"/>
            <color indexed="81"/>
            <rFont val="Tahoma"/>
            <family val="2"/>
          </rPr>
          <t>user:</t>
        </r>
        <r>
          <rPr>
            <sz val="9"/>
            <color indexed="81"/>
            <rFont val="Tahoma"/>
            <family val="2"/>
          </rPr>
          <t xml:space="preserve">
+ 7% từ 01/9/2020
+ 8% từ 01/9/2021
+ 9% từ 01/9/2022
+ 10% từ 01/9/2023
+ 11% từ 01/9/2024</t>
        </r>
      </text>
    </comment>
    <comment ref="R181" authorId="3"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1" authorId="4" shapeId="0">
      <text>
        <r>
          <rPr>
            <b/>
            <sz val="9"/>
            <color indexed="81"/>
            <rFont val="Tahoma"/>
            <family val="2"/>
          </rPr>
          <t>user:</t>
        </r>
        <r>
          <rPr>
            <sz val="9"/>
            <color indexed="81"/>
            <rFont val="Tahoma"/>
            <family val="2"/>
          </rPr>
          <t xml:space="preserve">
+ 5% từ 01/9/2019
+ 6% từ 01/9/2020
+ 7% từ 01/9/2021
+ 8% từ 01/9/2022
+ 9% từ 01/9/2023
+ 10% từ 01/9/2024</t>
        </r>
      </text>
    </comment>
    <comment ref="R182" authorId="3" shapeId="0">
      <text>
        <r>
          <rPr>
            <b/>
            <sz val="9"/>
            <color indexed="81"/>
            <rFont val="Tahoma"/>
            <family val="2"/>
          </rPr>
          <t>User:</t>
        </r>
        <r>
          <rPr>
            <sz val="9"/>
            <color indexed="81"/>
            <rFont val="Tahoma"/>
            <family val="2"/>
          </rPr>
          <t xml:space="preserve">
+ hệ số 2,34 từ 1/9/2014
+ HS 3,00 từ 01/9/2020
+ HS 3,33 từ 01/9/2023</t>
        </r>
      </text>
    </comment>
    <comment ref="X182" authorId="5" shapeId="0">
      <text>
        <r>
          <rPr>
            <b/>
            <sz val="9"/>
            <color indexed="81"/>
            <rFont val="Tahoma"/>
            <family val="2"/>
          </rPr>
          <t>Quynh:</t>
        </r>
        <r>
          <rPr>
            <sz val="9"/>
            <color indexed="81"/>
            <rFont val="Tahoma"/>
            <family val="2"/>
          </rPr>
          <t xml:space="preserve">
- 9% từ 01/6/2019
- 10% từ 01/6/2020
- 11% từ 01/6/2021
- 12% từ 01/6/2022
- 13% từ 01/6/2023
- 14% từ 01/6/2024</t>
        </r>
      </text>
    </comment>
    <comment ref="R183" authorId="0" shapeId="0">
      <text>
        <r>
          <rPr>
            <b/>
            <sz val="9"/>
            <color indexed="81"/>
            <rFont val="Tahoma"/>
            <family val="2"/>
          </rPr>
          <t>Admin:</t>
        </r>
        <r>
          <rPr>
            <sz val="9"/>
            <color indexed="81"/>
            <rFont val="Tahoma"/>
            <family val="2"/>
          </rPr>
          <t xml:space="preserve">
- HS 2,34 từ 01/09/2016
- HS 2,67 từ 01/9/2019
- HS 3,00 từ 01/09/2022</t>
        </r>
      </text>
    </comment>
    <comment ref="X183" authorId="4" shapeId="0">
      <text>
        <r>
          <rPr>
            <b/>
            <sz val="9"/>
            <color indexed="81"/>
            <rFont val="Tahoma"/>
            <family val="2"/>
          </rPr>
          <t>user:</t>
        </r>
        <r>
          <rPr>
            <sz val="9"/>
            <color indexed="81"/>
            <rFont val="Tahoma"/>
            <family val="2"/>
          </rPr>
          <t xml:space="preserve">
- 5% từ 01/09/2021
- 6% từ 01/9/2022
- 7% từ 01/9/2023
- 8% từ 01/9/2024</t>
        </r>
      </text>
    </comment>
    <comment ref="R184" authorId="0" shapeId="0">
      <text>
        <r>
          <rPr>
            <b/>
            <sz val="9"/>
            <color indexed="81"/>
            <rFont val="Tahoma"/>
            <family val="2"/>
          </rPr>
          <t>Admin:</t>
        </r>
        <r>
          <rPr>
            <sz val="9"/>
            <color indexed="81"/>
            <rFont val="Tahoma"/>
            <family val="2"/>
          </rPr>
          <t xml:space="preserve">
- HS 2,34 từ 01/09/2016
- HS 2,67 từ 01/09/2019
- HS 3,00 từ 01/09/2022</t>
        </r>
      </text>
    </comment>
    <comment ref="X184" authorId="4" shapeId="0">
      <text>
        <r>
          <rPr>
            <b/>
            <sz val="9"/>
            <color indexed="81"/>
            <rFont val="Tahoma"/>
            <family val="2"/>
          </rPr>
          <t>user:</t>
        </r>
        <r>
          <rPr>
            <sz val="9"/>
            <color indexed="81"/>
            <rFont val="Tahoma"/>
            <family val="2"/>
          </rPr>
          <t xml:space="preserve">
- 5% từ 01/9/2021
- 6% từ 01/9/2022
- 7% từ 01/9/2023
- 8% từ 01/9/2024</t>
        </r>
      </text>
    </comment>
    <comment ref="R185" authorId="4" shapeId="0">
      <text>
        <r>
          <rPr>
            <b/>
            <sz val="9"/>
            <color indexed="81"/>
            <rFont val="Tahoma"/>
            <family val="2"/>
          </rPr>
          <t>user:</t>
        </r>
        <r>
          <rPr>
            <sz val="9"/>
            <color indexed="81"/>
            <rFont val="Tahoma"/>
            <family val="2"/>
          </rPr>
          <t xml:space="preserve">
- HS 3,99 từ 01/9/2019
- HS 4,32 từ 01/09/2022</t>
        </r>
      </text>
    </comment>
    <comment ref="X185" authorId="4"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86" authorId="4" shapeId="0">
      <text>
        <r>
          <rPr>
            <b/>
            <sz val="9"/>
            <color indexed="81"/>
            <rFont val="Tahoma"/>
            <family val="2"/>
          </rPr>
          <t>user:</t>
        </r>
        <r>
          <rPr>
            <sz val="9"/>
            <color indexed="81"/>
            <rFont val="Tahoma"/>
            <family val="2"/>
          </rPr>
          <t xml:space="preserve">
- HS 2,34 từ 01/5/2021
- HS 2,67 từ 01/5/2024</t>
        </r>
      </text>
    </comment>
    <comment ref="R187" authorId="4" shapeId="0">
      <text>
        <r>
          <rPr>
            <b/>
            <sz val="9"/>
            <color indexed="81"/>
            <rFont val="Tahoma"/>
            <family val="2"/>
          </rPr>
          <t>user:</t>
        </r>
        <r>
          <rPr>
            <sz val="9"/>
            <color indexed="81"/>
            <rFont val="Tahoma"/>
            <family val="2"/>
          </rPr>
          <t xml:space="preserve">
- HS 2,34 từ 01/10/2021
- HS 2,67 từ 01/10/2024
</t>
        </r>
      </text>
    </comment>
    <comment ref="R188" authorId="2" shapeId="0">
      <text>
        <r>
          <rPr>
            <b/>
            <sz val="9"/>
            <color indexed="81"/>
            <rFont val="Tahoma"/>
            <family val="2"/>
          </rPr>
          <t>Windows User:</t>
        </r>
        <r>
          <rPr>
            <sz val="9"/>
            <color indexed="81"/>
            <rFont val="Tahoma"/>
            <family val="2"/>
          </rPr>
          <t xml:space="preserve">
HS: 1,989 từ T11/2022
- HS 2,34 từ 01/5/2024 (Do nghỉ ko hưởng lương từ T9/23 đến T2/24)</t>
        </r>
      </text>
    </comment>
    <comment ref="R189" authorId="3"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
- HS 4,32 từ 01/9/2024</t>
        </r>
      </text>
    </comment>
    <comment ref="W189" authorId="4" shapeId="0">
      <text>
        <r>
          <rPr>
            <sz val="8"/>
            <color indexed="81"/>
            <rFont val="Tahoma"/>
            <family val="2"/>
          </rPr>
          <t>- QĐ Bổ nhiệm Phó Trưởng khoa Lý luận chính trị từ 01/10/2015
- QĐ BN lại từ 01/10/2020
- QĐ BN Trưởng khoa từ 01/10/2022</t>
        </r>
      </text>
    </comment>
    <comment ref="X189" authorId="4"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
+ 16% từ 01/9/2024</t>
        </r>
      </text>
    </comment>
    <comment ref="R190" authorId="3"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0" authorId="3" shapeId="0">
      <text>
        <r>
          <rPr>
            <b/>
            <sz val="9"/>
            <color indexed="81"/>
            <rFont val="Tahoma"/>
            <family val="2"/>
          </rPr>
          <t>User:</t>
        </r>
        <r>
          <rPr>
            <sz val="9"/>
            <color indexed="81"/>
            <rFont val="Tahoma"/>
            <family val="2"/>
          </rPr>
          <t xml:space="preserve">
- QĐ Bổ nhiệm Phó TK LL Chính trị từ 01/7/2015</t>
        </r>
      </text>
    </comment>
    <comment ref="X190"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191" authorId="3"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
- HS 4,32 từ 01/9/2024</t>
        </r>
      </text>
    </comment>
    <comment ref="W191" authorId="4" shapeId="0">
      <text>
        <r>
          <rPr>
            <b/>
            <sz val="9"/>
            <color indexed="81"/>
            <rFont val="Tahoma"/>
            <family val="2"/>
          </rPr>
          <t>user:</t>
        </r>
        <r>
          <rPr>
            <sz val="9"/>
            <color indexed="81"/>
            <rFont val="Tahoma"/>
            <family val="2"/>
          </rPr>
          <t xml:space="preserve">
Trưởng BM Giáo dục chính trị từ 01/4/2021
</t>
        </r>
      </text>
    </comment>
    <comment ref="X191"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192" authorId="3"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2"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AK192" authorId="0" shapeId="0">
      <text>
        <r>
          <rPr>
            <b/>
            <sz val="9"/>
            <color indexed="81"/>
            <rFont val="Tahoma"/>
            <family val="2"/>
          </rPr>
          <t>Admin:</t>
        </r>
        <r>
          <rPr>
            <sz val="9"/>
            <color indexed="81"/>
            <rFont val="Tahoma"/>
            <family val="2"/>
          </rPr>
          <t xml:space="preserve">
Thôi giữ CV Phó BT Đoàn TN từ 05/4/2018</t>
        </r>
      </text>
    </comment>
    <comment ref="R193" authorId="4"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
+ HS 3,99 từ 01/9/2024</t>
        </r>
      </text>
    </comment>
    <comment ref="X193" authorId="3"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
+ 15% từ 01/9/2024</t>
        </r>
      </text>
    </comment>
    <comment ref="R194" authorId="3"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4" authorId="4"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4" authorId="6"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
+ 18% từ 01/03/2024</t>
        </r>
      </text>
    </comment>
    <comment ref="R195" authorId="3"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X195"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196" authorId="3"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X196"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197" authorId="0" shapeId="0">
      <text>
        <r>
          <rPr>
            <b/>
            <sz val="9"/>
            <color indexed="81"/>
            <rFont val="Tahoma"/>
            <family val="2"/>
          </rPr>
          <t>Admin:</t>
        </r>
        <r>
          <rPr>
            <sz val="9"/>
            <color indexed="81"/>
            <rFont val="Tahoma"/>
            <family val="2"/>
          </rPr>
          <t xml:space="preserve">
- HS 3,00 từ 01/9/2015 (NL trước hạn)
- HS 3,33 từ 01/9/2018
- HS 3,66 từ 01/9/2021
- HS 3,99 từ 01/9/2024</t>
        </r>
      </text>
    </comment>
    <comment ref="X197"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
- 14% từ 01/9/2024</t>
        </r>
      </text>
    </comment>
    <comment ref="AK197" authorId="4"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198" authorId="3"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198" authorId="4"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
+ 18% từ 01/9/2024</t>
        </r>
      </text>
    </comment>
    <comment ref="R199" authorId="0" shapeId="0">
      <text>
        <r>
          <rPr>
            <b/>
            <sz val="9"/>
            <color indexed="81"/>
            <rFont val="Tahoma"/>
            <family val="2"/>
          </rPr>
          <t>Admin:</t>
        </r>
        <r>
          <rPr>
            <sz val="9"/>
            <color indexed="81"/>
            <rFont val="Tahoma"/>
            <family val="2"/>
          </rPr>
          <t xml:space="preserve">
- HS 2,67 từ 01/09/2016
- HS 3,00 từ 01/9/2019
- HS 3,33 từ 01/9/2021
- HS 3,66 từ 01/9/2024</t>
        </r>
      </text>
    </comment>
    <comment ref="X199" authorId="4" shapeId="0">
      <text>
        <r>
          <rPr>
            <b/>
            <sz val="9"/>
            <color indexed="81"/>
            <rFont val="Tahoma"/>
            <family val="2"/>
          </rPr>
          <t>user:</t>
        </r>
        <r>
          <rPr>
            <sz val="9"/>
            <color indexed="81"/>
            <rFont val="Tahoma"/>
            <family val="2"/>
          </rPr>
          <t xml:space="preserve">
- 5% từ 01/9/2020
- 6% từ 01/9/2021
- 7% từ 01/9/2022
- 8% từ 01/9/2023
- 9% từ 01/9/2024</t>
        </r>
      </text>
    </comment>
    <comment ref="R200" authorId="0" shapeId="0">
      <text>
        <r>
          <rPr>
            <b/>
            <sz val="9"/>
            <color indexed="81"/>
            <rFont val="Tahoma"/>
            <family val="2"/>
          </rPr>
          <t>Admin:</t>
        </r>
        <r>
          <rPr>
            <sz val="9"/>
            <color indexed="81"/>
            <rFont val="Tahoma"/>
            <family val="2"/>
          </rPr>
          <t xml:space="preserve">
+ HS 3,00 từ 01/3/2017
+ HS 3,33 từ 01/3/2020
+ HS 3,66 từ 01/03/2023</t>
        </r>
      </text>
    </comment>
    <comment ref="X200" authorId="3"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
- 14% từ 01/9/2024</t>
        </r>
      </text>
    </comment>
    <comment ref="R201" authorId="3"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1" authorId="4" shapeId="0">
      <text>
        <r>
          <rPr>
            <b/>
            <sz val="9"/>
            <color indexed="81"/>
            <rFont val="Tahoma"/>
            <family val="2"/>
          </rPr>
          <t>user:</t>
        </r>
        <r>
          <rPr>
            <sz val="9"/>
            <color indexed="81"/>
            <rFont val="Tahoma"/>
            <family val="2"/>
          </rPr>
          <t xml:space="preserve">
+ 5% từ 01/9/2019
+ 6% từ 01/9/2020
+ 7% từ 01/9/2021
+ 8% từ 01/9/2022
+ 9% từ 01/9/2023
+ 10% từ 01/10/2024</t>
        </r>
      </text>
    </comment>
    <comment ref="E202" authorId="2" shapeId="0">
      <text>
        <r>
          <rPr>
            <b/>
            <sz val="9"/>
            <color indexed="81"/>
            <rFont val="Tahoma"/>
            <family val="2"/>
          </rPr>
          <t>Windows User:</t>
        </r>
        <r>
          <rPr>
            <sz val="9"/>
            <color indexed="81"/>
            <rFont val="Tahoma"/>
            <family val="2"/>
          </rPr>
          <t xml:space="preserve">
- Phó Trưởng Trung tâm Thư viện từ 01/10/2022</t>
        </r>
      </text>
    </comment>
    <comment ref="R202" authorId="5" shapeId="0">
      <text>
        <r>
          <rPr>
            <b/>
            <sz val="9"/>
            <color indexed="81"/>
            <rFont val="Tahoma"/>
            <family val="2"/>
          </rPr>
          <t>Quynh:</t>
        </r>
        <r>
          <rPr>
            <sz val="9"/>
            <color indexed="81"/>
            <rFont val="Tahoma"/>
            <family val="2"/>
          </rPr>
          <t xml:space="preserve">
- HS 3,33 từ 01/3/19
- HS 3,66 từ 01/03/2022
</t>
        </r>
      </text>
    </comment>
    <comment ref="W202" authorId="4" shapeId="0">
      <text>
        <r>
          <rPr>
            <b/>
            <sz val="9"/>
            <color indexed="81"/>
            <rFont val="Tahoma"/>
            <family val="2"/>
          </rPr>
          <t>user:</t>
        </r>
        <r>
          <rPr>
            <sz val="9"/>
            <color indexed="81"/>
            <rFont val="Tahoma"/>
            <family val="2"/>
          </rPr>
          <t xml:space="preserve">
- QĐ BN Phó TK CNTT từ 01/9/2020
- QĐ BN Trưởng TT Thư viện từ 01/5/2023</t>
        </r>
      </text>
    </comment>
    <comment ref="X202" authorId="4" shapeId="0">
      <text>
        <r>
          <rPr>
            <b/>
            <sz val="9"/>
            <color indexed="81"/>
            <rFont val="Tahoma"/>
            <family val="2"/>
          </rPr>
          <t>user:</t>
        </r>
        <r>
          <rPr>
            <sz val="9"/>
            <color indexed="81"/>
            <rFont val="Tahoma"/>
            <family val="2"/>
          </rPr>
          <t xml:space="preserve">
+ 15% từ 01/5/2019
+ 16% từ 01/5/2020
+ 17% từ 01/5/2021
+ 18% từ 01/5/2022
+ 19% từ 01/5/2023
+ 20% từ 01/5/2024</t>
        </r>
      </text>
    </comment>
    <comment ref="R203" authorId="0"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3" authorId="4"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
+ 17% từ 01/9/2024</t>
        </r>
      </text>
    </comment>
    <comment ref="R204" authorId="3"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4" authorId="3" shapeId="0">
      <text>
        <r>
          <rPr>
            <b/>
            <sz val="9"/>
            <color indexed="81"/>
            <rFont val="Tahoma"/>
            <family val="2"/>
          </rPr>
          <t>User:</t>
        </r>
        <r>
          <rPr>
            <sz val="9"/>
            <color indexed="81"/>
            <rFont val="Tahoma"/>
            <family val="2"/>
          </rPr>
          <t xml:space="preserve">
- Miễn nhiệm Trưởng bộ môn Công nghệ phần mềm từ 01/9/2015</t>
        </r>
      </text>
    </comment>
    <comment ref="X204" authorId="4"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
+ 16% từ 01/9/2024</t>
        </r>
      </text>
    </comment>
    <comment ref="R205" authorId="3"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5" authorId="3" shapeId="0">
      <text>
        <r>
          <rPr>
            <b/>
            <sz val="9"/>
            <color indexed="81"/>
            <rFont val="Tahoma"/>
            <family val="2"/>
          </rPr>
          <t>User:</t>
        </r>
        <r>
          <rPr>
            <sz val="9"/>
            <color indexed="81"/>
            <rFont val="Tahoma"/>
            <family val="2"/>
          </rPr>
          <t xml:space="preserve">
- Miễn nhiệm trưởng BM Mạng và phần cứng từ 01/9/15</t>
        </r>
      </text>
    </comment>
    <comment ref="X205" authorId="4"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
+ 16% từ 01/9/2024</t>
        </r>
      </text>
    </comment>
    <comment ref="R206" authorId="3"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06" authorId="3"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06" authorId="6"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
+ 17% từ 01/5/2024</t>
        </r>
      </text>
    </comment>
    <comment ref="R207" authorId="3" shapeId="0">
      <text>
        <r>
          <rPr>
            <b/>
            <sz val="9"/>
            <color indexed="81"/>
            <rFont val="Tahoma"/>
            <family val="2"/>
          </rPr>
          <t>User:</t>
        </r>
        <r>
          <rPr>
            <sz val="9"/>
            <color indexed="81"/>
            <rFont val="Tahoma"/>
            <family val="2"/>
          </rPr>
          <t xml:space="preserve">
- Bậc 3, HS 3,00 từ 01/12/2014
- HS 3,66 từ 01/12/2020
- HS 3,99 từ 01/12/2023</t>
        </r>
      </text>
    </comment>
    <comment ref="X207" authorId="6"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
+ Lên 17% từ 01/06/2024</t>
        </r>
      </text>
    </comment>
    <comment ref="R208" authorId="3"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08" authorId="3"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08"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209" authorId="3" shapeId="0">
      <text>
        <r>
          <rPr>
            <b/>
            <sz val="9"/>
            <color indexed="81"/>
            <rFont val="Tahoma"/>
            <family val="2"/>
          </rPr>
          <t>User:</t>
        </r>
        <r>
          <rPr>
            <sz val="9"/>
            <color indexed="81"/>
            <rFont val="Tahoma"/>
            <family val="2"/>
          </rPr>
          <t xml:space="preserve">
- HS 3,00 từ 01/09/2015
- HS 3,33 từ 01/09/2018
- HS 3,66 từ 01/9/2021</t>
        </r>
      </text>
    </comment>
    <comment ref="X209"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210" authorId="3"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X210"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211" authorId="3"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X211" authorId="3"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
- 15% từ 01/10/2024</t>
        </r>
      </text>
    </comment>
    <comment ref="R212" authorId="0"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2" authorId="3"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2"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13" authorId="4" shapeId="0">
      <text>
        <r>
          <rPr>
            <b/>
            <sz val="9"/>
            <color indexed="81"/>
            <rFont val="Tahoma"/>
            <family val="2"/>
          </rPr>
          <t>user:</t>
        </r>
        <r>
          <rPr>
            <sz val="9"/>
            <color indexed="81"/>
            <rFont val="Tahoma"/>
            <family val="2"/>
          </rPr>
          <t xml:space="preserve">
- HS 3,33 từ 01/5/2021
- HS 3,66 từ 01/5/2024</t>
        </r>
      </text>
    </comment>
    <comment ref="X213" authorId="4" shapeId="0">
      <text>
        <r>
          <rPr>
            <b/>
            <sz val="9"/>
            <color indexed="81"/>
            <rFont val="Tahoma"/>
            <family val="2"/>
          </rPr>
          <t>user:</t>
        </r>
        <r>
          <rPr>
            <sz val="9"/>
            <color indexed="81"/>
            <rFont val="Tahoma"/>
            <family val="2"/>
          </rPr>
          <t xml:space="preserve">
+ 7% từ 01/5/2019
+ 8% từ 01/5/2020
+ 9% từ 01/5/2021
+ 10% từ 01/5/2022
+ 11% từ 01/5/2023
+ 12% từ 01/5/2024</t>
        </r>
      </text>
    </comment>
    <comment ref="R214" authorId="4"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
- HS 4,32 từ 01/10/2024</t>
        </r>
      </text>
    </comment>
    <comment ref="X214" authorId="0"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
- 12% từ 01/5/2024</t>
        </r>
      </text>
    </comment>
    <comment ref="R215"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X215" authorId="4" shapeId="0">
      <text>
        <r>
          <rPr>
            <b/>
            <sz val="9"/>
            <color indexed="81"/>
            <rFont val="Tahoma"/>
            <family val="2"/>
          </rPr>
          <t>user:</t>
        </r>
        <r>
          <rPr>
            <sz val="9"/>
            <color indexed="81"/>
            <rFont val="Tahoma"/>
            <family val="2"/>
          </rPr>
          <t xml:space="preserve">
- 5% từ 01/9/2018
- 6% từ 01/9/2019
- 7% từ 01/9/2020
- 8% từ 01/9/2021
- 9% từ 01/9/2023
- 10% từ 01/9/2023
- 11% từ 01/9/2024</t>
        </r>
      </text>
    </comment>
    <comment ref="R216" authorId="3"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
- HS 4,32 từ 01/9/2024</t>
        </r>
      </text>
    </comment>
    <comment ref="W216" authorId="4"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16" authorId="6"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
+ 16% từ 01/9/2024</t>
        </r>
      </text>
    </comment>
    <comment ref="R217" authorId="0"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17" authorId="0"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
- 15% từ 01/10/2024</t>
        </r>
      </text>
    </comment>
    <comment ref="R218" authorId="3"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
- HS 4,32 từ 01/09/2023 (NL trước hạn)</t>
        </r>
      </text>
    </comment>
    <comment ref="X218" authorId="4"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
+ 16% từ 01/9/2024</t>
        </r>
      </text>
    </comment>
    <comment ref="R219" authorId="4" shapeId="0">
      <text>
        <r>
          <rPr>
            <b/>
            <sz val="9"/>
            <color indexed="81"/>
            <rFont val="Tahoma"/>
            <family val="2"/>
          </rPr>
          <t>user:</t>
        </r>
        <r>
          <rPr>
            <sz val="9"/>
            <color indexed="81"/>
            <rFont val="Tahoma"/>
            <family val="2"/>
          </rPr>
          <t xml:space="preserve">
- HS 3,33 từ 01/9/2019
- HS 3,66 từ 01/9/2021 (NL trước hạn)
- HS 3,99 từ 01/9/2024</t>
        </r>
      </text>
    </comment>
    <comment ref="W219" authorId="6"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19" authorId="5" shapeId="0">
      <text>
        <r>
          <rPr>
            <b/>
            <sz val="9"/>
            <color indexed="81"/>
            <rFont val="Tahoma"/>
            <family val="2"/>
          </rPr>
          <t>Quynh:</t>
        </r>
        <r>
          <rPr>
            <sz val="9"/>
            <color indexed="81"/>
            <rFont val="Tahoma"/>
            <family val="2"/>
          </rPr>
          <t xml:space="preserve">
+ 5% từ 01/6/2018
+ 6% từ 01/6/2019
+ 7% từ 01/06/2020
+ 8% từ 01/06/2021
+ 9% từ 01/06/2022
+ 10% từ 01/06/2023
+ 11% từ 01/06/2024</t>
        </r>
      </text>
    </comment>
    <comment ref="R220" authorId="2" shapeId="0">
      <text>
        <r>
          <rPr>
            <b/>
            <sz val="9"/>
            <color indexed="81"/>
            <rFont val="Tahoma"/>
            <family val="2"/>
          </rPr>
          <t>Windows User:</t>
        </r>
        <r>
          <rPr>
            <sz val="9"/>
            <color indexed="81"/>
            <rFont val="Tahoma"/>
            <family val="2"/>
          </rPr>
          <t xml:space="preserve">
- Tuyển dụng từ 01/5/2023 (HS 2,269) 
- HS 2,67 từ 01/5/2024</t>
        </r>
      </text>
    </comment>
    <comment ref="R221" authorId="2" shapeId="0">
      <text>
        <r>
          <rPr>
            <b/>
            <sz val="9"/>
            <color indexed="81"/>
            <rFont val="Tahoma"/>
            <family val="2"/>
          </rPr>
          <t>Windows User:</t>
        </r>
        <r>
          <rPr>
            <sz val="9"/>
            <color indexed="81"/>
            <rFont val="Tahoma"/>
            <family val="2"/>
          </rPr>
          <t xml:space="preserve">
- Tuyển dụng Thử việc từ 01/9/2023 (HS 2,34)
- HS 2,34 từ 01/9/2024</t>
        </r>
      </text>
    </comment>
    <comment ref="R222" authorId="0"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2" authorId="4"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2" authorId="4"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
+ 19% từ 01/9/2024</t>
        </r>
      </text>
    </comment>
    <comment ref="R223" authorId="3" shapeId="0">
      <text>
        <r>
          <rPr>
            <b/>
            <sz val="9"/>
            <color indexed="81"/>
            <rFont val="Tahoma"/>
            <family val="2"/>
          </rPr>
          <t>User:</t>
        </r>
        <r>
          <rPr>
            <sz val="9"/>
            <color indexed="81"/>
            <rFont val="Tahoma"/>
            <family val="2"/>
          </rPr>
          <t xml:space="preserve">
- HS 3,00 từ 01/09/2015
- HS 3,33 từ 01/09/2018
- HS 3,66 từ 01/09/2021
- HS 3,99 từ 01/9/2024</t>
        </r>
      </text>
    </comment>
    <comment ref="W223" authorId="6"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3"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224" authorId="0"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4" authorId="0" shapeId="0">
      <text>
        <r>
          <rPr>
            <b/>
            <sz val="9"/>
            <color indexed="81"/>
            <rFont val="Tahoma"/>
            <family val="2"/>
          </rPr>
          <t>Admin:</t>
        </r>
        <r>
          <rPr>
            <sz val="9"/>
            <color indexed="81"/>
            <rFont val="Tahoma"/>
            <family val="2"/>
          </rPr>
          <t xml:space="preserve">
+ QĐ BN Trưởng bộ môn Công nghệ chế tạo từ 15/5/2016</t>
        </r>
      </text>
    </comment>
    <comment ref="X224" authorId="0"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
+ 19% từ 01/9/2024</t>
        </r>
      </text>
    </comment>
    <comment ref="R225"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W225" authorId="3"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5" authorId="4" shapeId="0">
      <text>
        <r>
          <rPr>
            <b/>
            <sz val="9"/>
            <color indexed="81"/>
            <rFont val="Tahoma"/>
            <family val="2"/>
          </rPr>
          <t>user:</t>
        </r>
        <r>
          <rPr>
            <sz val="9"/>
            <color indexed="81"/>
            <rFont val="Tahoma"/>
            <family val="2"/>
          </rPr>
          <t xml:space="preserve">
- 5% từ 01/9/2018
- 6% từ 01/9/2019
- 7% từ 01/9/2020
- 8% từ 01/9/2021
- 9% từ 01/9/2022
- 10% từ 01/9/2023
- 11% từ 01/9/2024</t>
        </r>
      </text>
    </comment>
    <comment ref="R226" authorId="4" shapeId="0">
      <text>
        <r>
          <rPr>
            <b/>
            <sz val="9"/>
            <color indexed="81"/>
            <rFont val="Tahoma"/>
            <family val="2"/>
          </rPr>
          <t>user:</t>
        </r>
        <r>
          <rPr>
            <sz val="9"/>
            <color indexed="81"/>
            <rFont val="Tahoma"/>
            <family val="2"/>
          </rPr>
          <t xml:space="preserve">
- HS 3,99 từ 01/9/2019
- HS 4,32 từ 01/09/2022</t>
        </r>
      </text>
    </comment>
    <comment ref="X226" authorId="0"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
+ 19% từ 01/9/2024</t>
        </r>
      </text>
    </comment>
    <comment ref="R227" authorId="3"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7" authorId="4"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
+ 16% từ 01/9/2024</t>
        </r>
      </text>
    </comment>
    <comment ref="R228" authorId="3" shapeId="0">
      <text>
        <r>
          <rPr>
            <b/>
            <sz val="9"/>
            <color indexed="81"/>
            <rFont val="Tahoma"/>
            <family val="2"/>
          </rPr>
          <t>User:</t>
        </r>
        <r>
          <rPr>
            <sz val="9"/>
            <color indexed="81"/>
            <rFont val="Tahoma"/>
            <family val="2"/>
          </rPr>
          <t xml:space="preserve">
- HS 3,00 từ 01/09/2015
- HS 3,33 từ 01/09/2018
- HS 3,66 từ 01/09/2021
- HS 3,99 từ 01/9/2024</t>
        </r>
      </text>
    </comment>
    <comment ref="X228"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229" authorId="0" shapeId="0">
      <text>
        <r>
          <rPr>
            <b/>
            <sz val="9"/>
            <color indexed="81"/>
            <rFont val="Tahoma"/>
            <family val="2"/>
          </rPr>
          <t>Admin:</t>
        </r>
        <r>
          <rPr>
            <sz val="9"/>
            <color indexed="81"/>
            <rFont val="Tahoma"/>
            <family val="2"/>
          </rPr>
          <t xml:space="preserve">
- HS 3,00 từ 01/9/2016
- HS 3,33 từ 01/9/2019
- HS 3,66 từ 01/9/2022</t>
        </r>
      </text>
    </comment>
    <comment ref="X229" authorId="3"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
- 14% từ 01/9/2024</t>
        </r>
      </text>
    </comment>
    <comment ref="R230" authorId="0" shapeId="0">
      <text>
        <r>
          <rPr>
            <b/>
            <sz val="9"/>
            <color indexed="81"/>
            <rFont val="Tahoma"/>
            <family val="2"/>
          </rPr>
          <t>Admin:</t>
        </r>
        <r>
          <rPr>
            <sz val="9"/>
            <color indexed="81"/>
            <rFont val="Tahoma"/>
            <family val="2"/>
          </rPr>
          <t xml:space="preserve">
- HS 3,00 từ 01/9/2016
- HS 3,33 từ 01/9/2019
- HS 3,66 từ 01/9/2022</t>
        </r>
      </text>
    </comment>
    <comment ref="X230"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31" authorId="0" shapeId="0">
      <text>
        <r>
          <rPr>
            <b/>
            <sz val="9"/>
            <color indexed="81"/>
            <rFont val="Tahoma"/>
            <family val="2"/>
          </rPr>
          <t>Admin:</t>
        </r>
        <r>
          <rPr>
            <sz val="9"/>
            <color indexed="81"/>
            <rFont val="Tahoma"/>
            <family val="2"/>
          </rPr>
          <t xml:space="preserve">
- HS 3,00 từ 01/9/2016
- HS 3,33 từ 01/9/2019
- HS 3,66 từ 01/9/2022</t>
        </r>
      </text>
    </comment>
    <comment ref="X231"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32" authorId="3"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2" authorId="3"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2" authorId="0"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
+ 13% từ 01/9/2024</t>
        </r>
      </text>
    </comment>
    <comment ref="R233" authorId="0" shapeId="0">
      <text>
        <r>
          <rPr>
            <b/>
            <sz val="9"/>
            <color indexed="81"/>
            <rFont val="Tahoma"/>
            <family val="2"/>
          </rPr>
          <t>Admin:</t>
        </r>
        <r>
          <rPr>
            <sz val="9"/>
            <color indexed="81"/>
            <rFont val="Tahoma"/>
            <family val="2"/>
          </rPr>
          <t xml:space="preserve">
- HS 3,00 từ 01/10/2016
- HS 3,33 từ 01/10/2019
- HS 3,66 từ 01/10/2022</t>
        </r>
      </text>
    </comment>
    <comment ref="X233" authorId="0" shapeId="0">
      <text>
        <r>
          <rPr>
            <b/>
            <sz val="9"/>
            <color indexed="81"/>
            <rFont val="Tahoma"/>
            <family val="2"/>
          </rPr>
          <t>Admin:</t>
        </r>
        <r>
          <rPr>
            <sz val="9"/>
            <color indexed="81"/>
            <rFont val="Tahoma"/>
            <family val="2"/>
          </rPr>
          <t xml:space="preserve">
+ 8% từ 01/8/2018
+ 9% từ 01/8/2019
+ 10% từ 01/8/2020
+ 11% từ 01/8/2021
+ 12% từ 01/8/2022
+ 13% từ 01/8/2023
+ 14% từ 01/8/2024</t>
        </r>
      </text>
    </comment>
    <comment ref="R234" authorId="0" shapeId="0">
      <text>
        <r>
          <rPr>
            <b/>
            <sz val="9"/>
            <color indexed="81"/>
            <rFont val="Tahoma"/>
            <family val="2"/>
          </rPr>
          <t>Admin:</t>
        </r>
        <r>
          <rPr>
            <sz val="9"/>
            <color indexed="81"/>
            <rFont val="Tahoma"/>
            <family val="2"/>
          </rPr>
          <t xml:space="preserve">
- HS 2,67 từ 01/10/2016
- HS 3,00 từ 01/10/2019
- HS 3,33 từ 01/10/2022</t>
        </r>
      </text>
    </comment>
    <comment ref="X234" authorId="4" shapeId="0">
      <text>
        <r>
          <rPr>
            <b/>
            <sz val="9"/>
            <color indexed="81"/>
            <rFont val="Tahoma"/>
            <family val="2"/>
          </rPr>
          <t>user:</t>
        </r>
        <r>
          <rPr>
            <sz val="9"/>
            <color indexed="81"/>
            <rFont val="Tahoma"/>
            <family val="2"/>
          </rPr>
          <t xml:space="preserve">
- 5% từ 01/10/2018
- 6% từ 01/10/2019
- 7% từ 01/10/2020
- 8% từ 01/10/2021
- 9% từ 01/10/2022
- 10% từ 01/10/2023
- 11% từ 01/10/2024</t>
        </r>
      </text>
    </comment>
    <comment ref="R235" authorId="0" shapeId="0">
      <text>
        <r>
          <rPr>
            <b/>
            <sz val="9"/>
            <color indexed="81"/>
            <rFont val="Tahoma"/>
            <family val="2"/>
          </rPr>
          <t>Admin:</t>
        </r>
        <r>
          <rPr>
            <sz val="9"/>
            <color indexed="81"/>
            <rFont val="Tahoma"/>
            <family val="2"/>
          </rPr>
          <t xml:space="preserve">
- HS 2,67 từ 01/09/2016
- HS 3,00 từ 01/9/2019</t>
        </r>
      </text>
    </comment>
    <comment ref="X235" authorId="4" shapeId="0">
      <text>
        <r>
          <rPr>
            <b/>
            <sz val="9"/>
            <color indexed="81"/>
            <rFont val="Tahoma"/>
            <family val="2"/>
          </rPr>
          <t>user:</t>
        </r>
        <r>
          <rPr>
            <sz val="9"/>
            <color indexed="81"/>
            <rFont val="Tahoma"/>
            <family val="2"/>
          </rPr>
          <t xml:space="preserve">
- 5% từ 01/09/2021
- 6% từ 01/09/2022
- 7% từ 01/9/2023
- 8% từ 01/9/2024</t>
        </r>
      </text>
    </comment>
    <comment ref="R236" authorId="5" shapeId="0">
      <text>
        <r>
          <rPr>
            <b/>
            <sz val="9"/>
            <color indexed="81"/>
            <rFont val="Tahoma"/>
            <family val="2"/>
          </rPr>
          <t>Quynh:</t>
        </r>
        <r>
          <rPr>
            <sz val="9"/>
            <color indexed="81"/>
            <rFont val="Tahoma"/>
            <family val="2"/>
          </rPr>
          <t xml:space="preserve">
- HS 2,67 từ 01/4/2019
- HS 3,00 từ 01/4/2022</t>
        </r>
      </text>
    </comment>
    <comment ref="X236" authorId="4"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7" authorId="4" shapeId="0">
      <text>
        <r>
          <rPr>
            <b/>
            <sz val="9"/>
            <color indexed="81"/>
            <rFont val="Tahoma"/>
            <family val="2"/>
          </rPr>
          <t>user:</t>
        </r>
        <r>
          <rPr>
            <sz val="9"/>
            <color indexed="81"/>
            <rFont val="Tahoma"/>
            <family val="2"/>
          </rPr>
          <t xml:space="preserve">
- BN CDNN từ 01/10/2019 (HS 2,67)
- HS 3,00 từ 01/10/2022</t>
        </r>
      </text>
    </comment>
    <comment ref="X237" authorId="2" shapeId="0">
      <text>
        <r>
          <rPr>
            <b/>
            <sz val="9"/>
            <color indexed="81"/>
            <rFont val="Tahoma"/>
            <family val="2"/>
          </rPr>
          <t>Windows User:</t>
        </r>
        <r>
          <rPr>
            <sz val="9"/>
            <color indexed="81"/>
            <rFont val="Tahoma"/>
            <family val="2"/>
          </rPr>
          <t xml:space="preserve">
- 5% từ 01/10/2022
- 6% từ 01/10/2023
- 7% từ 01/10/2024</t>
        </r>
      </text>
    </comment>
    <comment ref="R238" authorId="5"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39" authorId="4" shapeId="0">
      <text>
        <r>
          <rPr>
            <b/>
            <sz val="9"/>
            <color indexed="81"/>
            <rFont val="Tahoma"/>
            <family val="2"/>
          </rPr>
          <t>user:</t>
        </r>
        <r>
          <rPr>
            <sz val="9"/>
            <color indexed="81"/>
            <rFont val="Tahoma"/>
            <family val="2"/>
          </rPr>
          <t xml:space="preserve">
- Thuyên chuyển từ TC Nguyễn Hữu Cảnh về trường từ 15/06/2021</t>
        </r>
      </text>
    </comment>
    <comment ref="O239" authorId="2" shapeId="0">
      <text>
        <r>
          <rPr>
            <b/>
            <sz val="9"/>
            <color indexed="81"/>
            <rFont val="Tahoma"/>
            <family val="2"/>
          </rPr>
          <t>Windows User:</t>
        </r>
        <r>
          <rPr>
            <sz val="9"/>
            <color indexed="81"/>
            <rFont val="Tahoma"/>
            <family val="2"/>
          </rPr>
          <t xml:space="preserve">
- QĐ Chuyển mã CDNN từ V.09.02.07 sang V.09.02.03 từ 24/5/2023</t>
        </r>
      </text>
    </comment>
    <comment ref="R239" authorId="4" shapeId="0">
      <text>
        <r>
          <rPr>
            <b/>
            <sz val="9"/>
            <color indexed="81"/>
            <rFont val="Tahoma"/>
            <family val="2"/>
          </rPr>
          <t>user:</t>
        </r>
        <r>
          <rPr>
            <sz val="9"/>
            <color indexed="81"/>
            <rFont val="Tahoma"/>
            <family val="2"/>
          </rPr>
          <t xml:space="preserve">
- HS 4,32 từ 01/4/2022</t>
        </r>
      </text>
    </comment>
    <comment ref="X239" authorId="4" shapeId="0">
      <text>
        <r>
          <rPr>
            <b/>
            <sz val="9"/>
            <color indexed="81"/>
            <rFont val="Tahoma"/>
            <family val="2"/>
          </rPr>
          <t>user:</t>
        </r>
        <r>
          <rPr>
            <sz val="9"/>
            <color indexed="81"/>
            <rFont val="Tahoma"/>
            <family val="2"/>
          </rPr>
          <t xml:space="preserve">
- 17% từ 01/4/2022
- 18% từ 01/4/2023
- 19% từ 01/4/2024</t>
        </r>
      </text>
    </comment>
    <comment ref="R240" authorId="4"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0" authorId="7" shapeId="0">
      <text>
        <r>
          <rPr>
            <b/>
            <sz val="9"/>
            <color indexed="81"/>
            <rFont val="Tahoma"/>
            <family val="2"/>
          </rPr>
          <t>huynh-panda:</t>
        </r>
        <r>
          <rPr>
            <sz val="9"/>
            <color indexed="81"/>
            <rFont val="Tahoma"/>
            <family val="2"/>
          </rPr>
          <t xml:space="preserve">
- 5% từ 01/3/2022
- 6% từ 01/3/2023
- 7% từ 01/3/2024</t>
        </r>
      </text>
    </comment>
    <comment ref="R241" authorId="2" shapeId="0">
      <text>
        <r>
          <rPr>
            <b/>
            <sz val="9"/>
            <color indexed="81"/>
            <rFont val="Tahoma"/>
            <family val="2"/>
          </rPr>
          <t>Windows User:</t>
        </r>
        <r>
          <rPr>
            <sz val="9"/>
            <color indexed="81"/>
            <rFont val="Tahoma"/>
            <family val="2"/>
          </rPr>
          <t xml:space="preserve">
- HS 2,67 từ 01/10/2022 (Tuyển dụng VC). Mốc NL 01/01/2022</t>
        </r>
      </text>
    </comment>
    <comment ref="X241" authorId="2" shapeId="0">
      <text>
        <r>
          <rPr>
            <b/>
            <sz val="9"/>
            <color indexed="81"/>
            <rFont val="Tahoma"/>
            <family val="2"/>
          </rPr>
          <t>Windows User:</t>
        </r>
        <r>
          <rPr>
            <sz val="9"/>
            <color indexed="81"/>
            <rFont val="Tahoma"/>
            <family val="2"/>
          </rPr>
          <t xml:space="preserve">
- 7% từ 01/10/2022 (Tuyển dụng viên chức)
- 8% từ 01/07/2023
- 9% từ 01/07/2024</t>
        </r>
      </text>
    </comment>
    <comment ref="R242" authorId="0" shapeId="0">
      <text>
        <r>
          <rPr>
            <b/>
            <sz val="9"/>
            <color indexed="81"/>
            <rFont val="Tahoma"/>
            <family val="2"/>
          </rPr>
          <t>Admin:</t>
        </r>
        <r>
          <rPr>
            <sz val="9"/>
            <color indexed="81"/>
            <rFont val="Tahoma"/>
            <family val="2"/>
          </rPr>
          <t xml:space="preserve">
- HS 2,67 từ 01/09/2016
- HS 3,00 từ 01/09/2019
- HS 3,33 từ 01/09/2021 (NL trước hạn)
- HS 3,66 từ 01/9/2024</t>
        </r>
      </text>
    </comment>
    <comment ref="W242" authorId="4" shapeId="0">
      <text>
        <r>
          <rPr>
            <b/>
            <sz val="9"/>
            <color indexed="81"/>
            <rFont val="Tahoma"/>
            <family val="2"/>
          </rPr>
          <t>user:</t>
        </r>
        <r>
          <rPr>
            <sz val="9"/>
            <color indexed="81"/>
            <rFont val="Tahoma"/>
            <family val="2"/>
          </rPr>
          <t xml:space="preserve">
Trưởng BM Cơ điện tử và Tự động hóa từ 01/01/2019</t>
        </r>
      </text>
    </comment>
    <comment ref="X242" authorId="4" shapeId="0">
      <text>
        <r>
          <rPr>
            <b/>
            <sz val="9"/>
            <color indexed="81"/>
            <rFont val="Tahoma"/>
            <family val="2"/>
          </rPr>
          <t>user:</t>
        </r>
        <r>
          <rPr>
            <sz val="9"/>
            <color indexed="81"/>
            <rFont val="Tahoma"/>
            <family val="2"/>
          </rPr>
          <t xml:space="preserve">
+ 11% từ 01/9/2019
+ 12% từ 01/9/2020
+ 13% từ 01/9/2021
+ 14% từ 01/9/2022
+ 15% từ 01/9/2023
+ 16% từ 01/9/2024</t>
        </r>
      </text>
    </comment>
    <comment ref="R243" authorId="0" shapeId="0">
      <text>
        <r>
          <rPr>
            <b/>
            <sz val="9"/>
            <color indexed="81"/>
            <rFont val="Tahoma"/>
            <family val="2"/>
          </rPr>
          <t>Admin:</t>
        </r>
        <r>
          <rPr>
            <sz val="9"/>
            <color indexed="81"/>
            <rFont val="Tahoma"/>
            <family val="2"/>
          </rPr>
          <t xml:space="preserve">
- HS 3,00 từ 01/9/2016
- HS 3,33 từ 01/9/2019
- HS 3,66 từ 01/9/2022</t>
        </r>
      </text>
    </comment>
    <comment ref="X243"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44" authorId="3" shapeId="0">
      <text>
        <r>
          <rPr>
            <b/>
            <sz val="9"/>
            <color indexed="81"/>
            <rFont val="Tahoma"/>
            <family val="2"/>
          </rPr>
          <t>User:</t>
        </r>
        <r>
          <rPr>
            <sz val="9"/>
            <color indexed="81"/>
            <rFont val="Tahoma"/>
            <family val="2"/>
          </rPr>
          <t xml:space="preserve">
HS 3,33 từ 01/9/2015
- HS 3,66 từ 01/9/2018
- HS 3,99 từ 01/9/2021
- HS 4,32 từ 01/9/2024</t>
        </r>
      </text>
    </comment>
    <comment ref="X244" authorId="4"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
+ 18% từ 01/9/2024</t>
        </r>
      </text>
    </comment>
    <comment ref="R245" authorId="3"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5" authorId="0"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
- 13% từ 01/9/2024</t>
        </r>
      </text>
    </comment>
    <comment ref="R246" authorId="4" shapeId="0">
      <text>
        <r>
          <rPr>
            <b/>
            <sz val="9"/>
            <color indexed="81"/>
            <rFont val="Tahoma"/>
            <family val="2"/>
          </rPr>
          <t>user:</t>
        </r>
        <r>
          <rPr>
            <sz val="9"/>
            <color indexed="81"/>
            <rFont val="Tahoma"/>
            <family val="2"/>
          </rPr>
          <t xml:space="preserve">
- HS 3,33 từ 01/9/2019 (NL trước hạn)
- HS 3,66 từ 01/9/2022</t>
        </r>
      </text>
    </comment>
    <comment ref="X246" authorId="0"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
- 13% từ 01/9/2024</t>
        </r>
      </text>
    </comment>
    <comment ref="R247" authorId="0"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7" authorId="6"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
+ 19% từ 01/03/2024</t>
        </r>
      </text>
    </comment>
    <comment ref="D248" authorId="4" shapeId="0">
      <text>
        <r>
          <rPr>
            <b/>
            <sz val="9"/>
            <color indexed="81"/>
            <rFont val="Tahoma"/>
            <family val="2"/>
          </rPr>
          <t>user:</t>
        </r>
        <r>
          <rPr>
            <sz val="9"/>
            <color indexed="81"/>
            <rFont val="Tahoma"/>
            <family val="2"/>
          </rPr>
          <t xml:space="preserve">
- Thuyên chuyển từ Trường TC Bách Nghệ về trường từ 15/06/2021</t>
        </r>
      </text>
    </comment>
    <comment ref="O248" authorId="2"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48" authorId="2" shapeId="0">
      <text>
        <r>
          <rPr>
            <b/>
            <sz val="9"/>
            <color indexed="81"/>
            <rFont val="Tahoma"/>
            <family val="2"/>
          </rPr>
          <t>Windows User:</t>
        </r>
        <r>
          <rPr>
            <sz val="9"/>
            <color indexed="81"/>
            <rFont val="Tahoma"/>
            <family val="2"/>
          </rPr>
          <t xml:space="preserve">
- HS 3,99 từ 01/11/2022</t>
        </r>
      </text>
    </comment>
    <comment ref="X248" authorId="4" shapeId="0">
      <text>
        <r>
          <rPr>
            <b/>
            <sz val="9"/>
            <color indexed="81"/>
            <rFont val="Tahoma"/>
            <family val="2"/>
          </rPr>
          <t>user:</t>
        </r>
        <r>
          <rPr>
            <sz val="9"/>
            <color indexed="81"/>
            <rFont val="Tahoma"/>
            <family val="2"/>
          </rPr>
          <t xml:space="preserve">
+ 13% từ 01/10/2021
+ 14% từ 01/10/2022
+ 15% từ 01/10/2023
+ 16% từ 01/10/2024</t>
        </r>
      </text>
    </comment>
    <comment ref="R249" authorId="5" shapeId="0">
      <text>
        <r>
          <rPr>
            <b/>
            <sz val="9"/>
            <color indexed="81"/>
            <rFont val="Tahoma"/>
            <family val="2"/>
          </rPr>
          <t>Quynh:</t>
        </r>
        <r>
          <rPr>
            <sz val="9"/>
            <color indexed="81"/>
            <rFont val="Tahoma"/>
            <family val="2"/>
          </rPr>
          <t xml:space="preserve">
- HS 2,67 từ 01/4/2019
- HS 3,00 từ 01/4/2021 (NL trước hạn)
- HS 3,33 từ 01/4/2024</t>
        </r>
      </text>
    </comment>
    <comment ref="X249" authorId="2" shapeId="0">
      <text>
        <r>
          <rPr>
            <b/>
            <sz val="9"/>
            <color indexed="81"/>
            <rFont val="Tahoma"/>
            <family val="2"/>
          </rPr>
          <t>Windows User:</t>
        </r>
        <r>
          <rPr>
            <sz val="9"/>
            <color indexed="81"/>
            <rFont val="Tahoma"/>
            <family val="2"/>
          </rPr>
          <t xml:space="preserve">
- Hưởng 5% từ 01/4/2024</t>
        </r>
      </text>
    </comment>
    <comment ref="R250" authorId="4" shapeId="0">
      <text>
        <r>
          <rPr>
            <b/>
            <sz val="9"/>
            <color indexed="81"/>
            <rFont val="Tahoma"/>
            <family val="2"/>
          </rPr>
          <t>user:</t>
        </r>
        <r>
          <rPr>
            <sz val="9"/>
            <color indexed="81"/>
            <rFont val="Tahoma"/>
            <family val="2"/>
          </rPr>
          <t xml:space="preserve">
- HS 2,34 từ 01/01/2020
- HS 2,67 từ 01/01/2022 (NL trước hạn)</t>
        </r>
      </text>
    </comment>
    <comment ref="W250" authorId="2" shapeId="0">
      <text>
        <r>
          <rPr>
            <b/>
            <sz val="9"/>
            <color indexed="81"/>
            <rFont val="Tahoma"/>
            <family val="2"/>
          </rPr>
          <t>Windows User:</t>
        </r>
        <r>
          <rPr>
            <sz val="9"/>
            <color indexed="81"/>
            <rFont val="Tahoma"/>
            <family val="2"/>
          </rPr>
          <t xml:space="preserve">
- Trưởng bộ môn Kỹ thuật Điện - Điện tử từ 01/10/2023</t>
        </r>
      </text>
    </comment>
    <comment ref="R251" authorId="5" shapeId="0">
      <text>
        <r>
          <rPr>
            <b/>
            <sz val="9"/>
            <color indexed="81"/>
            <rFont val="Tahoma"/>
            <family val="2"/>
          </rPr>
          <t>Quynh:</t>
        </r>
        <r>
          <rPr>
            <sz val="9"/>
            <color indexed="81"/>
            <rFont val="Tahoma"/>
            <family val="2"/>
          </rPr>
          <t xml:space="preserve">
- HS 2,34 từ 01/4/2019
- HS 2,67 từ 01/4/2022</t>
        </r>
      </text>
    </comment>
    <comment ref="W251" authorId="2" shapeId="0">
      <text>
        <r>
          <rPr>
            <b/>
            <sz val="9"/>
            <color indexed="81"/>
            <rFont val="Tahoma"/>
            <family val="2"/>
          </rPr>
          <t>Windows User:</t>
        </r>
        <r>
          <rPr>
            <sz val="9"/>
            <color indexed="81"/>
            <rFont val="Tahoma"/>
            <family val="2"/>
          </rPr>
          <t xml:space="preserve">
- QĐ Bổ nhiệm Trưởng BM Điện CN từ 01/10/2022</t>
        </r>
      </text>
    </comment>
    <comment ref="X251" authorId="2" shapeId="0">
      <text>
        <r>
          <rPr>
            <b/>
            <sz val="9"/>
            <color indexed="81"/>
            <rFont val="Tahoma"/>
            <family val="2"/>
          </rPr>
          <t>Windows User:</t>
        </r>
        <r>
          <rPr>
            <sz val="9"/>
            <color indexed="81"/>
            <rFont val="Tahoma"/>
            <family val="2"/>
          </rPr>
          <t xml:space="preserve">
- 5% từ 01/4/2024</t>
        </r>
      </text>
    </comment>
    <comment ref="R252" authorId="2" shapeId="0">
      <text>
        <r>
          <rPr>
            <b/>
            <sz val="9"/>
            <color indexed="81"/>
            <rFont val="Tahoma"/>
            <family val="2"/>
          </rPr>
          <t>Windows User:</t>
        </r>
        <r>
          <rPr>
            <sz val="9"/>
            <color indexed="81"/>
            <rFont val="Tahoma"/>
            <family val="2"/>
          </rPr>
          <t xml:space="preserve">
- HS 2,67 từ 01/10/2023</t>
        </r>
      </text>
    </comment>
    <comment ref="R253" authorId="2" shapeId="0">
      <text>
        <r>
          <rPr>
            <b/>
            <sz val="9"/>
            <color indexed="81"/>
            <rFont val="Tahoma"/>
            <family val="2"/>
          </rPr>
          <t>Windows User:</t>
        </r>
        <r>
          <rPr>
            <sz val="9"/>
            <color indexed="81"/>
            <rFont val="Tahoma"/>
            <family val="2"/>
          </rPr>
          <t xml:space="preserve">
- HS 2,34 từ 01/10/2023</t>
        </r>
      </text>
    </comment>
    <comment ref="R254" authorId="3"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
- HS 4,65 từ 01/9/2023 (NL trước hạn)</t>
        </r>
      </text>
    </comment>
    <comment ref="W254" authorId="3" shapeId="0">
      <text>
        <r>
          <rPr>
            <b/>
            <sz val="9"/>
            <color indexed="81"/>
            <rFont val="Tahoma"/>
            <family val="2"/>
          </rPr>
          <t>User:</t>
        </r>
        <r>
          <rPr>
            <sz val="9"/>
            <color indexed="81"/>
            <rFont val="Tahoma"/>
            <family val="2"/>
          </rPr>
          <t xml:space="preserve">
- QĐ Bổ nhiệm Trưởng khoa CN Động lực từ 01/8/2015
</t>
        </r>
      </text>
    </comment>
    <comment ref="X254" authorId="4" shapeId="0">
      <text>
        <r>
          <rPr>
            <b/>
            <sz val="9"/>
            <color indexed="81"/>
            <rFont val="Tahoma"/>
            <family val="2"/>
          </rPr>
          <t>user:</t>
        </r>
        <r>
          <rPr>
            <sz val="9"/>
            <color indexed="81"/>
            <rFont val="Tahoma"/>
            <family val="2"/>
          </rPr>
          <t xml:space="preserve">
- 15% từ 01/9/2021
- 16% từ 01/9/2022
- 17% từ 01/9/2023
- 18% từ 01/9/2024</t>
        </r>
      </text>
    </comment>
    <comment ref="R255" authorId="0"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5" authorId="4" shapeId="0">
      <text>
        <r>
          <rPr>
            <sz val="8"/>
            <color indexed="81"/>
            <rFont val="Tahoma"/>
            <family val="2"/>
          </rPr>
          <t>QĐ bổ nhiệmTTCM từ 01/09/2012
- Bổ nhiệm Trưởng bộ môn Gầm - Ô tô từ 01/9/2015</t>
        </r>
      </text>
    </comment>
    <comment ref="X255" authorId="4"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
+ 17% từ 01/9/2024</t>
        </r>
      </text>
    </comment>
    <comment ref="R256" authorId="3"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6" authorId="4" shapeId="0">
      <text>
        <r>
          <rPr>
            <b/>
            <sz val="9"/>
            <color indexed="81"/>
            <rFont val="Tahoma"/>
            <family val="2"/>
          </rPr>
          <t>user:</t>
        </r>
        <r>
          <rPr>
            <sz val="9"/>
            <color indexed="81"/>
            <rFont val="Tahoma"/>
            <family val="2"/>
          </rPr>
          <t xml:space="preserve">
- BN Trưởng BM Động cơ Ô tô từ T9/2020</t>
        </r>
      </text>
    </comment>
    <comment ref="X256" authorId="3"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
- 15% từ 01/9/2024</t>
        </r>
      </text>
    </comment>
    <comment ref="R257" authorId="3"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7" authorId="5" shapeId="0">
      <text>
        <r>
          <rPr>
            <b/>
            <sz val="9"/>
            <color indexed="81"/>
            <rFont val="Tahoma"/>
            <family val="2"/>
          </rPr>
          <t>Quynh:</t>
        </r>
        <r>
          <rPr>
            <sz val="9"/>
            <color indexed="81"/>
            <rFont val="Tahoma"/>
            <family val="2"/>
          </rPr>
          <t xml:space="preserve">
- BN Trưởng bộ môn Điện Ô tô từ 01/01/2019
</t>
        </r>
      </text>
    </comment>
    <comment ref="X257" authorId="4" shapeId="0">
      <text>
        <r>
          <rPr>
            <b/>
            <sz val="9"/>
            <color indexed="81"/>
            <rFont val="Tahoma"/>
            <family val="2"/>
          </rPr>
          <t>user:</t>
        </r>
        <r>
          <rPr>
            <sz val="9"/>
            <color indexed="81"/>
            <rFont val="Tahoma"/>
            <family val="2"/>
          </rPr>
          <t xml:space="preserve">
- 5% từ 01/9/2019
- 6% từ 01/9/2020
- 7% từ 01/9/2021
- 8% từ 01/9/2022
- 9% từ 01/9/2023</t>
        </r>
      </text>
    </comment>
    <comment ref="R258" authorId="6"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
- HS 3,66 từ 01/9/2024</t>
        </r>
      </text>
    </comment>
    <comment ref="X258" authorId="4" shapeId="0">
      <text>
        <r>
          <rPr>
            <b/>
            <sz val="9"/>
            <color indexed="81"/>
            <rFont val="Tahoma"/>
            <family val="2"/>
          </rPr>
          <t>user:</t>
        </r>
        <r>
          <rPr>
            <sz val="9"/>
            <color indexed="81"/>
            <rFont val="Tahoma"/>
            <family val="2"/>
          </rPr>
          <t xml:space="preserve">
+ 5% từ 01/9/2019
+ 6% từ 01/9/2020
+ 7% từ 01/9/2021
+ 8% từ 01/9/2022
+ 9% từ 01/9/2023
+ 10% từ 01/9/2024</t>
        </r>
      </text>
    </comment>
    <comment ref="R259" authorId="3"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
- HS 4,32 từ 01/9/2024</t>
        </r>
      </text>
    </comment>
    <comment ref="W259" authorId="3"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59" authorId="4"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
+ 16% từ 01/9/2024</t>
        </r>
      </text>
    </comment>
    <comment ref="R260" authorId="3"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X260" authorId="3"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
- 15% từ 01/9/2024</t>
        </r>
      </text>
    </comment>
    <comment ref="R261" authorId="0" shapeId="0">
      <text>
        <r>
          <rPr>
            <b/>
            <sz val="9"/>
            <color indexed="81"/>
            <rFont val="Tahoma"/>
            <family val="2"/>
          </rPr>
          <t>Admin:</t>
        </r>
        <r>
          <rPr>
            <sz val="9"/>
            <color indexed="81"/>
            <rFont val="Tahoma"/>
            <family val="2"/>
          </rPr>
          <t xml:space="preserve">
- HS 3,00 từ 01/9/2015 (NL trước hạn)
- HS 3,33 từ 01/9/2018
- HS 3,66 từ 01/9/2021
- HS 3,99 từ 01/9/2024</t>
        </r>
      </text>
    </comment>
    <comment ref="X261"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62" authorId="3"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2" authorId="3"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2"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63" authorId="4" shapeId="0">
      <text>
        <r>
          <rPr>
            <b/>
            <sz val="9"/>
            <color indexed="81"/>
            <rFont val="Tahoma"/>
            <family val="2"/>
          </rPr>
          <t>user:</t>
        </r>
        <r>
          <rPr>
            <sz val="9"/>
            <color indexed="81"/>
            <rFont val="Tahoma"/>
            <family val="2"/>
          </rPr>
          <t xml:space="preserve">
- BN CDNN từ 01/10/2019 (HS 2,34)</t>
        </r>
      </text>
    </comment>
    <comment ref="X263" authorId="2" shapeId="0">
      <text>
        <r>
          <rPr>
            <b/>
            <sz val="9"/>
            <color indexed="81"/>
            <rFont val="Tahoma"/>
            <family val="2"/>
          </rPr>
          <t>Windows User:</t>
        </r>
        <r>
          <rPr>
            <sz val="9"/>
            <color indexed="81"/>
            <rFont val="Tahoma"/>
            <family val="2"/>
          </rPr>
          <t xml:space="preserve">
- 5% từ 01/10/2024</t>
        </r>
      </text>
    </comment>
    <comment ref="R264" authorId="0" shapeId="0">
      <text>
        <r>
          <rPr>
            <b/>
            <sz val="9"/>
            <color indexed="81"/>
            <rFont val="Tahoma"/>
            <family val="2"/>
          </rPr>
          <t>Admin:</t>
        </r>
        <r>
          <rPr>
            <sz val="9"/>
            <color indexed="81"/>
            <rFont val="Tahoma"/>
            <family val="2"/>
          </rPr>
          <t xml:space="preserve">
- HS 3,00 từ 01/9/15 (NL trước hạn)
- HS 3,33 từ 01/9/18
- HS 3,66 từ 01/9/2021
- HS 3,99 từ 01/9/2024</t>
        </r>
      </text>
    </comment>
    <comment ref="X264"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65" authorId="3"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5" authorId="3"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
- 14% từ 01/5/2024</t>
        </r>
      </text>
    </comment>
    <comment ref="R266" authorId="3"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6" authorId="5" shapeId="0">
      <text>
        <r>
          <rPr>
            <b/>
            <sz val="9"/>
            <color indexed="81"/>
            <rFont val="Tahoma"/>
            <family val="2"/>
          </rPr>
          <t>Quynh:</t>
        </r>
        <r>
          <rPr>
            <sz val="9"/>
            <color indexed="81"/>
            <rFont val="Tahoma"/>
            <family val="2"/>
          </rPr>
          <t xml:space="preserve">
+ 7% từ 01/3/2019
+ 8% từ 01/03/2020
+ 9% từ 01/03/2021
+ 10% từ 01/03/2022
+ 11% từ 01/03/2023
+ 12% từ 01/03/2024</t>
        </r>
      </text>
    </comment>
    <comment ref="R267" authorId="0" shapeId="0">
      <text>
        <r>
          <rPr>
            <b/>
            <sz val="9"/>
            <color indexed="81"/>
            <rFont val="Tahoma"/>
            <family val="2"/>
          </rPr>
          <t>Admin:</t>
        </r>
        <r>
          <rPr>
            <sz val="9"/>
            <color indexed="81"/>
            <rFont val="Tahoma"/>
            <family val="2"/>
          </rPr>
          <t xml:space="preserve">
- HS 2,67 từ 01/9/15 (NL trước hạn)
- HS 3,00 từ 01/9/2018
- HS 3,33 từ 01/9/2021
- HS 3,66 từ 01/9/2023 (NL trước hạn)</t>
        </r>
      </text>
    </comment>
    <comment ref="X267" authorId="4" shapeId="0">
      <text>
        <r>
          <rPr>
            <b/>
            <sz val="9"/>
            <color indexed="81"/>
            <rFont val="Tahoma"/>
            <family val="2"/>
          </rPr>
          <t>user:</t>
        </r>
        <r>
          <rPr>
            <sz val="9"/>
            <color indexed="81"/>
            <rFont val="Tahoma"/>
            <family val="2"/>
          </rPr>
          <t xml:space="preserve">
- 5% từ 01/9/2018
- 6% từ 01/9/2019
- 7% từ 01/9/2020
- 8% từ 01/9/2021
- 9% từ 01/9/2022
- 10% từ 01/9/2023
- 11% từ 01/9/2024</t>
        </r>
      </text>
    </comment>
    <comment ref="R268" authorId="0"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68" authorId="4" shapeId="0">
      <text>
        <r>
          <rPr>
            <b/>
            <sz val="9"/>
            <color indexed="81"/>
            <rFont val="Tahoma"/>
            <family val="2"/>
          </rPr>
          <t>user:</t>
        </r>
        <r>
          <rPr>
            <sz val="9"/>
            <color indexed="81"/>
            <rFont val="Tahoma"/>
            <family val="2"/>
          </rPr>
          <t xml:space="preserve">
- 5% từ 01/10/2018
- 6% từ 01/10/2019
- 7% từ 01/10/2020
- 8% từ 01/10/2021
- 9% từ 01/10/2022
- 10% từ 01/10/2023
- 11% từ 01/10/2024</t>
        </r>
      </text>
    </comment>
    <comment ref="R269" authorId="4" shapeId="0">
      <text>
        <r>
          <rPr>
            <b/>
            <sz val="9"/>
            <color indexed="81"/>
            <rFont val="Tahoma"/>
            <family val="2"/>
          </rPr>
          <t>user:</t>
        </r>
        <r>
          <rPr>
            <sz val="9"/>
            <color indexed="81"/>
            <rFont val="Tahoma"/>
            <family val="2"/>
          </rPr>
          <t xml:space="preserve">
- BNCDNN từ 01/10/2019
- HS 3,33 từ 01/12/2019
- HS 3,66 từ 01/12/2022</t>
        </r>
      </text>
    </comment>
    <comment ref="X269" authorId="4" shapeId="0">
      <text>
        <r>
          <rPr>
            <b/>
            <sz val="9"/>
            <color indexed="81"/>
            <rFont val="Tahoma"/>
            <family val="2"/>
          </rPr>
          <t>user:</t>
        </r>
        <r>
          <rPr>
            <sz val="9"/>
            <color indexed="81"/>
            <rFont val="Tahoma"/>
            <family val="2"/>
          </rPr>
          <t xml:space="preserve">
- 10% từ 01/12/2020
- 11% từ 01/12/2021
- 12% từ 01/12/2022
- 13% từ 01/12/2023</t>
        </r>
      </text>
    </comment>
    <comment ref="R270" authorId="2"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0" authorId="2" shapeId="0">
      <text>
        <r>
          <rPr>
            <b/>
            <sz val="9"/>
            <color indexed="81"/>
            <rFont val="Tahoma"/>
            <family val="2"/>
          </rPr>
          <t>Windows User:</t>
        </r>
        <r>
          <rPr>
            <sz val="9"/>
            <color indexed="81"/>
            <rFont val="Tahoma"/>
            <family val="2"/>
          </rPr>
          <t xml:space="preserve">
- 9% từ ngày 01/01/2023
- 10% từ ngày 01/01/2024</t>
        </r>
      </text>
    </comment>
    <comment ref="R271" authorId="4" shapeId="0">
      <text>
        <r>
          <rPr>
            <b/>
            <sz val="9"/>
            <color indexed="81"/>
            <rFont val="Tahoma"/>
            <family val="2"/>
          </rPr>
          <t>user:</t>
        </r>
        <r>
          <rPr>
            <sz val="9"/>
            <color indexed="81"/>
            <rFont val="Tahoma"/>
            <family val="2"/>
          </rPr>
          <t xml:space="preserve">
- BN CDNN từ 01/10/2019 (HS 2,34)
- HS 2,67 từ 01/10/2021 (NL trước hạn)
- HS 3,00 từ 01/10/2024</t>
        </r>
      </text>
    </comment>
    <comment ref="X271" authorId="2" shapeId="0">
      <text>
        <r>
          <rPr>
            <b/>
            <sz val="9"/>
            <color indexed="81"/>
            <rFont val="Tahoma"/>
            <family val="2"/>
          </rPr>
          <t>Windows User:</t>
        </r>
        <r>
          <rPr>
            <sz val="9"/>
            <color indexed="81"/>
            <rFont val="Tahoma"/>
            <family val="2"/>
          </rPr>
          <t xml:space="preserve">
- 5% từ 01/10/2024</t>
        </r>
      </text>
    </comment>
    <comment ref="R272" authorId="4" shapeId="0">
      <text>
        <r>
          <rPr>
            <b/>
            <sz val="9"/>
            <color indexed="81"/>
            <rFont val="Tahoma"/>
            <family val="2"/>
          </rPr>
          <t>user:</t>
        </r>
        <r>
          <rPr>
            <sz val="9"/>
            <color indexed="81"/>
            <rFont val="Tahoma"/>
            <family val="2"/>
          </rPr>
          <t xml:space="preserve">
- HS 2,67 từ 01/01/2020
- HS 3,00 từ 01/01/2022 (NL trước hạn)
</t>
        </r>
      </text>
    </comment>
    <comment ref="R273" authorId="4" shapeId="0">
      <text>
        <r>
          <rPr>
            <b/>
            <sz val="9"/>
            <color indexed="81"/>
            <rFont val="Tahoma"/>
            <family val="2"/>
          </rPr>
          <t>user:</t>
        </r>
        <r>
          <rPr>
            <sz val="9"/>
            <color indexed="81"/>
            <rFont val="Tahoma"/>
            <family val="2"/>
          </rPr>
          <t xml:space="preserve">
- HS 3,00 từ 01/5/2021 (Mốc NL từ 01/7/2018)
- HS 3,33 từ 01/7/2021
- HS 3,66 từ 01/7/2023 (NL trước hạn)</t>
        </r>
      </text>
    </comment>
    <comment ref="X273" authorId="7" shapeId="0">
      <text>
        <r>
          <rPr>
            <b/>
            <sz val="9"/>
            <color indexed="81"/>
            <rFont val="Tahoma"/>
            <family val="2"/>
          </rPr>
          <t>huynh-panda:</t>
        </r>
        <r>
          <rPr>
            <sz val="9"/>
            <color indexed="81"/>
            <rFont val="Tahoma"/>
            <family val="2"/>
          </rPr>
          <t xml:space="preserve">
- 10% từ 01/07/2022
- 11% từ 01/07/2023
- 12% từ 01/07/2024</t>
        </r>
      </text>
    </comment>
    <comment ref="R274" authorId="4" shapeId="0">
      <text>
        <r>
          <rPr>
            <b/>
            <sz val="9"/>
            <color indexed="81"/>
            <rFont val="Tahoma"/>
            <family val="2"/>
          </rPr>
          <t>user:</t>
        </r>
        <r>
          <rPr>
            <sz val="9"/>
            <color indexed="81"/>
            <rFont val="Tahoma"/>
            <family val="2"/>
          </rPr>
          <t xml:space="preserve">
- QĐ TD từ 01/03/2021: HS 1,989
- QĐ BN CDNN từ 01/03/2022: HS 2,34</t>
        </r>
      </text>
    </comment>
    <comment ref="R275" authorId="4" shapeId="0">
      <text>
        <r>
          <rPr>
            <b/>
            <sz val="9"/>
            <color indexed="81"/>
            <rFont val="Tahoma"/>
            <family val="2"/>
          </rPr>
          <t>user:</t>
        </r>
        <r>
          <rPr>
            <sz val="9"/>
            <color indexed="81"/>
            <rFont val="Tahoma"/>
            <family val="2"/>
          </rPr>
          <t xml:space="preserve">
- HS 2,34 từ 01/5/2021
- HS 2,67 từ 01/5/2024</t>
        </r>
      </text>
    </comment>
    <comment ref="R276" authorId="2" shapeId="0">
      <text>
        <r>
          <rPr>
            <b/>
            <sz val="9"/>
            <color indexed="81"/>
            <rFont val="Tahoma"/>
            <family val="2"/>
          </rPr>
          <t>Windows User:</t>
        </r>
        <r>
          <rPr>
            <sz val="9"/>
            <color indexed="81"/>
            <rFont val="Tahoma"/>
            <family val="2"/>
          </rPr>
          <t xml:space="preserve">
- Tuyển dụng từ 01/5/2023 (HS 1,989)
- HS 2,34 từ 01/5/2024</t>
        </r>
      </text>
    </comment>
    <comment ref="R277" authorId="6"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77" authorId="3"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
- QĐ Thôi giữ chức vụ PhóTrưởng khoa từ 01/3/2024. HS phụ cấp chức vụ 0,35 được bảo lưu đến hết T04/2025</t>
        </r>
      </text>
    </comment>
    <comment ref="X277" authorId="4" shapeId="0">
      <text>
        <r>
          <rPr>
            <b/>
            <sz val="9"/>
            <color indexed="81"/>
            <rFont val="Tahoma"/>
            <family val="2"/>
          </rPr>
          <t>user:</t>
        </r>
        <r>
          <rPr>
            <sz val="9"/>
            <color indexed="81"/>
            <rFont val="Tahoma"/>
            <family val="2"/>
          </rPr>
          <t xml:space="preserve">
- 6% từ 01/9/2020
- 7% từ 01/9/2021
- 8% từ 01/9/2022
- 9% từ 01/9/2023
- 10% từ 01/9/2024</t>
        </r>
      </text>
    </comment>
    <comment ref="R278" authorId="0"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78" authorId="2" shapeId="0">
      <text>
        <r>
          <rPr>
            <b/>
            <sz val="9"/>
            <color indexed="81"/>
            <rFont val="Tahoma"/>
            <family val="2"/>
          </rPr>
          <t>Windows User:</t>
        </r>
        <r>
          <rPr>
            <sz val="9"/>
            <color indexed="81"/>
            <rFont val="Tahoma"/>
            <family val="2"/>
          </rPr>
          <t xml:space="preserve">
- 5% từ 01/3/2022
- 6% từ 01/03/2023
- 7% từ 01/03/2024</t>
        </r>
      </text>
    </comment>
    <comment ref="R279" authorId="0" shapeId="0">
      <text>
        <r>
          <rPr>
            <b/>
            <sz val="9"/>
            <color indexed="81"/>
            <rFont val="Tahoma"/>
            <family val="2"/>
          </rPr>
          <t>Admin:</t>
        </r>
        <r>
          <rPr>
            <sz val="9"/>
            <color indexed="81"/>
            <rFont val="Tahoma"/>
            <family val="2"/>
          </rPr>
          <t xml:space="preserve">
- HS 3,00 từ 01/9/2016
- HS 3,33 từ 01/9/2019
- HS 3,66 từ 01/9/2022</t>
        </r>
      </text>
    </comment>
    <comment ref="X279" authorId="3"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
- 14% từ 01/9/2024</t>
        </r>
      </text>
    </comment>
    <comment ref="R280" authorId="0" shapeId="0">
      <text>
        <r>
          <rPr>
            <b/>
            <sz val="9"/>
            <color indexed="81"/>
            <rFont val="Tahoma"/>
            <family val="2"/>
          </rPr>
          <t>Admin:</t>
        </r>
        <r>
          <rPr>
            <sz val="9"/>
            <color indexed="81"/>
            <rFont val="Tahoma"/>
            <family val="2"/>
          </rPr>
          <t xml:space="preserve">
- HS 3,66 từ 01/9/2016
- HS 3,99 từ 01/9/2019
- HS 4,32 từ 01/9/2022
</t>
        </r>
      </text>
    </comment>
    <comment ref="X280" authorId="4"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
+ 18% từ 01/9/2024</t>
        </r>
      </text>
    </comment>
    <comment ref="R281" authorId="4" shapeId="0">
      <text>
        <r>
          <rPr>
            <b/>
            <sz val="9"/>
            <color indexed="81"/>
            <rFont val="Tahoma"/>
            <family val="2"/>
          </rPr>
          <t>user:</t>
        </r>
        <r>
          <rPr>
            <sz val="9"/>
            <color indexed="81"/>
            <rFont val="Tahoma"/>
            <family val="2"/>
          </rPr>
          <t xml:space="preserve">
- HS 3,00 từ 01/3/2021 (Mốc NL 01/11/2020)
- HS 3,33 từ 01/11/2022 (NL trước hạn)</t>
        </r>
      </text>
    </comment>
    <comment ref="X281" authorId="2" shapeId="0">
      <text>
        <r>
          <rPr>
            <b/>
            <sz val="9"/>
            <color indexed="81"/>
            <rFont val="Tahoma"/>
            <family val="2"/>
          </rPr>
          <t>Windows User:</t>
        </r>
        <r>
          <rPr>
            <sz val="9"/>
            <color indexed="81"/>
            <rFont val="Tahoma"/>
            <family val="2"/>
          </rPr>
          <t xml:space="preserve">
- 5% từ 01/11/2022
- 6% từ 01/11/2023
- 7% từ 01/11/2024</t>
        </r>
      </text>
    </comment>
    <comment ref="R282" authorId="3"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2" authorId="0"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
+ 13% từ 01/5/2024</t>
        </r>
      </text>
    </comment>
  </commentList>
</comments>
</file>

<file path=xl/sharedStrings.xml><?xml version="1.0" encoding="utf-8"?>
<sst xmlns="http://schemas.openxmlformats.org/spreadsheetml/2006/main" count="6116" uniqueCount="1683">
  <si>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</si>
  <si>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</si>
  <si>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</si>
  <si>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</si>
  <si>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</si>
  <si>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</si>
  <si>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</si>
  <si>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</si>
  <si>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</si>
  <si>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</si>
  <si>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</si>
  <si>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</si>
  <si>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</si>
  <si>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</si>
  <si>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</si>
  <si>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</si>
  <si>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</si>
  <si>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</si>
  <si>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</si>
  <si>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</si>
  <si>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</si>
  <si>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</si>
  <si>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</si>
  <si>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</si>
  <si>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</si>
  <si>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</si>
  <si>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</si>
  <si>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</si>
  <si>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</si>
  <si>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</si>
  <si>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</si>
  <si>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</si>
  <si>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</si>
  <si>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</si>
  <si>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</si>
  <si>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</si>
  <si>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</si>
  <si>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</si>
  <si>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</si>
  <si>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</si>
  <si>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</si>
  <si>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</si>
  <si>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</si>
  <si>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</si>
  <si>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</si>
  <si>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</si>
  <si>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</si>
  <si>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</si>
  <si>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</si>
  <si>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</si>
  <si>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</si>
  <si>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</si>
  <si>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</si>
  <si>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</si>
  <si>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</si>
  <si>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</si>
  <si>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</si>
  <si>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</si>
  <si>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</si>
  <si>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</si>
  <si>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</si>
  <si>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</si>
  <si>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</si>
  <si>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</si>
  <si>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</si>
  <si>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</si>
  <si>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</si>
  <si>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</si>
  <si>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</si>
  <si>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</si>
  <si>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</si>
  <si>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</si>
  <si>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</si>
  <si>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</si>
  <si>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</si>
  <si>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</si>
  <si>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</si>
  <si>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</si>
  <si>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</si>
  <si>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</si>
  <si>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</si>
  <si>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</si>
  <si>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</si>
  <si>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</si>
  <si>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</si>
  <si>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</si>
  <si>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</si>
  <si>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</si>
  <si>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</si>
  <si>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</si>
  <si>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</si>
  <si>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</si>
  <si>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</si>
  <si>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</si>
  <si>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</si>
  <si>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</si>
  <si>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</si>
  <si>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</si>
  <si>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</si>
  <si>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</si>
  <si>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</si>
  <si>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</si>
  <si>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</si>
  <si>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</si>
  <si>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</si>
  <si>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</si>
  <si>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</si>
  <si>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</si>
  <si>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</si>
  <si>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</si>
  <si>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</si>
  <si>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</si>
  <si>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</si>
  <si>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</si>
  <si>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</si>
  <si>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</si>
  <si>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</si>
  <si>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</si>
  <si>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</si>
  <si>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</si>
  <si>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</si>
  <si>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</si>
  <si>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</si>
  <si>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</si>
  <si>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</si>
  <si>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</si>
  <si>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</si>
  <si>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</si>
  <si>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</si>
  <si>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</si>
  <si>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</si>
  <si>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</si>
  <si>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</si>
  <si>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</si>
  <si>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</si>
  <si>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</si>
  <si>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</si>
  <si>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</si>
  <si>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</si>
  <si>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</si>
  <si>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</si>
  <si>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</si>
  <si>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</si>
  <si>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</si>
  <si>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</si>
  <si>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</si>
  <si>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</si>
  <si>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</si>
  <si>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</si>
  <si>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</si>
  <si>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</si>
  <si>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</si>
  <si>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</si>
  <si>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</si>
  <si>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</si>
  <si>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</si>
  <si>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</si>
  <si>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</si>
  <si>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</si>
  <si>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</si>
  <si>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</si>
  <si>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</si>
  <si>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</si>
  <si>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</si>
  <si>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</si>
  <si>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</si>
  <si>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</si>
  <si>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</si>
  <si>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</si>
  <si>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</si>
  <si>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</si>
  <si>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</si>
  <si>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</si>
  <si>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</si>
  <si>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</si>
  <si>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</si>
  <si>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</si>
  <si>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</si>
  <si>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</si>
  <si>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</si>
  <si>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</si>
  <si>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</si>
  <si>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</si>
  <si>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</si>
  <si>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</si>
  <si>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</si>
  <si>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</si>
  <si>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</si>
  <si>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</si>
  <si>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</si>
  <si>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</si>
  <si>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</si>
  <si>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</si>
  <si>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</si>
  <si>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</si>
  <si>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</si>
  <si>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</si>
  <si>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</si>
  <si>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</si>
  <si>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</si>
  <si>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</si>
  <si>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</si>
  <si>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</si>
  <si>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</si>
  <si>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</si>
  <si>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</si>
  <si>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</si>
  <si>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</si>
  <si>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</si>
  <si>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</si>
  <si>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</si>
  <si>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</si>
  <si>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</si>
  <si>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</si>
  <si>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</si>
  <si>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</si>
  <si>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</si>
  <si>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</si>
  <si>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</si>
  <si>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</si>
  <si>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</si>
  <si>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</si>
  <si>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</si>
  <si>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</si>
  <si>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</si>
  <si>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</si>
  <si>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</si>
  <si>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</si>
  <si>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</si>
  <si>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</si>
  <si>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</si>
  <si>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</si>
  <si>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</si>
  <si>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</si>
  <si>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</si>
  <si>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</si>
  <si>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</si>
  <si>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</si>
  <si>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</si>
  <si>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</si>
  <si>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</si>
  <si>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</si>
  <si>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</si>
  <si>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</si>
  <si>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</si>
  <si>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</si>
  <si>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</si>
  <si>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</si>
  <si>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</si>
  <si>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</si>
  <si>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</si>
  <si>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</si>
  <si>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</si>
  <si>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</si>
  <si>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</si>
  <si>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</si>
  <si>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</si>
  <si>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</si>
  <si>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</si>
  <si>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</si>
  <si>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</si>
  <si>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</si>
  <si>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</si>
  <si>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</si>
  <si>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</si>
  <si>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</si>
  <si>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</si>
  <si>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</si>
  <si>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</si>
  <si>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</si>
  <si>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</si>
  <si>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</si>
  <si>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</si>
  <si>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</si>
  <si>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</si>
  <si>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</si>
  <si>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</si>
  <si>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</si>
  <si>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</si>
  <si>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</si>
  <si>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</si>
  <si>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</si>
  <si>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</si>
  <si>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</si>
  <si>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</si>
  <si>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</si>
  <si>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</si>
  <si>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</si>
  <si>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</si>
  <si>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</si>
  <si>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</si>
  <si>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</si>
  <si>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</si>
  <si>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</si>
  <si>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</si>
  <si>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</si>
  <si>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</si>
  <si>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</si>
  <si>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</si>
  <si>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</si>
  <si>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</si>
  <si>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</si>
  <si>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</si>
  <si>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</si>
  <si>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</si>
  <si>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</si>
  <si>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</si>
  <si>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</si>
  <si>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</si>
  <si>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</si>
  <si>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</si>
  <si>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</si>
  <si>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</si>
  <si>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</si>
  <si>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</si>
  <si>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</si>
  <si>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</si>
  <si>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</si>
  <si>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</si>
  <si>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</si>
  <si>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</si>
  <si>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</si>
  <si>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</si>
  <si>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</si>
  <si>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</si>
  <si>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</si>
  <si>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</si>
  <si>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</si>
  <si>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</si>
  <si>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</si>
  <si>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</si>
  <si>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</si>
  <si>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</si>
  <si>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</si>
  <si>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</si>
  <si>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</si>
  <si>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</si>
  <si>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</si>
  <si>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</si>
  <si>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</si>
  <si>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</si>
  <si>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</si>
  <si>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</si>
  <si>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</si>
  <si>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</si>
  <si>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</si>
  <si>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</si>
  <si>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</si>
  <si>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</si>
  <si>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</si>
  <si>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</si>
  <si>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</si>
  <si>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</si>
  <si>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</si>
  <si>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</si>
  <si>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</si>
  <si>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</si>
  <si>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</si>
  <si>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</si>
  <si>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</si>
  <si>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</si>
  <si>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</si>
  <si>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</si>
  <si>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</si>
  <si>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</si>
  <si>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</si>
  <si>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</si>
  <si>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</si>
  <si>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</si>
  <si>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</si>
  <si>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</si>
  <si>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</si>
  <si>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</si>
  <si>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</si>
  <si>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</si>
  <si>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</si>
  <si>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</si>
  <si>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</si>
  <si>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</si>
  <si>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</si>
  <si>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</si>
  <si>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</si>
  <si>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</si>
  <si>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</si>
  <si>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</si>
  <si>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</si>
  <si>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</si>
  <si>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</si>
  <si>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</si>
  <si>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</si>
  <si>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</si>
  <si>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</si>
  <si>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</si>
  <si>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</si>
  <si>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</si>
  <si>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</si>
  <si>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</si>
  <si>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</si>
  <si>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</si>
  <si>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</si>
  <si>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</si>
  <si>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</si>
  <si>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</si>
  <si>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</si>
  <si>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</si>
  <si>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</si>
  <si>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</si>
  <si>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</si>
  <si>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</si>
  <si>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</si>
  <si>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</si>
  <si>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</si>
  <si>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</si>
  <si>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</si>
  <si>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</si>
  <si>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</si>
  <si>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</si>
  <si>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</si>
  <si>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</si>
  <si>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</si>
  <si>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</si>
  <si>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</si>
  <si>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</si>
  <si>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</si>
  <si>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</si>
  <si>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</si>
  <si>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</si>
  <si>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</si>
  <si>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</si>
  <si>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</si>
  <si>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</si>
  <si>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</si>
  <si>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</si>
  <si>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</si>
  <si>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</si>
  <si>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</si>
  <si>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</si>
  <si>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</si>
  <si>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</si>
  <si>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</si>
  <si>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</si>
  <si>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</si>
  <si>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</si>
  <si>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</si>
  <si>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</si>
  <si>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</si>
  <si>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</si>
  <si>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</si>
  <si>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</si>
  <si>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</si>
  <si>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</si>
  <si>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</si>
  <si>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</si>
  <si>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</si>
  <si>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</si>
  <si>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</si>
  <si>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</si>
  <si>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</si>
  <si>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</si>
  <si>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</si>
  <si>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</si>
  <si>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</si>
  <si>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</si>
  <si>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</si>
  <si>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</si>
  <si>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</si>
  <si>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</si>
  <si>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</si>
  <si>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</si>
  <si>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</si>
  <si>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</si>
  <si>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</si>
  <si>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</si>
  <si>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</si>
  <si>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</si>
  <si>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</si>
  <si>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</si>
  <si>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</si>
  <si>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</si>
  <si>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</si>
  <si>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</si>
  <si>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</si>
  <si>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</si>
  <si>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</si>
  <si>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</si>
  <si>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</si>
  <si>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</si>
  <si>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</si>
  <si>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</si>
  <si>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</si>
  <si>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</si>
  <si>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</si>
  <si>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</si>
  <si>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</si>
  <si>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</si>
  <si>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</si>
  <si>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</si>
  <si>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</si>
  <si>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</si>
  <si>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</si>
  <si>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</si>
  <si>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</si>
  <si>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</si>
  <si>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</si>
  <si>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</si>
  <si>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</si>
  <si>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</si>
  <si>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</si>
  <si>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</si>
  <si>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</si>
  <si>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</si>
  <si>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</si>
  <si>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</si>
  <si>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</si>
  <si>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</si>
  <si>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</si>
  <si>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</si>
  <si>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</si>
  <si>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</si>
  <si>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</si>
  <si>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</si>
  <si>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</si>
  <si>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</si>
  <si>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</si>
  <si>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</si>
  <si>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</si>
  <si>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</si>
  <si>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</si>
  <si>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</si>
  <si>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</si>
  <si>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</si>
  <si>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</si>
  <si>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</si>
  <si>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</si>
  <si>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</si>
  <si>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</si>
  <si>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</si>
  <si>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</si>
  <si>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</si>
  <si>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</si>
  <si>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</si>
  <si>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</si>
  <si>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</si>
  <si>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</si>
  <si>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</si>
  <si>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</si>
  <si>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</si>
  <si>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</si>
  <si>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</si>
  <si>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</si>
  <si>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</si>
  <si>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</si>
  <si>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</si>
  <si>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</si>
  <si>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</si>
  <si>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</si>
  <si>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</si>
  <si>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</si>
  <si>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</si>
  <si>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</si>
  <si>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</si>
  <si>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</si>
  <si>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</si>
  <si>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</si>
  <si>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</si>
  <si>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</si>
  <si>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</si>
  <si>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</si>
  <si>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</si>
  <si>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</si>
  <si>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</si>
  <si>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</si>
  <si>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</si>
  <si>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</si>
  <si>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</si>
  <si>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</si>
  <si>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</si>
  <si>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</si>
  <si>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</si>
  <si>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</si>
  <si>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</si>
  <si>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</si>
  <si>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</si>
  <si>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</si>
  <si>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</si>
  <si>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</si>
  <si>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</si>
  <si>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</si>
  <si>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</si>
  <si>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</si>
  <si>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</si>
  <si>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</si>
  <si>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</si>
  <si>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</si>
  <si>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</si>
  <si>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</si>
  <si>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</si>
  <si>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</si>
  <si>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</si>
  <si>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</si>
  <si>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</si>
  <si>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</si>
  <si>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</si>
  <si>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</si>
  <si>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</si>
  <si>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</si>
  <si>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</si>
  <si>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</si>
  <si>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</si>
  <si>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</si>
  <si>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</si>
  <si>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</si>
  <si>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</si>
  <si>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</si>
  <si>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</si>
  <si>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</si>
  <si>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</si>
  <si>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</si>
  <si>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</si>
  <si>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</si>
  <si>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</si>
  <si>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</si>
  <si>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</si>
  <si>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</si>
  <si>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</si>
  <si>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</si>
  <si>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</si>
  <si>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</si>
  <si>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</si>
  <si>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</si>
  <si>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</si>
  <si>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</si>
  <si>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</si>
  <si>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</si>
  <si>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</si>
  <si>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</si>
  <si>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</si>
  <si>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</si>
  <si>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</si>
  <si>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</si>
  <si>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</si>
  <si>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</si>
  <si>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</si>
  <si>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</si>
  <si>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</si>
  <si>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</si>
  <si>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</si>
  <si>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</si>
  <si>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</si>
  <si>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</si>
  <si>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</si>
  <si>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</si>
  <si>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</si>
  <si>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</si>
  <si>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</si>
  <si>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</si>
  <si>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</si>
  <si>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</si>
  <si>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</si>
  <si>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</si>
  <si>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</si>
  <si>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</si>
  <si>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</si>
  <si>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</si>
  <si>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</si>
  <si>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</si>
  <si>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</si>
  <si>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</si>
  <si>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</si>
  <si>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</si>
  <si>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</si>
  <si>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</si>
  <si>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</si>
  <si>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</si>
  <si>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</si>
  <si>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</si>
  <si>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</si>
  <si>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</si>
  <si>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</si>
  <si>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</si>
  <si>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</si>
  <si>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</si>
  <si>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</si>
  <si>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</si>
  <si>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</si>
  <si>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</si>
  <si>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</si>
  <si>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</si>
  <si>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</si>
  <si>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</si>
  <si>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</si>
  <si>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</si>
  <si>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</si>
  <si>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</si>
  <si>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</si>
  <si>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</si>
  <si>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</si>
  <si>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</si>
  <si>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</si>
  <si>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</si>
  <si>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</si>
  <si>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</si>
  <si>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</si>
  <si>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</si>
  <si>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</si>
  <si>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</si>
  <si>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</si>
  <si>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</si>
  <si>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</si>
  <si>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</si>
  <si>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</si>
  <si>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</si>
  <si>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</si>
  <si>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</si>
  <si>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</si>
  <si>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</si>
  <si>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</si>
  <si>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</si>
  <si>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</si>
  <si>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</si>
  <si>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</si>
  <si>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</si>
  <si>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</si>
  <si>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</si>
  <si>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</si>
  <si>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</si>
  <si>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</si>
  <si>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</si>
  <si>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</si>
  <si>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</si>
  <si>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</si>
  <si>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</si>
  <si>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</si>
  <si>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</si>
  <si>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</si>
  <si>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</si>
  <si>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</si>
  <si>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</si>
  <si>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</si>
  <si>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</si>
  <si>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</si>
  <si>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</si>
  <si>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</si>
  <si>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</si>
  <si>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</si>
  <si>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</si>
  <si>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</si>
  <si>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</si>
  <si>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</si>
  <si>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</si>
  <si>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</si>
  <si>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</si>
  <si>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</si>
  <si>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</si>
  <si>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</si>
  <si>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</si>
  <si>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</si>
  <si>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</si>
  <si>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</si>
  <si>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</si>
  <si>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</si>
  <si>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</si>
  <si>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</si>
  <si>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</si>
  <si>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</si>
  <si>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</si>
  <si>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</si>
  <si>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</si>
  <si>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</si>
  <si>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</si>
  <si>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</si>
  <si>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</si>
  <si>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</si>
  <si>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</si>
  <si>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</si>
  <si>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</si>
  <si>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</si>
  <si>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</si>
  <si>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</si>
  <si>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</si>
  <si>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</si>
  <si>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</si>
  <si>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</si>
  <si>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</si>
  <si>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</si>
  <si>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</si>
  <si>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</si>
  <si>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</si>
  <si>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</si>
  <si>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</si>
  <si>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</si>
  <si>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</si>
  <si>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</si>
  <si>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</si>
  <si>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</si>
  <si>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</si>
  <si>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</si>
  <si>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</si>
  <si>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</si>
  <si>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</si>
  <si>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</si>
  <si>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</si>
  <si>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</si>
  <si>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</si>
  <si>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</si>
  <si>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</si>
  <si>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</si>
  <si>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</si>
  <si>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</si>
  <si>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</si>
  <si>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</si>
  <si>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</si>
  <si>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</si>
  <si>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</si>
  <si>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</si>
  <si>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</si>
  <si>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</si>
  <si>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</si>
  <si>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</si>
  <si>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</si>
  <si>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</si>
  <si>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</si>
  <si>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</si>
  <si>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</si>
  <si>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</si>
  <si>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</si>
  <si>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</si>
  <si>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</si>
  <si>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</si>
  <si>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</si>
  <si>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</si>
  <si>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</si>
  <si>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</si>
  <si>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</si>
  <si>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</si>
  <si>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</si>
  <si>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</si>
  <si>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</si>
  <si>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</si>
  <si>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</si>
  <si>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</si>
  <si>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</si>
  <si>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</si>
  <si>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</si>
  <si>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</si>
  <si>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</si>
  <si>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</si>
  <si>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</si>
  <si>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</si>
  <si>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</si>
  <si>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</si>
  <si>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</si>
  <si>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</si>
  <si>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</si>
  <si>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</si>
  <si>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</si>
  <si>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</si>
  <si>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</si>
  <si>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</si>
  <si>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</si>
  <si>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</si>
  <si>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</si>
  <si>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</si>
  <si>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</si>
  <si>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</si>
  <si>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</si>
  <si>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</si>
  <si>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</si>
  <si>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</si>
  <si>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</si>
  <si>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</si>
  <si>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</si>
  <si>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</si>
  <si>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</si>
  <si>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</si>
  <si>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</si>
  <si>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</si>
  <si>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</si>
  <si>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</si>
  <si>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</si>
  <si>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</si>
  <si>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</si>
  <si>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</si>
  <si>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</si>
  <si>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</si>
  <si>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</si>
  <si>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</si>
  <si>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</si>
  <si>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</si>
  <si>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</si>
  <si>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</si>
  <si>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</si>
  <si>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</si>
  <si>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</si>
  <si>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</si>
  <si>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</si>
  <si>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</si>
  <si>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</si>
  <si>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</si>
  <si>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</si>
  <si>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</si>
  <si>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</si>
  <si>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</si>
  <si>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</si>
  <si>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</si>
  <si>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</si>
  <si>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</si>
  <si>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</si>
  <si>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</si>
  <si>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</si>
  <si>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</si>
  <si>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</si>
  <si>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</si>
  <si>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</si>
  <si>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</si>
  <si>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</si>
  <si>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</si>
  <si>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</si>
  <si>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</si>
  <si>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</si>
  <si>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</si>
  <si>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</si>
  <si>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</si>
  <si>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</si>
  <si>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</si>
  <si>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</si>
  <si>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</si>
  <si>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</si>
  <si>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</si>
  <si>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</si>
  <si>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</si>
  <si>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</si>
  <si>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</si>
  <si>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</si>
  <si>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</si>
  <si>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</si>
  <si>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</si>
  <si>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</si>
  <si>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</si>
  <si>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</si>
  <si>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</si>
  <si>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</si>
  <si>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</si>
  <si>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</si>
  <si>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</si>
  <si>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</si>
  <si>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</si>
  <si>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</si>
  <si>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</si>
  <si>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</si>
  <si>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</si>
  <si>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</si>
  <si>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</si>
  <si>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</si>
  <si>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</si>
  <si>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</si>
  <si>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</si>
  <si>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</si>
  <si>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</si>
  <si>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</si>
  <si>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</si>
  <si>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</si>
  <si>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</si>
  <si>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</si>
  <si>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</si>
  <si>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</si>
  <si>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</si>
  <si>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</si>
  <si>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</si>
  <si>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</si>
  <si>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</si>
  <si>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</si>
  <si>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</si>
  <si>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</si>
  <si>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</si>
  <si>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</si>
  <si>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</si>
  <si>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</si>
  <si>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</si>
  <si>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</si>
  <si>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</si>
  <si>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</si>
  <si>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</si>
  <si>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</si>
  <si>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</si>
  <si>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</si>
  <si>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</si>
  <si>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</si>
  <si>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</si>
  <si>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</si>
  <si>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</si>
  <si>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</si>
  <si>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</si>
  <si>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</si>
  <si>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</si>
  <si>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</si>
  <si>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</si>
  <si>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</si>
  <si>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</si>
  <si>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</si>
  <si>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</si>
  <si>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</si>
  <si>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</si>
  <si>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</si>
  <si>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</si>
  <si>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</si>
  <si>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</si>
  <si>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</si>
  <si>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</si>
  <si>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</si>
  <si>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</si>
  <si>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</si>
  <si>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</si>
  <si>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</si>
  <si>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</si>
  <si>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</si>
  <si>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</si>
  <si>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</si>
  <si>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</si>
  <si>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</si>
  <si>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</si>
  <si>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</si>
  <si>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</si>
  <si>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</si>
  <si>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</si>
  <si>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</si>
  <si>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</si>
  <si>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</si>
  <si>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</si>
  <si>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</si>
  <si>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</si>
  <si>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</si>
  <si>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</si>
  <si>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</si>
  <si>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</si>
  <si>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</si>
  <si>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</si>
  <si>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</si>
  <si>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</si>
  <si>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</si>
  <si>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</si>
  <si>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</si>
  <si>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</si>
  <si>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</si>
  <si>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</si>
  <si>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</si>
  <si>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</si>
  <si>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</si>
  <si>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</si>
  <si>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</si>
  <si>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</si>
  <si>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</si>
  <si>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</si>
  <si>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</si>
  <si>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</si>
  <si>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</si>
  <si>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</si>
  <si>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</si>
  <si>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</si>
  <si>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</si>
  <si>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</si>
  <si>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</si>
  <si>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</si>
  <si>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</si>
  <si>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</si>
  <si>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</si>
  <si>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</si>
  <si>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</si>
  <si>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</si>
  <si>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</si>
  <si>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</si>
  <si>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</si>
  <si>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</si>
  <si>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</si>
  <si>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</si>
  <si>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</si>
  <si>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</si>
  <si>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</si>
  <si>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</si>
  <si>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</si>
  <si>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</si>
  <si>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</si>
  <si>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</si>
  <si>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</si>
  <si>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</si>
  <si>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</si>
  <si>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</si>
  <si>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</si>
  <si>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</si>
  <si>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</si>
  <si>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</si>
  <si>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</si>
  <si>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</si>
  <si>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</si>
  <si>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</si>
  <si>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</si>
  <si>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</si>
  <si>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</si>
  <si>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</si>
  <si>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</si>
  <si>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</si>
  <si>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</si>
  <si>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</si>
  <si>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</si>
  <si>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</si>
  <si>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</si>
  <si>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</si>
  <si>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</si>
  <si>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</si>
  <si>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</si>
  <si>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</si>
  <si>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</si>
  <si>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</si>
  <si>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</si>
  <si>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</si>
  <si>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</si>
  <si>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</si>
  <si>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</si>
  <si>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</si>
  <si>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</si>
  <si>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</si>
  <si>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</si>
  <si>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</si>
  <si>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</si>
  <si>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</si>
  <si>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</si>
  <si>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</si>
  <si>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</si>
  <si>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</si>
  <si>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</si>
  <si>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</si>
  <si>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</si>
  <si>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</si>
  <si>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</si>
  <si>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</si>
  <si>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</si>
  <si>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</si>
  <si>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</si>
  <si>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</si>
  <si>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</si>
  <si>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</si>
  <si>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</si>
  <si>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</si>
  <si>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</si>
  <si>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</si>
  <si>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</si>
  <si>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</si>
  <si>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</si>
  <si>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</si>
  <si>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</si>
  <si>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</si>
  <si>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</si>
  <si>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</si>
  <si>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</si>
  <si>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</si>
  <si>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</si>
  <si>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</si>
  <si>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</si>
  <si>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</si>
  <si>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</si>
  <si>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</si>
  <si>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</si>
  <si>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</si>
  <si>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</si>
  <si>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</si>
  <si>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</si>
  <si>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</si>
  <si>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</si>
  <si>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</si>
  <si>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</si>
  <si>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</si>
  <si>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</si>
  <si>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</si>
  <si>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</si>
  <si>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</si>
  <si>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</si>
  <si>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</si>
  <si>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</si>
  <si>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</si>
  <si>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</si>
  <si>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</si>
  <si>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</si>
  <si>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</si>
  <si>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</si>
  <si>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</si>
  <si>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</si>
  <si>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</si>
  <si>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</si>
  <si>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</si>
  <si>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</si>
  <si>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</si>
  <si>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</si>
  <si>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</si>
  <si>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</si>
  <si>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</si>
  <si>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</si>
  <si>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</si>
  <si>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</si>
  <si>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</si>
  <si>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</si>
  <si>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</si>
  <si>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</si>
  <si>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</si>
  <si>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</si>
  <si>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</si>
  <si>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</si>
  <si>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</si>
  <si>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</si>
  <si>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</si>
  <si>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</si>
  <si>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</si>
  <si>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</si>
  <si>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</si>
  <si>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</si>
  <si>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</si>
  <si>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</si>
  <si>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</si>
  <si>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</si>
  <si>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</si>
  <si>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</si>
  <si>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</si>
  <si>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</si>
  <si>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</si>
  <si>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</si>
  <si>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</si>
  <si>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</si>
  <si>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</si>
  <si>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</si>
  <si>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</si>
  <si>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</si>
  <si>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</si>
  <si>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</si>
  <si>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</si>
  <si>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</si>
  <si>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</si>
  <si>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</si>
  <si>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</si>
  <si>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</si>
  <si>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</si>
  <si>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</si>
  <si>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</si>
  <si>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</si>
  <si>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</si>
  <si>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</si>
  <si>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</si>
  <si>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</si>
  <si>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</si>
  <si>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</si>
  <si>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</si>
  <si>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</si>
  <si>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</si>
  <si>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</si>
  <si>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</si>
  <si>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</si>
  <si>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</si>
  <si>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</si>
  <si>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</si>
  <si>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</si>
  <si>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</si>
  <si>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</si>
  <si>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</si>
  <si>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</si>
  <si>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</si>
  <si>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</si>
  <si>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</si>
  <si>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</si>
  <si>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</si>
  <si>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</si>
  <si>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</si>
  <si>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</si>
  <si>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</si>
  <si>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</si>
  <si>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</si>
  <si>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</si>
  <si>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</si>
  <si>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</si>
  <si>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</si>
  <si>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</si>
  <si>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</si>
  <si>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</si>
  <si>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</si>
  <si>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</si>
  <si>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</si>
  <si>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</si>
  <si>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</si>
  <si>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</si>
  <si>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</si>
  <si>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</si>
  <si>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</si>
  <si>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</si>
  <si>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</si>
  <si>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</si>
  <si>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</si>
  <si>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</si>
  <si>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</si>
  <si>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</si>
  <si>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</si>
  <si>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</si>
  <si>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</si>
  <si>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</si>
  <si>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</si>
  <si>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</si>
  <si>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</si>
  <si>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</si>
  <si>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</si>
  <si>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</si>
  <si>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</si>
  <si>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</si>
  <si>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</si>
  <si>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</si>
  <si>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</si>
  <si>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</si>
  <si>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</si>
  <si>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</si>
  <si>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</si>
  <si>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</si>
  <si>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</si>
  <si>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</si>
  <si>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</si>
  <si>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</si>
  <si>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</si>
  <si>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</si>
  <si>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</si>
  <si>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</si>
  <si>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</si>
  <si>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</si>
  <si>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</si>
  <si>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</si>
  <si>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</si>
  <si>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</si>
  <si>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</si>
  <si>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</si>
  <si>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</si>
  <si>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</si>
  <si>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</si>
  <si>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</si>
  <si>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</si>
  <si>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</si>
  <si>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</si>
  <si>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</si>
  <si>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</si>
  <si>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</si>
  <si>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</si>
  <si>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</si>
  <si>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</si>
  <si>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</si>
  <si>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</si>
  <si>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</si>
  <si>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</si>
  <si>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</si>
  <si>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</si>
  <si>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</si>
  <si>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</si>
  <si>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</si>
  <si>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</si>
  <si>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</si>
  <si>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</si>
  <si>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</si>
  <si>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</si>
  <si>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</si>
  <si>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</si>
  <si>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</si>
  <si>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</si>
  <si>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</si>
  <si>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</si>
  <si>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</si>
  <si>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</si>
  <si>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</si>
  <si>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</si>
  <si>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</si>
  <si>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</si>
  <si>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</si>
  <si>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</si>
  <si>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</si>
  <si>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</si>
  <si>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</si>
  <si>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</si>
  <si>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</si>
  <si>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</si>
  <si>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</si>
  <si>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</si>
  <si>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</si>
  <si>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</si>
  <si>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</si>
  <si>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</si>
  <si>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</si>
  <si>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</si>
  <si>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</si>
  <si>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</si>
  <si>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</si>
  <si>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</si>
  <si>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</si>
  <si>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</si>
  <si>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</si>
  <si>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</si>
  <si>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</si>
  <si>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</si>
  <si>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</si>
  <si>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</si>
  <si>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</si>
  <si>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</si>
  <si>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</si>
  <si>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</si>
  <si>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</si>
  <si>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</si>
  <si>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</si>
  <si>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</si>
  <si>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</si>
  <si>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</si>
  <si>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</si>
  <si>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</si>
  <si>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</si>
  <si>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</si>
  <si>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</si>
  <si>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</si>
  <si>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</si>
  <si>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</si>
  <si>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</si>
  <si>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</si>
  <si>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</si>
  <si>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</si>
  <si>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</si>
  <si>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</si>
  <si>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</si>
  <si>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</si>
  <si>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</si>
  <si>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</si>
  <si>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</si>
  <si>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</si>
  <si>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</si>
  <si>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</si>
  <si>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</si>
  <si>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</si>
  <si>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</si>
  <si>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</si>
  <si>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</si>
  <si>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</si>
  <si>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</si>
  <si>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</si>
  <si>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</si>
  <si>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</si>
  <si>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</si>
  <si>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</si>
  <si>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</si>
  <si>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</si>
  <si>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</si>
  <si>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</si>
  <si>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</si>
  <si>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</si>
  <si>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</si>
  <si>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</si>
  <si>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</si>
  <si>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</si>
  <si>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</si>
  <si>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</si>
  <si>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</si>
  <si>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</si>
  <si>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</si>
  <si>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</si>
  <si>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</si>
  <si>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</si>
  <si>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</si>
  <si>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</si>
  <si>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</si>
  <si>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</si>
  <si>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</si>
  <si>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</si>
  <si>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</si>
  <si>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</si>
  <si>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</si>
  <si>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</si>
  <si>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</si>
  <si>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</si>
  <si>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</si>
  <si>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</si>
  <si>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</si>
  <si>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</si>
  <si>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</si>
  <si>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</si>
  <si>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</si>
  <si>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</si>
  <si>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</si>
  <si>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</si>
  <si>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QĐ Tuyển dụng từ 01/4/2021</t>
  </si>
  <si>
    <t>Võ Hoài Sơn</t>
  </si>
  <si>
    <t>Trần Ngọc Tuấn</t>
  </si>
  <si>
    <t>1603205668349</t>
  </si>
  <si>
    <t>1603205668355</t>
  </si>
  <si>
    <t>1603205668361</t>
  </si>
  <si>
    <t>1603205668384</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</si>
  <si>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</si>
  <si>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</si>
  <si>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</si>
  <si>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</si>
  <si>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</si>
  <si>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</si>
  <si>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</si>
  <si>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</si>
  <si>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</si>
  <si>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</si>
  <si>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0016100019261004</t>
  </si>
  <si>
    <t>0004100004671006</t>
  </si>
  <si>
    <t>0016100019259007</t>
  </si>
  <si>
    <t>0016100028103004</t>
  </si>
  <si>
    <t>0016100028104008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</si>
  <si>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</si>
  <si>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</si>
  <si>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</si>
  <si>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</si>
  <si>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</si>
  <si>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</si>
  <si>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</si>
  <si>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</si>
  <si>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</si>
  <si>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</si>
  <si>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</si>
  <si>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</si>
  <si>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</si>
  <si>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</si>
  <si>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</si>
  <si>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</si>
  <si>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</si>
  <si>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</si>
  <si>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</si>
  <si>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</si>
  <si>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</si>
  <si>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</si>
  <si>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</si>
  <si>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</si>
  <si>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</si>
  <si>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</si>
  <si>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</si>
  <si>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</si>
  <si>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</si>
  <si>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</si>
  <si>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</si>
  <si>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</si>
  <si>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</si>
  <si>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</si>
  <si>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</si>
  <si>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</si>
  <si>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</si>
  <si>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</si>
  <si>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</si>
  <si>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</si>
  <si>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</si>
  <si>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</si>
  <si>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</si>
  <si>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</si>
  <si>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</si>
  <si>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</si>
  <si>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</si>
  <si>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</si>
  <si>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</si>
  <si>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</si>
  <si>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</si>
  <si>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</si>
  <si>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</si>
  <si>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</si>
  <si>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</si>
  <si>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</si>
  <si>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</si>
  <si>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</si>
  <si>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</si>
  <si>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</si>
  <si>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</si>
  <si>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</si>
  <si>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</si>
  <si>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</si>
  <si>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</si>
  <si>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</si>
  <si>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</si>
  <si>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</si>
  <si>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Sương</t>
  </si>
  <si>
    <t>Đỗ Thị Hải yến</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</si>
  <si>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</si>
  <si>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</si>
  <si>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</si>
  <si>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</si>
  <si>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</si>
  <si>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</si>
  <si>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</si>
  <si>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</si>
  <si>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</si>
  <si>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</si>
  <si>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</si>
  <si>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</si>
  <si>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</si>
  <si>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</si>
  <si>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</si>
  <si>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</si>
  <si>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</si>
  <si>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</si>
  <si>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</si>
  <si>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</si>
  <si>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</si>
  <si>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</si>
  <si>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</si>
  <si>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</si>
  <si>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</si>
  <si>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</si>
  <si>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</si>
  <si>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</si>
  <si>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</si>
  <si>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</si>
  <si>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</si>
  <si>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</si>
  <si>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</si>
  <si>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</si>
  <si>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</si>
  <si>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</si>
  <si>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</si>
  <si>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</si>
  <si>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</si>
  <si>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</si>
  <si>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</si>
  <si>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</si>
  <si>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</si>
  <si>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</si>
  <si>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Nguyễn Duy Lộc</t>
  </si>
  <si>
    <t>Lê Thu Hà</t>
  </si>
  <si>
    <t>Nguyễn Huỳnh Lưu Phương</t>
  </si>
  <si>
    <t>Thuyên chuyển về trường từ 01/10/2023</t>
  </si>
  <si>
    <t>Trưởng khoa Ngoại Ngữ</t>
  </si>
  <si>
    <t>Phó Giám đốc TT Đào tạo Lý Tự Trọng</t>
  </si>
  <si>
    <t>Trưởng Bộ môn - Khoa Điện - Điện tử</t>
  </si>
  <si>
    <t>Giảng viên khoa Du lịch - Khách sạn</t>
  </si>
  <si>
    <t>Trưởng khoa Du lịch - Khách sạn</t>
  </si>
  <si>
    <t>Trưởng BM khoa Du lịch - Khách sạn</t>
  </si>
  <si>
    <t>Giảng viên khoa Khách sạn - Du lịch</t>
  </si>
  <si>
    <t>Nhân viên phòng Khoa học công nghệ và HTQT</t>
  </si>
  <si>
    <t>Ôn Thị Ngọc Thảo</t>
  </si>
  <si>
    <t>QĐ Tuyển dụng từ 01/01/2024.</t>
  </si>
  <si>
    <t xml:space="preserve">                                      </t>
  </si>
  <si>
    <t>Phó Trưởng TT Điều hành và QLDL</t>
  </si>
  <si>
    <t>Nguyễn Ngọc Quỳnh.</t>
  </si>
  <si>
    <t>02.008</t>
  </si>
  <si>
    <t>QĐ Thôi giữ chức vụ Trưởng khoa từ 01/3/2024. HS phụ cấp chức vụ 0,35 được bảo lưu đến hết T04/2024</t>
  </si>
  <si>
    <t>Giảng viên khoa Xây dựng - Nhiệt lạnh</t>
  </si>
  <si>
    <t>Phó Trưởng khoa Xây dựng - Nhiệt lạnh</t>
  </si>
  <si>
    <t>Giảng viên khoa  Xây dựng - Nhiệt lạnh</t>
  </si>
  <si>
    <t>Nhân viên phòng Thanh tra giáo dục - QHDN</t>
  </si>
  <si>
    <t>Trưởng phòng Thanh tra GD - Quan hệ DN</t>
  </si>
  <si>
    <t>Nhân viên Phòng Thanh tra GD - Quan hệ DN</t>
  </si>
  <si>
    <t>Trưởng khoa Xây dựng - Nhiệt lạnh</t>
  </si>
  <si>
    <t>25=24*2.340.000</t>
  </si>
  <si>
    <t>23=22*2.340.000</t>
  </si>
  <si>
    <t>11=10*2.340.000</t>
  </si>
  <si>
    <t>Nguyễn Huỳnh Khánh Vy</t>
  </si>
  <si>
    <t>QĐ Tuyển dụng từ 01/08/2024.</t>
  </si>
  <si>
    <t>21=20*2.340.000</t>
  </si>
  <si>
    <t>Nguyễn Thụy Nghiêm</t>
  </si>
  <si>
    <t>QĐ Tuyển dụng từ ngày 01/09/2024</t>
  </si>
  <si>
    <t>Đoàn Thanh Long</t>
  </si>
  <si>
    <t>QĐ Tuyển dụng từ ngày 01/10/2024</t>
  </si>
  <si>
    <t>NN</t>
  </si>
  <si>
    <t>KT</t>
  </si>
  <si>
    <t>Phó Hiệu trưởng phụ trách</t>
  </si>
  <si>
    <t>Bảng lương tháng 10/2024</t>
  </si>
  <si>
    <t xml:space="preserve">PHÓ HIỆU TRƯỞNG </t>
  </si>
  <si>
    <t>KT. HIỆU TRƯỞNG</t>
  </si>
  <si>
    <t>KT-ĐBCL</t>
  </si>
  <si>
    <t>QĐ số 4648/QĐ-UBND ngày 18 tháng 10 năm 2024 về việc BN ông Phạm Hữu Lộc Hiệu trưởng Trường CĐ Lý Tự Trọng làm Hiệu trưởng Trường CĐ Thủ Đức từ ngày 18/10/2024. Ông Lộc không còn tên trên BL T11/2024 của Trường.</t>
  </si>
  <si>
    <t>QĐ số 469/QĐ-LTT-TC ngày 14 tháng 8 năm 2024 về việc nghỉ việc hưởng chế độ hưu trí đối với ông Nguyễn Thanh Sơn từ ngày 01/11/2024. Ông Sơn không còn tên trên BL T11/2004 của Trường.</t>
  </si>
  <si>
    <t xml:space="preserve">QĐ BN CDNN từ 01/09/2024 </t>
  </si>
  <si>
    <t>QĐ Bổ nhiệm chức danh nghề nghiệp từ ngày 01/09/2024</t>
  </si>
  <si>
    <t>QĐ Nâng 1% phụ cấp thâm niên nhà giáo từ 01/10/2024, lập bảng truy lãnh riêng, cập nhật BL tháng 11/2024</t>
  </si>
  <si>
    <t>QĐ Nâng 1% phụ cấp thâm niên nhà giáo từ 01/9/2024, lập bảng truy lãnh riêng, cập nhật BL tháng 11/2024</t>
  </si>
  <si>
    <t>QĐ Nâng phụ cấp thâm niên vượt khung từ ngày 01/11/2024</t>
  </si>
  <si>
    <t>QĐ Nâng lương thường xuyên từ ngày 01/11/2024</t>
  </si>
  <si>
    <t>QĐ Nâng 1% phụ cấp thâm niên nhà giáo từ ngày 01/11/2024</t>
  </si>
  <si>
    <t>(Tháng 11 năm 2024)</t>
  </si>
  <si>
    <t xml:space="preserve">Hết thời gian nghỉ không hưởng lương đi làm lại từ ngày 01/11/2024. Nhập lại bảng lương tháng 11/2024 </t>
  </si>
  <si>
    <t>Hết thời gian nghỉ không hưởng lương đi làm lại từ 01/11/24. Nhập lại BL T11/24</t>
  </si>
  <si>
    <t>Thành phố Hồ Chí Minh, ngày 01 tháng 11 năm 2024</t>
  </si>
  <si>
    <t>BẢNG ĐIỀU CHỈNH THAY ĐỔI LƯƠNG CỦA CÁN BỘ, VIÊN CHỨC - THÁNG 11/2024</t>
  </si>
  <si>
    <t>Bảng lương tháng 11/2024</t>
  </si>
  <si>
    <t>Nghỉ hộ sản hưởng chế độ BHXH từ ngày 28/10/24. Trừ trên BL T11+12/24 và T1+2+3+4/25</t>
  </si>
  <si>
    <t>Nghỉ hộ sản hưởng chế độ BHXH từ ngày 28/10/2024. Trừ trên BL T11+12/24 và T1+2+3+4/25</t>
  </si>
  <si>
    <t>Phó trưởng khoa CNTT</t>
  </si>
  <si>
    <t>Trưởng BM khoa Lý luận chính trị</t>
  </si>
  <si>
    <t>QĐ Hưởng phụ cấp thâm niên nhà giáo lần đầu từ ngày 01/11/2024</t>
  </si>
  <si>
    <t>Hai tỷ chín trăm bảy mươi mốt triệu sáu trăm mười ba ngàn ba trăm hai mươi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</si>
</sst>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_);_(* \(#,##0.00\);_(* &quot;-&quot;??_);_(@_)"/>
    <numFmt numFmtId="165" formatCode="#,##0.000"/>
    <numFmt numFmtId="166" formatCode="#,##0.0000"/>
    <numFmt numFmtId="167" formatCode="0.000"/>
    <numFmt numFmtId="168" formatCode="0.0000"/>
    <numFmt numFmtId="169" formatCode="00000"/>
    <numFmt numFmtId="170" formatCode="_(* #,##0_);_(* \(#,##0\);_(* &quot;-&quot;??_);_(@_)"/>
  </numFmts>
  <fonts count="50"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
      <sz val="9"/>
      <color indexed="81"/>
      <name val="Tahoma"/>
      <charset val="163"/>
    </font>
    <font>
      <b/>
      <sz val="9"/>
      <color indexed="81"/>
      <name val="Tahoma"/>
      <charset val="163"/>
    </font>
    <font>
      <sz val="9"/>
      <color indexed="81"/>
      <name val="Tahoma"/>
      <charset val="1"/>
    </font>
    <font>
      <b/>
      <sz val="9"/>
      <color indexed="81"/>
      <name val="Tahoma"/>
      <charset val="1"/>
    </font>
  </fonts>
  <fills count="18">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110">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5"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8"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8" fontId="4" fillId="0" borderId="0" xfId="0" applyNumberFormat="1" applyFont="1" applyFill="1"/>
    <xf numFmtId="168" fontId="4" fillId="0" borderId="0" xfId="0" applyNumberFormat="1" applyFont="1" applyFill="1" applyBorder="1" applyAlignment="1">
      <alignment horizontal="right"/>
    </xf>
    <xf numFmtId="168"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7" fontId="11" fillId="0" borderId="1" xfId="0" applyNumberFormat="1" applyFont="1" applyFill="1" applyBorder="1" applyAlignment="1">
      <alignment horizontal="right" vertical="center"/>
    </xf>
    <xf numFmtId="166" fontId="4" fillId="0" borderId="0" xfId="0" applyNumberFormat="1" applyFont="1" applyFill="1"/>
    <xf numFmtId="166"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8"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8"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8"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5"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8"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8"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8"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8"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8" fontId="4" fillId="4" borderId="2" xfId="0" applyNumberFormat="1" applyFont="1" applyFill="1" applyBorder="1" applyAlignment="1">
      <alignment horizontal="right" vertical="center" wrapText="1"/>
    </xf>
    <xf numFmtId="168"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5"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6"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5"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7" fontId="11" fillId="5" borderId="1" xfId="3" applyNumberFormat="1" applyFont="1" applyFill="1" applyBorder="1" applyAlignment="1">
      <alignment horizontal="right" vertical="center" wrapText="1"/>
    </xf>
    <xf numFmtId="166"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8"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8"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8"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6" fontId="14" fillId="0" borderId="1" xfId="3" applyNumberFormat="1" applyFont="1" applyFill="1" applyBorder="1" applyAlignment="1">
      <alignment horizontal="right" vertical="center"/>
    </xf>
    <xf numFmtId="168" fontId="14" fillId="0"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8" fontId="11" fillId="4"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168"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8" fontId="4" fillId="6" borderId="2" xfId="3" applyNumberFormat="1" applyFont="1" applyFill="1" applyBorder="1" applyAlignment="1">
      <alignment horizontal="center" vertical="center" wrapText="1"/>
    </xf>
    <xf numFmtId="167"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5"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7" fontId="11" fillId="6" borderId="1" xfId="3" applyNumberFormat="1" applyFont="1" applyFill="1" applyBorder="1" applyAlignment="1">
      <alignment horizontal="right" vertical="center"/>
    </xf>
    <xf numFmtId="167"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8" fontId="13" fillId="0" borderId="1" xfId="0" applyNumberFormat="1" applyFont="1" applyFill="1" applyBorder="1" applyAlignment="1">
      <alignment horizontal="center" vertical="center" wrapText="1"/>
    </xf>
    <xf numFmtId="168"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6"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8" fontId="11" fillId="7" borderId="1" xfId="3" applyNumberFormat="1" applyFont="1" applyFill="1" applyBorder="1" applyAlignment="1">
      <alignment horizontal="center" vertical="center"/>
    </xf>
    <xf numFmtId="166"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8" fontId="5" fillId="5" borderId="1" xfId="3" applyNumberFormat="1" applyFont="1" applyFill="1" applyBorder="1" applyAlignment="1">
      <alignment horizontal="right" vertical="center" wrapText="1"/>
    </xf>
    <xf numFmtId="166" fontId="11" fillId="2" borderId="12" xfId="0" applyNumberFormat="1" applyFont="1" applyFill="1" applyBorder="1" applyAlignment="1">
      <alignment horizontal="right" vertical="center" wrapText="1"/>
    </xf>
    <xf numFmtId="166" fontId="5" fillId="0" borderId="1" xfId="0" applyNumberFormat="1" applyFont="1" applyFill="1" applyBorder="1" applyAlignment="1">
      <alignment horizontal="right" vertical="center"/>
    </xf>
    <xf numFmtId="166" fontId="5" fillId="2" borderId="12" xfId="0" applyNumberFormat="1" applyFont="1" applyFill="1" applyBorder="1" applyAlignment="1">
      <alignment horizontal="right" vertical="center" wrapText="1"/>
    </xf>
    <xf numFmtId="168" fontId="11" fillId="0" borderId="1" xfId="3" applyNumberFormat="1" applyFont="1" applyFill="1" applyBorder="1" applyAlignment="1">
      <alignment horizontal="center" vertical="center"/>
    </xf>
    <xf numFmtId="168"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8"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8"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8"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6" fontId="14" fillId="2" borderId="1" xfId="3" applyNumberFormat="1" applyFont="1" applyFill="1" applyBorder="1" applyAlignment="1">
      <alignment horizontal="right" vertical="center" wrapText="1"/>
    </xf>
    <xf numFmtId="165"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8"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center" vertical="center" wrapText="1"/>
    </xf>
    <xf numFmtId="167" fontId="14" fillId="6" borderId="1" xfId="3" applyNumberFormat="1" applyFont="1" applyFill="1" applyBorder="1" applyAlignment="1">
      <alignment horizontal="center" vertical="center" wrapText="1"/>
    </xf>
    <xf numFmtId="166" fontId="14" fillId="7" borderId="1" xfId="3" applyNumberFormat="1" applyFont="1" applyFill="1" applyBorder="1" applyAlignment="1">
      <alignment horizontal="center" vertical="center" wrapText="1"/>
    </xf>
    <xf numFmtId="168" fontId="14" fillId="2" borderId="1" xfId="3" applyNumberFormat="1" applyFont="1" applyFill="1" applyBorder="1" applyAlignment="1">
      <alignment horizontal="center" vertical="center" wrapText="1"/>
    </xf>
    <xf numFmtId="167"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8"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6" fontId="4" fillId="4" borderId="11" xfId="0" applyNumberFormat="1" applyFont="1" applyFill="1" applyBorder="1" applyAlignment="1">
      <alignment horizontal="right" vertical="center" wrapText="1"/>
    </xf>
    <xf numFmtId="168" fontId="4" fillId="4" borderId="11" xfId="0" applyNumberFormat="1" applyFont="1" applyFill="1" applyBorder="1" applyAlignment="1">
      <alignment horizontal="right" vertical="center" wrapText="1"/>
    </xf>
    <xf numFmtId="168"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8"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6"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5"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8"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8"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8" fontId="4" fillId="4" borderId="0" xfId="0" applyNumberFormat="1" applyFont="1" applyFill="1"/>
    <xf numFmtId="3" fontId="9" fillId="4" borderId="1" xfId="3" quotePrefix="1" applyNumberFormat="1" applyFont="1" applyFill="1" applyBorder="1" applyAlignment="1">
      <alignment horizontal="center" vertical="center" wrapText="1"/>
    </xf>
    <xf numFmtId="168" fontId="8" fillId="4" borderId="10" xfId="0" applyNumberFormat="1" applyFont="1" applyFill="1" applyBorder="1" applyAlignment="1">
      <alignment horizontal="center" vertical="center" wrapText="1"/>
    </xf>
    <xf numFmtId="168" fontId="4" fillId="4" borderId="18" xfId="0" applyNumberFormat="1" applyFont="1" applyFill="1" applyBorder="1" applyAlignment="1">
      <alignment horizontal="center"/>
    </xf>
    <xf numFmtId="166" fontId="5" fillId="4" borderId="1" xfId="0" applyNumberFormat="1" applyFont="1" applyFill="1" applyBorder="1" applyAlignment="1">
      <alignment horizontal="right" vertical="center" wrapText="1"/>
    </xf>
    <xf numFmtId="168"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8"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8" fontId="4" fillId="4" borderId="0" xfId="0" applyNumberFormat="1" applyFont="1" applyFill="1" applyBorder="1" applyAlignment="1">
      <alignment horizontal="right"/>
    </xf>
    <xf numFmtId="166" fontId="14" fillId="4" borderId="1" xfId="3" applyNumberFormat="1" applyFont="1" applyFill="1" applyBorder="1" applyAlignment="1">
      <alignment horizontal="right" vertical="center"/>
    </xf>
    <xf numFmtId="168" fontId="4" fillId="4" borderId="0" xfId="0" applyNumberFormat="1" applyFont="1" applyFill="1" applyAlignment="1">
      <alignment horizontal="center"/>
    </xf>
    <xf numFmtId="168" fontId="5" fillId="4" borderId="0" xfId="0" applyNumberFormat="1" applyFont="1" applyFill="1"/>
    <xf numFmtId="168" fontId="5" fillId="7" borderId="2" xfId="0" applyNumberFormat="1" applyFont="1" applyFill="1" applyBorder="1" applyAlignment="1">
      <alignment horizontal="right" vertical="center" wrapText="1"/>
    </xf>
    <xf numFmtId="168"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6"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8" fontId="5" fillId="4" borderId="24" xfId="0" applyNumberFormat="1" applyFont="1" applyFill="1" applyBorder="1" applyAlignment="1">
      <alignment horizontal="right" vertical="center" wrapText="1"/>
    </xf>
    <xf numFmtId="168"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8"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6"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6"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8" fontId="5" fillId="4" borderId="31" xfId="0" applyNumberFormat="1" applyFont="1" applyFill="1" applyBorder="1" applyAlignment="1">
      <alignment horizontal="right"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8"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166"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8"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6"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8"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8"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8"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8"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8" fontId="3" fillId="0" borderId="10" xfId="0" applyNumberFormat="1" applyFont="1" applyFill="1" applyBorder="1" applyAlignment="1">
      <alignment horizontal="center" vertical="center" wrapText="1"/>
    </xf>
    <xf numFmtId="168"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9"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70"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8"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6"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8"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8"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6"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8"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8"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8"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8"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6"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8"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8"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8"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8"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8"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8"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8"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6"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8" fontId="5" fillId="14" borderId="2" xfId="0" applyNumberFormat="1" applyFont="1" applyFill="1" applyBorder="1" applyAlignment="1">
      <alignment horizontal="right" vertical="center" wrapText="1"/>
    </xf>
    <xf numFmtId="168"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8"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6" fontId="4" fillId="0" borderId="0" xfId="0" applyNumberFormat="1" applyFont="1" applyFill="1" applyBorder="1" applyAlignment="1">
      <alignment horizontal="right" vertical="center" wrapText="1"/>
    </xf>
    <xf numFmtId="168"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8" fontId="4" fillId="0" borderId="0" xfId="3" applyNumberFormat="1" applyFont="1" applyFill="1" applyBorder="1" applyAlignment="1">
      <alignment horizontal="center" vertical="center" wrapText="1"/>
    </xf>
    <xf numFmtId="170" fontId="0" fillId="0" borderId="0" xfId="1" applyNumberFormat="1" applyFont="1"/>
    <xf numFmtId="0" fontId="5" fillId="0" borderId="0" xfId="0" applyFont="1"/>
    <xf numFmtId="0" fontId="0" fillId="0" borderId="1" xfId="0" applyBorder="1"/>
    <xf numFmtId="170"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70"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5" fontId="14" fillId="2" borderId="10" xfId="0" applyNumberFormat="1" applyFont="1" applyFill="1" applyBorder="1" applyAlignment="1">
      <alignment horizontal="right" vertical="center" wrapText="1"/>
    </xf>
    <xf numFmtId="165"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6"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5" fontId="11" fillId="2" borderId="10" xfId="0" applyNumberFormat="1" applyFont="1" applyFill="1" applyBorder="1" applyAlignment="1">
      <alignment horizontal="center" vertical="center" wrapText="1"/>
    </xf>
    <xf numFmtId="166"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3" fontId="7" fillId="4" borderId="24" xfId="0" quotePrefix="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5"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70" fontId="4" fillId="0" borderId="0" xfId="1" applyNumberFormat="1" applyFont="1" applyFill="1" applyAlignment="1">
      <alignment vertical="center" wrapText="1"/>
    </xf>
    <xf numFmtId="170"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8"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6"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8"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8"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70"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1" fillId="4" borderId="0" xfId="0" applyFont="1" applyFill="1" applyAlignment="1">
      <alignment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8" fontId="5" fillId="4" borderId="24" xfId="0" applyNumberFormat="1" applyFont="1" applyFill="1" applyBorder="1" applyAlignment="1">
      <alignment horizontal="center" vertical="center" wrapText="1"/>
    </xf>
    <xf numFmtId="1" fontId="9" fillId="4" borderId="2" xfId="0" quotePrefix="1" applyNumberFormat="1" applyFont="1" applyFill="1" applyBorder="1" applyAlignment="1">
      <alignment horizontal="center" vertical="center"/>
    </xf>
    <xf numFmtId="3" fontId="1" fillId="4" borderId="11" xfId="0" quotePrefix="1" applyNumberFormat="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9" fontId="4" fillId="4" borderId="31" xfId="4" quotePrefix="1" applyFont="1" applyFill="1" applyBorder="1" applyAlignment="1">
      <alignment horizontal="center" vertical="center" wrapText="1"/>
    </xf>
    <xf numFmtId="168" fontId="4" fillId="4" borderId="31" xfId="0" applyNumberFormat="1" applyFont="1" applyFill="1" applyBorder="1" applyAlignment="1">
      <alignment horizontal="center" vertical="center" wrapText="1"/>
    </xf>
    <xf numFmtId="0" fontId="5" fillId="2" borderId="39" xfId="0" applyFont="1" applyFill="1" applyBorder="1" applyAlignment="1">
      <alignment horizontal="centerContinuous" vertical="center" wrapText="1"/>
    </xf>
    <xf numFmtId="0" fontId="5" fillId="2" borderId="0" xfId="0" applyFont="1" applyFill="1" applyBorder="1" applyAlignment="1">
      <alignment vertical="center" wrapText="1"/>
    </xf>
    <xf numFmtId="0" fontId="5" fillId="2" borderId="0" xfId="0" applyFont="1" applyFill="1" applyBorder="1" applyAlignment="1">
      <alignment horizontal="centerContinuous" vertical="center" wrapText="1"/>
    </xf>
    <xf numFmtId="0" fontId="5" fillId="2" borderId="1" xfId="0" applyFont="1" applyFill="1" applyBorder="1" applyAlignment="1">
      <alignment horizontal="centerContinuous" vertical="center" wrapText="1"/>
    </xf>
    <xf numFmtId="0" fontId="5" fillId="5" borderId="1" xfId="0" applyFont="1" applyFill="1" applyBorder="1" applyAlignment="1">
      <alignment vertical="center" wrapText="1"/>
    </xf>
    <xf numFmtId="0" fontId="5" fillId="5" borderId="1" xfId="0" applyFont="1" applyFill="1" applyBorder="1" applyAlignment="1">
      <alignment horizontal="centerContinuous" vertical="center" wrapText="1"/>
    </xf>
    <xf numFmtId="0" fontId="5" fillId="5" borderId="16" xfId="0" applyFont="1" applyFill="1" applyBorder="1" applyAlignment="1">
      <alignment horizontal="left" vertical="center"/>
    </xf>
    <xf numFmtId="0" fontId="5" fillId="2" borderId="1" xfId="0" applyFont="1" applyFill="1" applyBorder="1" applyAlignment="1">
      <alignment horizontal="left" vertical="center"/>
    </xf>
    <xf numFmtId="0" fontId="5" fillId="5" borderId="1" xfId="0" applyFont="1" applyFill="1" applyBorder="1" applyAlignment="1">
      <alignment horizontal="left" vertical="center"/>
    </xf>
    <xf numFmtId="0" fontId="5" fillId="2" borderId="9" xfId="0" applyFont="1" applyFill="1" applyBorder="1" applyAlignment="1">
      <alignment horizontal="left" vertical="center"/>
    </xf>
    <xf numFmtId="0" fontId="0" fillId="4" borderId="0" xfId="0" applyFill="1"/>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0" fillId="4" borderId="0" xfId="0" applyFont="1" applyFill="1"/>
    <xf numFmtId="3" fontId="4" fillId="4" borderId="11" xfId="0" quotePrefix="1" applyNumberFormat="1" applyFont="1" applyFill="1" applyBorder="1" applyAlignment="1">
      <alignment horizontal="center" vertical="center" wrapText="1"/>
    </xf>
    <xf numFmtId="2" fontId="1" fillId="4" borderId="11" xfId="0" applyNumberFormat="1" applyFont="1" applyFill="1" applyBorder="1" applyAlignment="1">
      <alignment horizontal="center" vertical="center" wrapText="1"/>
    </xf>
    <xf numFmtId="4" fontId="14" fillId="0" borderId="1" xfId="0" applyNumberFormat="1" applyFont="1" applyFill="1" applyBorder="1" applyAlignment="1">
      <alignment horizontal="right" vertical="center"/>
    </xf>
    <xf numFmtId="2" fontId="1" fillId="4" borderId="31" xfId="0" applyNumberFormat="1" applyFont="1" applyFill="1" applyBorder="1" applyAlignment="1">
      <alignment horizontal="center" vertical="center" wrapText="1"/>
    </xf>
    <xf numFmtId="3" fontId="5" fillId="12" borderId="24" xfId="0" applyNumberFormat="1" applyFont="1" applyFill="1" applyBorder="1" applyAlignment="1">
      <alignment horizontal="right" vertical="center" wrapText="1"/>
    </xf>
    <xf numFmtId="0" fontId="5" fillId="0" borderId="0" xfId="0"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8"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12" fillId="0" borderId="1" xfId="0" applyNumberFormat="1" applyFont="1" applyFill="1" applyBorder="1" applyAlignment="1">
      <alignment horizontal="center" vertical="center" wrapText="1"/>
    </xf>
    <xf numFmtId="3" fontId="40" fillId="0" borderId="0" xfId="0" applyNumberFormat="1" applyFont="1" applyFill="1"/>
    <xf numFmtId="3" fontId="14" fillId="0" borderId="1" xfId="0" applyNumberFormat="1" applyFont="1" applyFill="1" applyBorder="1" applyAlignment="1">
      <alignment horizontal="right" vertical="center"/>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3" fontId="5" fillId="13" borderId="24" xfId="0" applyNumberFormat="1" applyFont="1" applyFill="1" applyBorder="1" applyAlignment="1">
      <alignment horizontal="right" vertical="center" wrapText="1"/>
    </xf>
    <xf numFmtId="2" fontId="4" fillId="13" borderId="2" xfId="0" applyNumberFormat="1" applyFont="1" applyFill="1" applyBorder="1" applyAlignment="1">
      <alignment horizontal="center" vertical="center" wrapText="1"/>
    </xf>
    <xf numFmtId="0" fontId="5" fillId="0" borderId="0" xfId="0" applyFont="1" applyFill="1" applyAlignment="1">
      <alignment horizontal="center"/>
    </xf>
    <xf numFmtId="0" fontId="4" fillId="8" borderId="2" xfId="3" applyFont="1" applyFill="1" applyBorder="1" applyAlignment="1">
      <alignment horizontal="center" vertical="center" wrapText="1"/>
    </xf>
    <xf numFmtId="2" fontId="4" fillId="8" borderId="2" xfId="3" applyNumberFormat="1" applyFont="1" applyFill="1" applyBorder="1" applyAlignment="1">
      <alignment horizontal="center" vertical="center" wrapText="1"/>
    </xf>
    <xf numFmtId="3" fontId="4" fillId="8" borderId="2" xfId="3" applyNumberFormat="1" applyFont="1" applyFill="1" applyBorder="1" applyAlignment="1">
      <alignment horizontal="center" vertical="center" wrapText="1"/>
    </xf>
    <xf numFmtId="2" fontId="4" fillId="8" borderId="2" xfId="0" applyNumberFormat="1" applyFont="1" applyFill="1" applyBorder="1" applyAlignment="1">
      <alignment horizontal="center" vertical="center" wrapText="1"/>
    </xf>
    <xf numFmtId="0" fontId="7" fillId="8" borderId="31" xfId="0" applyFont="1" applyFill="1" applyBorder="1" applyAlignment="1">
      <alignment horizontal="center" vertical="center" wrapText="1"/>
    </xf>
    <xf numFmtId="0" fontId="5" fillId="8" borderId="31" xfId="0" applyFont="1" applyFill="1" applyBorder="1" applyAlignment="1">
      <alignment horizontal="left" vertical="center" wrapText="1"/>
    </xf>
    <xf numFmtId="0" fontId="4" fillId="8" borderId="31" xfId="0" quotePrefix="1" applyFont="1" applyFill="1" applyBorder="1" applyAlignment="1">
      <alignment horizontal="center" vertical="center" wrapText="1"/>
    </xf>
    <xf numFmtId="0" fontId="4" fillId="8" borderId="31" xfId="0" quotePrefix="1" applyFont="1" applyFill="1" applyBorder="1" applyAlignment="1">
      <alignment horizontal="left" vertical="center" wrapText="1"/>
    </xf>
    <xf numFmtId="0" fontId="4" fillId="8" borderId="31" xfId="0" applyFont="1" applyFill="1" applyBorder="1" applyAlignment="1">
      <alignment horizontal="center" vertical="center" wrapText="1"/>
    </xf>
    <xf numFmtId="168" fontId="4" fillId="8" borderId="31" xfId="3" applyNumberFormat="1" applyFont="1" applyFill="1" applyBorder="1" applyAlignment="1">
      <alignment horizontal="center" vertical="center" wrapText="1"/>
    </xf>
    <xf numFmtId="3" fontId="4" fillId="8" borderId="31" xfId="3" applyNumberFormat="1" applyFont="1" applyFill="1" applyBorder="1" applyAlignment="1">
      <alignment horizontal="right" vertical="center" wrapText="1"/>
    </xf>
    <xf numFmtId="3" fontId="4" fillId="8" borderId="31" xfId="0" applyNumberFormat="1" applyFont="1" applyFill="1" applyBorder="1" applyAlignment="1">
      <alignment horizontal="center" vertical="center" wrapText="1"/>
    </xf>
    <xf numFmtId="3" fontId="4" fillId="8" borderId="31" xfId="0" applyNumberFormat="1" applyFont="1" applyFill="1" applyBorder="1" applyAlignment="1">
      <alignment horizontal="right" vertical="center" wrapText="1"/>
    </xf>
    <xf numFmtId="4" fontId="4" fillId="8" borderId="31" xfId="0" applyNumberFormat="1" applyFont="1" applyFill="1" applyBorder="1" applyAlignment="1">
      <alignment horizontal="center" vertical="center" wrapText="1"/>
    </xf>
    <xf numFmtId="3" fontId="5" fillId="8" borderId="31" xfId="0" applyNumberFormat="1" applyFont="1" applyFill="1" applyBorder="1" applyAlignment="1">
      <alignment horizontal="right" vertical="center" wrapText="1"/>
    </xf>
    <xf numFmtId="0" fontId="0" fillId="11" borderId="0" xfId="0" applyFill="1"/>
    <xf numFmtId="1" fontId="4" fillId="8" borderId="21" xfId="0" applyNumberFormat="1" applyFont="1" applyFill="1" applyBorder="1" applyAlignment="1">
      <alignment horizontal="center" vertical="center" wrapText="1"/>
    </xf>
    <xf numFmtId="0" fontId="4" fillId="8" borderId="2" xfId="3" quotePrefix="1" applyFont="1" applyFill="1" applyBorder="1" applyAlignment="1">
      <alignment horizontal="center" vertical="center" wrapText="1"/>
    </xf>
    <xf numFmtId="4" fontId="5" fillId="8" borderId="2" xfId="0" applyNumberFormat="1" applyFont="1" applyFill="1" applyBorder="1" applyAlignment="1">
      <alignment horizontal="center" vertical="center" wrapText="1"/>
    </xf>
    <xf numFmtId="0" fontId="1" fillId="8" borderId="2" xfId="0" applyFont="1" applyFill="1" applyBorder="1" applyAlignment="1">
      <alignment horizontal="left" vertical="center" wrapText="1"/>
    </xf>
    <xf numFmtId="49" fontId="4" fillId="8" borderId="2" xfId="0" quotePrefix="1" applyNumberFormat="1" applyFont="1" applyFill="1" applyBorder="1" applyAlignment="1">
      <alignment horizontal="center" vertical="center" wrapText="1"/>
    </xf>
    <xf numFmtId="2" fontId="1" fillId="8" borderId="2" xfId="0" applyNumberFormat="1" applyFont="1" applyFill="1" applyBorder="1" applyAlignment="1">
      <alignment horizontal="center" vertical="center" wrapText="1"/>
    </xf>
    <xf numFmtId="9" fontId="41" fillId="8" borderId="2" xfId="0" applyNumberFormat="1" applyFont="1" applyFill="1" applyBorder="1" applyAlignment="1">
      <alignment horizontal="center" vertical="center" wrapText="1"/>
    </xf>
    <xf numFmtId="9" fontId="1" fillId="4" borderId="2" xfId="0" applyNumberFormat="1" applyFont="1" applyFill="1" applyBorder="1" applyAlignment="1">
      <alignment horizontal="center" vertical="center" wrapText="1"/>
    </xf>
    <xf numFmtId="167" fontId="4" fillId="4" borderId="2" xfId="3" applyNumberFormat="1" applyFont="1" applyFill="1" applyBorder="1" applyAlignment="1">
      <alignment horizontal="center" vertical="center" wrapText="1"/>
    </xf>
    <xf numFmtId="3" fontId="14" fillId="4" borderId="1" xfId="3" applyNumberFormat="1" applyFont="1" applyFill="1" applyBorder="1" applyAlignment="1">
      <alignment horizontal="right" vertical="center"/>
    </xf>
    <xf numFmtId="2" fontId="14" fillId="4" borderId="1" xfId="3" applyNumberFormat="1" applyFont="1" applyFill="1" applyBorder="1" applyAlignment="1">
      <alignment horizontal="right" vertical="center"/>
    </xf>
    <xf numFmtId="3" fontId="14" fillId="4" borderId="1" xfId="0" applyNumberFormat="1" applyFont="1" applyFill="1" applyBorder="1" applyAlignment="1">
      <alignment horizontal="right" vertical="center"/>
    </xf>
    <xf numFmtId="4" fontId="14" fillId="4" borderId="1" xfId="0" applyNumberFormat="1" applyFont="1" applyFill="1" applyBorder="1" applyAlignment="1">
      <alignment horizontal="right" vertical="center"/>
    </xf>
    <xf numFmtId="0" fontId="1" fillId="4" borderId="31" xfId="0" quotePrefix="1" applyFont="1" applyFill="1" applyBorder="1" applyAlignment="1">
      <alignment horizontal="center" vertical="center" wrapText="1"/>
    </xf>
    <xf numFmtId="167" fontId="1" fillId="4" borderId="31" xfId="0" applyNumberFormat="1" applyFont="1" applyFill="1" applyBorder="1" applyAlignment="1">
      <alignment horizontal="center" vertical="center" wrapText="1"/>
    </xf>
    <xf numFmtId="3" fontId="3" fillId="4" borderId="3" xfId="0" applyNumberFormat="1" applyFont="1" applyFill="1" applyBorder="1" applyAlignment="1">
      <alignment vertical="center" wrapText="1"/>
    </xf>
    <xf numFmtId="168" fontId="5" fillId="4" borderId="31" xfId="0" applyNumberFormat="1" applyFont="1" applyFill="1" applyBorder="1" applyAlignment="1">
      <alignment horizontal="center" vertical="center" wrapText="1"/>
    </xf>
    <xf numFmtId="1" fontId="4" fillId="4" borderId="24" xfId="0" applyNumberFormat="1" applyFont="1" applyFill="1" applyBorder="1" applyAlignment="1">
      <alignment horizontal="center"/>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1" fontId="4" fillId="13" borderId="13" xfId="0" applyNumberFormat="1" applyFont="1" applyFill="1" applyBorder="1" applyAlignment="1">
      <alignment horizontal="center" vertical="center" wrapText="1"/>
    </xf>
    <xf numFmtId="0" fontId="1" fillId="13" borderId="2" xfId="0" applyFont="1" applyFill="1" applyBorder="1" applyAlignment="1">
      <alignment horizontal="left" vertical="center" wrapText="1"/>
    </xf>
    <xf numFmtId="1" fontId="4" fillId="13" borderId="2" xfId="0" applyNumberFormat="1" applyFont="1" applyFill="1" applyBorder="1" applyAlignment="1">
      <alignment horizontal="center" vertical="center"/>
    </xf>
    <xf numFmtId="0" fontId="3" fillId="13" borderId="3" xfId="0" applyFont="1" applyFill="1" applyBorder="1" applyAlignment="1">
      <alignment horizontal="left" vertical="center" wrapText="1"/>
    </xf>
    <xf numFmtId="0" fontId="39" fillId="4" borderId="2" xfId="0" applyFont="1" applyFill="1" applyBorder="1" applyAlignment="1">
      <alignment horizontal="center" vertical="center" wrapText="1"/>
    </xf>
    <xf numFmtId="0" fontId="1" fillId="4" borderId="32" xfId="0" quotePrefix="1" applyFont="1" applyFill="1" applyBorder="1" applyAlignment="1">
      <alignment horizontal="center" vertical="center" wrapText="1"/>
    </xf>
    <xf numFmtId="0" fontId="1" fillId="8" borderId="31" xfId="0" applyFont="1" applyFill="1" applyBorder="1" applyAlignment="1">
      <alignment horizontal="left" vertical="center" wrapText="1"/>
    </xf>
    <xf numFmtId="49" fontId="4" fillId="13" borderId="6" xfId="0" quotePrefix="1" applyNumberFormat="1" applyFont="1" applyFill="1" applyBorder="1" applyAlignment="1">
      <alignment horizontal="center" vertical="center" wrapText="1"/>
    </xf>
    <xf numFmtId="4" fontId="5" fillId="13" borderId="2" xfId="0" applyNumberFormat="1" applyFont="1" applyFill="1" applyBorder="1" applyAlignment="1">
      <alignment horizontal="center" vertical="center" wrapText="1"/>
    </xf>
    <xf numFmtId="1" fontId="4" fillId="13" borderId="2" xfId="0" quotePrefix="1" applyNumberFormat="1" applyFont="1" applyFill="1" applyBorder="1" applyAlignment="1">
      <alignment horizontal="center" vertical="center" wrapText="1"/>
    </xf>
    <xf numFmtId="0" fontId="4" fillId="13" borderId="6" xfId="0" applyFont="1" applyFill="1" applyBorder="1" applyAlignment="1">
      <alignment horizontal="left" vertical="center" wrapText="1"/>
    </xf>
    <xf numFmtId="0" fontId="4" fillId="13" borderId="13" xfId="0" applyFont="1" applyFill="1" applyBorder="1" applyAlignment="1">
      <alignment horizontal="left" vertical="center" wrapText="1"/>
    </xf>
    <xf numFmtId="1" fontId="4" fillId="13" borderId="2" xfId="0" quotePrefix="1" applyNumberFormat="1" applyFont="1" applyFill="1" applyBorder="1" applyAlignment="1">
      <alignment horizontal="center" vertical="center"/>
    </xf>
    <xf numFmtId="0" fontId="7" fillId="13" borderId="2" xfId="0" quotePrefix="1" applyFont="1" applyFill="1" applyBorder="1" applyAlignment="1">
      <alignment horizontal="center" vertical="center" wrapText="1"/>
    </xf>
    <xf numFmtId="0" fontId="8" fillId="12" borderId="3" xfId="0" applyFont="1" applyFill="1" applyBorder="1" applyAlignment="1">
      <alignment horizontal="left" vertical="top" wrapText="1"/>
    </xf>
    <xf numFmtId="0" fontId="4" fillId="12" borderId="6" xfId="0" quotePrefix="1" applyFont="1" applyFill="1" applyBorder="1" applyAlignment="1">
      <alignment horizontal="center" vertical="center" wrapText="1"/>
    </xf>
    <xf numFmtId="0" fontId="4" fillId="12" borderId="2" xfId="0" quotePrefix="1" applyFont="1" applyFill="1" applyBorder="1" applyAlignment="1">
      <alignment horizontal="left" vertical="center" wrapText="1"/>
    </xf>
    <xf numFmtId="0" fontId="7" fillId="12" borderId="6" xfId="0"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9" fontId="40" fillId="12" borderId="31" xfId="0" applyNumberFormat="1" applyFont="1" applyFill="1" applyBorder="1" applyAlignment="1">
      <alignment horizontal="center" vertical="center" wrapText="1"/>
    </xf>
    <xf numFmtId="3" fontId="4" fillId="12" borderId="28" xfId="0" applyNumberFormat="1" applyFont="1" applyFill="1" applyBorder="1" applyAlignment="1">
      <alignment horizontal="center" vertical="center" wrapText="1"/>
    </xf>
    <xf numFmtId="0" fontId="4" fillId="16" borderId="2" xfId="0" quotePrefix="1" applyFont="1" applyFill="1" applyBorder="1" applyAlignment="1">
      <alignment horizontal="center" vertical="center" wrapText="1"/>
    </xf>
    <xf numFmtId="1" fontId="4" fillId="16" borderId="2" xfId="0" applyNumberFormat="1" applyFont="1" applyFill="1" applyBorder="1" applyAlignment="1">
      <alignment horizontal="center" vertical="center" wrapText="1"/>
    </xf>
    <xf numFmtId="0" fontId="4" fillId="16" borderId="6" xfId="0" applyFont="1" applyFill="1" applyBorder="1" applyAlignment="1">
      <alignment horizontal="left" vertical="center" wrapText="1"/>
    </xf>
    <xf numFmtId="0" fontId="7" fillId="16" borderId="2" xfId="0" applyFont="1" applyFill="1" applyBorder="1" applyAlignment="1">
      <alignment horizontal="center" vertical="center" wrapText="1"/>
    </xf>
    <xf numFmtId="0" fontId="4" fillId="16" borderId="13" xfId="0" applyFont="1" applyFill="1" applyBorder="1" applyAlignment="1">
      <alignment horizontal="left" vertical="center" wrapText="1"/>
    </xf>
    <xf numFmtId="0" fontId="4" fillId="16" borderId="13" xfId="0" applyFont="1" applyFill="1" applyBorder="1" applyAlignment="1">
      <alignment horizontal="center" vertical="center" wrapText="1"/>
    </xf>
    <xf numFmtId="0" fontId="4" fillId="16" borderId="2" xfId="0" applyFont="1" applyFill="1" applyBorder="1" applyAlignment="1">
      <alignment horizontal="center" vertical="center" wrapText="1"/>
    </xf>
    <xf numFmtId="0" fontId="4" fillId="16" borderId="13" xfId="0" quotePrefix="1" applyFont="1" applyFill="1" applyBorder="1" applyAlignment="1">
      <alignment horizontal="left" vertical="center" wrapText="1"/>
    </xf>
    <xf numFmtId="3" fontId="7" fillId="16" borderId="2" xfId="0" quotePrefix="1" applyNumberFormat="1" applyFont="1" applyFill="1" applyBorder="1" applyAlignment="1">
      <alignment horizontal="center" vertical="center" wrapText="1"/>
    </xf>
    <xf numFmtId="2" fontId="4" fillId="16" borderId="2" xfId="0" applyNumberFormat="1" applyFont="1" applyFill="1" applyBorder="1" applyAlignment="1">
      <alignment horizontal="center" vertical="center" wrapText="1"/>
    </xf>
    <xf numFmtId="168" fontId="4" fillId="16" borderId="2" xfId="3" applyNumberFormat="1" applyFont="1" applyFill="1" applyBorder="1" applyAlignment="1">
      <alignment horizontal="center" vertical="center" wrapText="1"/>
    </xf>
    <xf numFmtId="0" fontId="4" fillId="16" borderId="2" xfId="0" applyFont="1" applyFill="1" applyBorder="1" applyAlignment="1">
      <alignment horizontal="left" vertical="center" wrapText="1"/>
    </xf>
    <xf numFmtId="3" fontId="4" fillId="16" borderId="2" xfId="3" applyNumberFormat="1" applyFont="1" applyFill="1" applyBorder="1" applyAlignment="1">
      <alignment horizontal="right" vertical="center" wrapText="1"/>
    </xf>
    <xf numFmtId="9" fontId="4" fillId="16" borderId="2" xfId="0" applyNumberFormat="1" applyFont="1" applyFill="1" applyBorder="1" applyAlignment="1">
      <alignment horizontal="center" vertical="center" wrapText="1"/>
    </xf>
    <xf numFmtId="166" fontId="4" fillId="16" borderId="2" xfId="0" applyNumberFormat="1" applyFont="1" applyFill="1" applyBorder="1" applyAlignment="1">
      <alignment horizontal="right" vertical="center" wrapText="1"/>
    </xf>
    <xf numFmtId="3" fontId="4" fillId="16" borderId="2" xfId="0" applyNumberFormat="1" applyFont="1" applyFill="1" applyBorder="1" applyAlignment="1">
      <alignment horizontal="center" vertical="center" wrapText="1"/>
    </xf>
    <xf numFmtId="3" fontId="4" fillId="16" borderId="2" xfId="0" applyNumberFormat="1" applyFont="1" applyFill="1" applyBorder="1" applyAlignment="1">
      <alignment horizontal="right" vertical="center" wrapText="1"/>
    </xf>
    <xf numFmtId="4" fontId="4" fillId="16" borderId="2" xfId="0" applyNumberFormat="1" applyFont="1" applyFill="1" applyBorder="1" applyAlignment="1">
      <alignment horizontal="center" vertical="center" wrapText="1"/>
    </xf>
    <xf numFmtId="3" fontId="5" fillId="16" borderId="24" xfId="0" applyNumberFormat="1" applyFont="1" applyFill="1" applyBorder="1" applyAlignment="1">
      <alignment horizontal="right" vertical="center" wrapText="1"/>
    </xf>
    <xf numFmtId="3" fontId="5" fillId="16" borderId="2" xfId="0" applyNumberFormat="1" applyFont="1" applyFill="1" applyBorder="1" applyAlignment="1">
      <alignment horizontal="right" vertical="center" wrapText="1"/>
    </xf>
    <xf numFmtId="168" fontId="5" fillId="16" borderId="2" xfId="0" applyNumberFormat="1" applyFont="1" applyFill="1" applyBorder="1" applyAlignment="1">
      <alignment horizontal="right" vertical="center" wrapText="1"/>
    </xf>
    <xf numFmtId="9" fontId="40" fillId="16" borderId="2" xfId="0" applyNumberFormat="1" applyFont="1" applyFill="1" applyBorder="1" applyAlignment="1">
      <alignment horizontal="center" vertical="center" wrapText="1"/>
    </xf>
    <xf numFmtId="168" fontId="4" fillId="16" borderId="2" xfId="0" applyNumberFormat="1" applyFont="1" applyFill="1" applyBorder="1" applyAlignment="1">
      <alignment horizontal="center" vertical="center" wrapText="1"/>
    </xf>
    <xf numFmtId="3" fontId="4" fillId="16" borderId="6" xfId="0" applyNumberFormat="1" applyFont="1" applyFill="1" applyBorder="1" applyAlignment="1">
      <alignment horizontal="center" vertical="center" wrapText="1"/>
    </xf>
    <xf numFmtId="0" fontId="3" fillId="16" borderId="3" xfId="0" applyFont="1" applyFill="1" applyBorder="1" applyAlignment="1">
      <alignment horizontal="left" vertical="top" wrapText="1"/>
    </xf>
    <xf numFmtId="0" fontId="1" fillId="0" borderId="11" xfId="0" quotePrefix="1" applyFont="1" applyFill="1" applyBorder="1" applyAlignment="1">
      <alignment horizontal="center" vertical="center" wrapText="1"/>
    </xf>
    <xf numFmtId="0" fontId="5" fillId="16" borderId="2" xfId="0" applyFont="1" applyFill="1" applyBorder="1" applyAlignment="1">
      <alignment horizontal="left" vertical="center" wrapText="1"/>
    </xf>
    <xf numFmtId="0" fontId="4" fillId="16" borderId="2" xfId="0" quotePrefix="1" applyFont="1" applyFill="1" applyBorder="1" applyAlignment="1">
      <alignment horizontal="left" vertical="center" wrapText="1"/>
    </xf>
    <xf numFmtId="4" fontId="4" fillId="16" borderId="31" xfId="0" applyNumberFormat="1" applyFont="1" applyFill="1" applyBorder="1" applyAlignment="1">
      <alignment horizontal="center" vertical="center" wrapText="1"/>
    </xf>
    <xf numFmtId="168" fontId="5" fillId="16" borderId="2" xfId="0" applyNumberFormat="1" applyFont="1" applyFill="1" applyBorder="1" applyAlignment="1">
      <alignment horizontal="center" vertical="center"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8"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2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a:extLst>
            <a:ext uri="{FF2B5EF4-FFF2-40B4-BE49-F238E27FC236}">
              <a16:creationId xmlns:a16="http://schemas.microsoft.com/office/drawing/2014/main" id="{00000000-0008-0000-0000-0000779C0300}"/>
            </a:ext>
          </a:extLst>
        </xdr:cNvPr>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a:extLst>
            <a:ext uri="{FF2B5EF4-FFF2-40B4-BE49-F238E27FC236}">
              <a16:creationId xmlns:a16="http://schemas.microsoft.com/office/drawing/2014/main" id="{00000000-0008-0000-0100-0000AE900300}"/>
            </a:ext>
          </a:extLst>
        </xdr:cNvPr>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 name="Line 2">
          <a:extLst>
            <a:ext uri="{FF2B5EF4-FFF2-40B4-BE49-F238E27FC236}">
              <a16:creationId xmlns:a16="http://schemas.microsoft.com/office/drawing/2014/main" id="{72BCD8EA-62B6-4FB8-B526-B03C352041A5}"/>
            </a:ext>
          </a:extLst>
        </xdr:cNvPr>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49</xdr:col>
          <xdr:colOff>0</xdr:colOff>
          <xdr:row>2</xdr:row>
          <xdr:rowOff>142875</xdr:rowOff>
        </xdr:from>
        <xdr:to>
          <xdr:col>50</xdr:col>
          <xdr:colOff>590550</xdr:colOff>
          <xdr:row>7</xdr:row>
          <xdr:rowOff>95250</xdr:rowOff>
        </xdr:to>
        <xdr:sp macro="" textlink="">
          <xdr:nvSpPr>
            <xdr:cNvPr id="280577" name="Object 1" hidden="1">
              <a:extLst>
                <a:ext uri="{63B3BB69-23CF-44E3-9099-C40C66FF867C}">
                  <a14:compatExt spid="_x0000_s280577"/>
                </a:ext>
                <a:ext uri="{FF2B5EF4-FFF2-40B4-BE49-F238E27FC236}">
                  <a16:creationId xmlns:a16="http://schemas.microsoft.com/office/drawing/2014/main" id="{70B14DCD-E0CE-47F0-AD6D-AE9CB9371E4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9</xdr:row>
          <xdr:rowOff>0</xdr:rowOff>
        </xdr:from>
        <xdr:to>
          <xdr:col>50</xdr:col>
          <xdr:colOff>914400</xdr:colOff>
          <xdr:row>10</xdr:row>
          <xdr:rowOff>228600</xdr:rowOff>
        </xdr:to>
        <xdr:sp macro="" textlink="">
          <xdr:nvSpPr>
            <xdr:cNvPr id="281159" name="Object 583" hidden="1">
              <a:extLst>
                <a:ext uri="{63B3BB69-23CF-44E3-9099-C40C66FF867C}">
                  <a14:compatExt spid="_x0000_s28115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oneCellAnchor>
    <xdr:from>
      <xdr:col>51</xdr:col>
      <xdr:colOff>138546</xdr:colOff>
      <xdr:row>6</xdr:row>
      <xdr:rowOff>173182</xdr:rowOff>
    </xdr:from>
    <xdr:ext cx="184731" cy="264560"/>
    <xdr:sp macro="" textlink="">
      <xdr:nvSpPr>
        <xdr:cNvPr id="3" name="TextBox 2"/>
        <xdr:cNvSpPr txBox="1"/>
      </xdr:nvSpPr>
      <xdr:spPr>
        <a:xfrm>
          <a:off x="25682864" y="14460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mc:AlternateContent xmlns:mc="http://schemas.openxmlformats.org/markup-compatibility/2006">
    <mc:Choice xmlns:a14="http://schemas.microsoft.com/office/drawing/2010/main" Requires="a14">
      <xdr:twoCellAnchor editAs="oneCell">
        <xdr:from>
          <xdr:col>51</xdr:col>
          <xdr:colOff>342900</xdr:colOff>
          <xdr:row>5</xdr:row>
          <xdr:rowOff>190500</xdr:rowOff>
        </xdr:from>
        <xdr:to>
          <xdr:col>52</xdr:col>
          <xdr:colOff>123825</xdr:colOff>
          <xdr:row>9</xdr:row>
          <xdr:rowOff>114300</xdr:rowOff>
        </xdr:to>
        <xdr:sp macro="" textlink="">
          <xdr:nvSpPr>
            <xdr:cNvPr id="281161" name="Object 585" hidden="1">
              <a:extLst>
                <a:ext uri="{63B3BB69-23CF-44E3-9099-C40C66FF867C}">
                  <a14:compatExt spid="_x0000_s28116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a:extLst>
            <a:ext uri="{FF2B5EF4-FFF2-40B4-BE49-F238E27FC236}">
              <a16:creationId xmlns:a16="http://schemas.microsoft.com/office/drawing/2014/main" id="{00000000-0008-0000-0300-000006000000}"/>
            </a:ext>
          </a:extLst>
        </xdr:cNvPr>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Excel\MyExcel.xla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definedNames>
      <definedName name="VND"/>
    </defined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1.emf"/><Relationship Id="rId10" Type="http://schemas.openxmlformats.org/officeDocument/2006/relationships/comments" Target="../comments3.xml"/><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3"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044" t="s">
        <v>1072</v>
      </c>
      <c r="B1" s="1044"/>
      <c r="C1" s="1044"/>
      <c r="D1" s="1044"/>
      <c r="E1" s="1044"/>
      <c r="F1" s="1044"/>
      <c r="G1" s="1044"/>
      <c r="H1" s="1044"/>
      <c r="I1" s="1044"/>
      <c r="J1" s="1044"/>
      <c r="K1" s="1044"/>
      <c r="L1" s="1044"/>
      <c r="M1" s="1044"/>
      <c r="N1" s="1044"/>
      <c r="O1" s="1044"/>
      <c r="Q1" s="6"/>
      <c r="R1" s="326"/>
      <c r="U1" s="2"/>
      <c r="AK1" s="1045" t="s">
        <v>1073</v>
      </c>
      <c r="AL1" s="1045"/>
      <c r="AM1" s="1045"/>
      <c r="AN1" s="1045"/>
      <c r="AO1" s="1045"/>
      <c r="AP1" s="1045"/>
      <c r="AQ1" s="1045"/>
      <c r="AR1" s="1045"/>
      <c r="AS1" s="1045"/>
      <c r="AT1" s="1045"/>
      <c r="AU1" s="1045"/>
      <c r="AV1" s="10"/>
    </row>
    <row r="2" spans="1:58" x14ac:dyDescent="0.25">
      <c r="A2" s="1044" t="s">
        <v>1131</v>
      </c>
      <c r="B2" s="1044"/>
      <c r="C2" s="1044"/>
      <c r="D2" s="1044"/>
      <c r="E2" s="1044"/>
      <c r="F2" s="1044"/>
      <c r="G2" s="1044"/>
      <c r="H2" s="1044"/>
      <c r="I2" s="1044"/>
      <c r="J2" s="1044"/>
      <c r="K2" s="1044"/>
      <c r="L2" s="1044"/>
      <c r="M2" s="1044"/>
      <c r="N2" s="1044"/>
      <c r="O2" s="1044"/>
      <c r="Q2" s="6"/>
      <c r="R2" s="326"/>
      <c r="U2" s="2"/>
      <c r="X2" s="2"/>
      <c r="Y2" s="2"/>
      <c r="Z2" s="2"/>
      <c r="AA2" s="2"/>
      <c r="AB2" s="2"/>
      <c r="AC2" s="2"/>
      <c r="AD2" s="2"/>
      <c r="AK2" s="1046" t="s">
        <v>1285</v>
      </c>
      <c r="AL2" s="1046"/>
      <c r="AM2" s="1046"/>
      <c r="AN2" s="1046"/>
      <c r="AO2" s="1046"/>
      <c r="AP2" s="1046"/>
      <c r="AQ2" s="1046"/>
      <c r="AR2" s="1046"/>
      <c r="AS2" s="1046"/>
      <c r="AT2" s="1046"/>
      <c r="AU2" s="1046"/>
      <c r="AV2" s="10"/>
    </row>
    <row r="3" spans="1:58" ht="18" customHeight="1" x14ac:dyDescent="0.25">
      <c r="A3" s="1044" t="s">
        <v>1369</v>
      </c>
      <c r="B3" s="1044"/>
      <c r="C3" s="1044"/>
      <c r="D3" s="1044"/>
      <c r="E3" s="1044"/>
      <c r="F3" s="1044"/>
      <c r="G3" s="1044"/>
      <c r="H3" s="1044"/>
      <c r="I3" s="1044"/>
      <c r="J3" s="1044"/>
      <c r="K3" s="1044"/>
      <c r="L3" s="1044"/>
      <c r="M3" s="1044"/>
      <c r="N3" s="1044"/>
      <c r="O3" s="1044"/>
      <c r="Q3" s="6"/>
      <c r="R3" s="326"/>
      <c r="X3" s="9"/>
      <c r="Y3" s="9"/>
      <c r="AK3" s="1046" t="s">
        <v>1286</v>
      </c>
      <c r="AL3" s="1046"/>
      <c r="AM3" s="1046"/>
      <c r="AN3" s="1046"/>
      <c r="AO3" s="1046"/>
      <c r="AP3" s="1046"/>
      <c r="AQ3" s="1046"/>
      <c r="AR3" s="1046"/>
      <c r="AS3" s="1046"/>
      <c r="AT3" s="1046"/>
      <c r="AU3" s="1046"/>
    </row>
    <row r="4" spans="1:58" ht="12" customHeight="1" x14ac:dyDescent="0.35">
      <c r="A4" s="72"/>
      <c r="B4" s="72"/>
      <c r="Q4" s="6"/>
      <c r="R4" s="326"/>
      <c r="U4" s="1047" t="s">
        <v>1064</v>
      </c>
      <c r="V4" s="1047"/>
      <c r="W4" s="1047"/>
      <c r="X4" s="1047"/>
      <c r="Y4" s="1047"/>
      <c r="Z4" s="1047"/>
      <c r="AA4" s="1047"/>
      <c r="AB4" s="1047"/>
      <c r="AC4" s="1047"/>
      <c r="AD4" s="1047"/>
      <c r="AE4" s="1047"/>
      <c r="AF4" s="1047"/>
      <c r="AG4" s="1047"/>
      <c r="AH4" s="1047"/>
      <c r="AI4" s="1047"/>
      <c r="AJ4" s="1047"/>
      <c r="AK4" s="1047"/>
      <c r="AL4" s="385"/>
      <c r="AM4" s="385"/>
    </row>
    <row r="5" spans="1:58" ht="18.75" customHeight="1" x14ac:dyDescent="0.35">
      <c r="A5" s="11"/>
      <c r="B5" s="11"/>
      <c r="C5" s="475"/>
      <c r="D5" s="1"/>
      <c r="E5" s="260"/>
      <c r="F5" s="1"/>
      <c r="G5" s="4"/>
      <c r="H5" s="4"/>
      <c r="I5" s="4"/>
      <c r="J5" s="1"/>
      <c r="K5" s="4"/>
      <c r="L5" s="1"/>
      <c r="M5" s="1"/>
      <c r="N5" s="421"/>
      <c r="U5" s="1047"/>
      <c r="V5" s="1047"/>
      <c r="W5" s="1047"/>
      <c r="X5" s="1047"/>
      <c r="Y5" s="1047"/>
      <c r="Z5" s="1047"/>
      <c r="AA5" s="1047"/>
      <c r="AB5" s="1047"/>
      <c r="AC5" s="1047"/>
      <c r="AD5" s="1047"/>
      <c r="AE5" s="1047"/>
      <c r="AF5" s="1047"/>
      <c r="AG5" s="1047"/>
      <c r="AH5" s="1047"/>
      <c r="AI5" s="1047"/>
      <c r="AJ5" s="1047"/>
      <c r="AK5" s="1047"/>
      <c r="AL5" s="385"/>
      <c r="AM5" s="385"/>
      <c r="AQ5" s="1048" t="s">
        <v>1074</v>
      </c>
      <c r="AR5" s="1048"/>
      <c r="AS5" s="1048"/>
      <c r="AT5" s="1048"/>
      <c r="AU5" s="1048"/>
      <c r="AV5" s="11"/>
    </row>
    <row r="6" spans="1:58" ht="19.5" customHeight="1" x14ac:dyDescent="0.3">
      <c r="A6" s="11"/>
      <c r="B6" s="11"/>
      <c r="C6" s="475"/>
      <c r="D6" s="1"/>
      <c r="E6" s="260"/>
      <c r="F6" s="1"/>
      <c r="G6" s="4"/>
      <c r="H6" s="4"/>
      <c r="I6" s="4"/>
      <c r="J6" s="1"/>
      <c r="K6" s="4"/>
      <c r="L6" s="1"/>
      <c r="M6" s="1"/>
      <c r="N6" s="421"/>
      <c r="Q6" s="1"/>
      <c r="R6" s="328"/>
      <c r="U6" s="1049" t="s">
        <v>1477</v>
      </c>
      <c r="V6" s="1049"/>
      <c r="W6" s="1049"/>
      <c r="X6" s="1049"/>
      <c r="Y6" s="1049"/>
      <c r="Z6" s="1049"/>
      <c r="AA6" s="1049"/>
      <c r="AB6" s="1049"/>
      <c r="AC6" s="1049"/>
      <c r="AD6" s="1049"/>
      <c r="AE6" s="1049"/>
      <c r="AF6" s="1049"/>
      <c r="AG6" s="1049"/>
      <c r="AH6" s="1049"/>
      <c r="AI6" s="1049"/>
      <c r="AJ6" s="1049"/>
      <c r="AK6" s="1049"/>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1050" t="s">
        <v>691</v>
      </c>
      <c r="B9" s="59"/>
      <c r="C9" s="1051" t="s">
        <v>1031</v>
      </c>
      <c r="D9" s="1050" t="s">
        <v>699</v>
      </c>
      <c r="E9" s="1052" t="s">
        <v>1054</v>
      </c>
      <c r="F9" s="59"/>
      <c r="G9" s="1054" t="s">
        <v>22</v>
      </c>
      <c r="H9" s="141"/>
      <c r="I9" s="141" t="s">
        <v>285</v>
      </c>
      <c r="J9" s="1054" t="s">
        <v>178</v>
      </c>
      <c r="K9" s="1055" t="s">
        <v>1311</v>
      </c>
      <c r="L9" s="274" t="s">
        <v>69</v>
      </c>
      <c r="M9" s="1057" t="s">
        <v>1031</v>
      </c>
      <c r="N9" s="1058" t="s">
        <v>824</v>
      </c>
      <c r="O9" s="1059" t="s">
        <v>174</v>
      </c>
      <c r="P9" s="1060" t="s">
        <v>700</v>
      </c>
      <c r="Q9" s="1061" t="s">
        <v>1056</v>
      </c>
      <c r="R9" s="1062"/>
      <c r="S9" s="1062"/>
      <c r="T9" s="1062"/>
      <c r="U9" s="1062"/>
      <c r="V9" s="1062"/>
      <c r="W9" s="1062"/>
      <c r="X9" s="1062"/>
      <c r="Y9" s="1063" t="s">
        <v>827</v>
      </c>
      <c r="Z9" s="1075" t="s">
        <v>718</v>
      </c>
      <c r="AA9" s="1077" t="s">
        <v>1061</v>
      </c>
      <c r="AB9" s="1075" t="s">
        <v>828</v>
      </c>
      <c r="AC9" s="1075" t="s">
        <v>829</v>
      </c>
      <c r="AD9" s="1075" t="s">
        <v>830</v>
      </c>
      <c r="AE9" s="1050" t="s">
        <v>717</v>
      </c>
      <c r="AF9" s="1050"/>
      <c r="AG9" s="1050"/>
      <c r="AH9" s="1050"/>
      <c r="AI9" s="1050"/>
      <c r="AJ9" s="1081" t="s">
        <v>1091</v>
      </c>
      <c r="AK9" s="1081"/>
      <c r="AL9" s="1082" t="s">
        <v>1108</v>
      </c>
      <c r="AM9" s="1083"/>
      <c r="AN9" s="1073" t="s">
        <v>678</v>
      </c>
      <c r="AO9" s="1084" t="s">
        <v>523</v>
      </c>
      <c r="AP9" s="1073" t="s">
        <v>1092</v>
      </c>
      <c r="AQ9" s="1074" t="s">
        <v>546</v>
      </c>
      <c r="AR9" s="1065" t="s">
        <v>644</v>
      </c>
      <c r="AS9" s="1066" t="s">
        <v>1032</v>
      </c>
      <c r="AT9" s="1068" t="s">
        <v>1057</v>
      </c>
      <c r="AU9" s="1068"/>
      <c r="AV9" s="85"/>
    </row>
    <row r="10" spans="1:58" s="14" customFormat="1" ht="42" x14ac:dyDescent="0.25">
      <c r="A10" s="1050"/>
      <c r="B10" s="59"/>
      <c r="C10" s="1051"/>
      <c r="D10" s="1050"/>
      <c r="E10" s="1053"/>
      <c r="F10" s="59"/>
      <c r="G10" s="1054"/>
      <c r="H10" s="141"/>
      <c r="I10" s="141" t="s">
        <v>286</v>
      </c>
      <c r="J10" s="1054"/>
      <c r="K10" s="1056"/>
      <c r="L10" s="274" t="s">
        <v>131</v>
      </c>
      <c r="M10" s="1057"/>
      <c r="N10" s="1058"/>
      <c r="O10" s="1059"/>
      <c r="P10" s="1060"/>
      <c r="Q10" s="299" t="s">
        <v>825</v>
      </c>
      <c r="R10" s="329" t="s">
        <v>1062</v>
      </c>
      <c r="S10" s="379" t="s">
        <v>1033</v>
      </c>
      <c r="T10" s="301" t="s">
        <v>1055</v>
      </c>
      <c r="U10" s="300"/>
      <c r="V10" s="302" t="s">
        <v>1123</v>
      </c>
      <c r="W10" s="270" t="s">
        <v>1077</v>
      </c>
      <c r="X10" s="303" t="s">
        <v>826</v>
      </c>
      <c r="Y10" s="1064"/>
      <c r="Z10" s="1076"/>
      <c r="AA10" s="1078"/>
      <c r="AB10" s="1076"/>
      <c r="AC10" s="1076"/>
      <c r="AD10" s="1076"/>
      <c r="AE10" s="60" t="s">
        <v>747</v>
      </c>
      <c r="AF10" s="60" t="s">
        <v>564</v>
      </c>
      <c r="AG10" s="57" t="s">
        <v>521</v>
      </c>
      <c r="AH10" s="57" t="s">
        <v>831</v>
      </c>
      <c r="AI10" s="57" t="s">
        <v>716</v>
      </c>
      <c r="AJ10" s="60" t="s">
        <v>719</v>
      </c>
      <c r="AK10" s="60" t="s">
        <v>718</v>
      </c>
      <c r="AL10" s="60" t="s">
        <v>719</v>
      </c>
      <c r="AM10" s="60" t="s">
        <v>718</v>
      </c>
      <c r="AN10" s="1073"/>
      <c r="AO10" s="1084"/>
      <c r="AP10" s="1073"/>
      <c r="AQ10" s="1074"/>
      <c r="AR10" s="1065"/>
      <c r="AS10" s="1067"/>
      <c r="AT10" s="1068"/>
      <c r="AU10" s="1068"/>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69">
        <v>27</v>
      </c>
      <c r="AU11" s="1069"/>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1"/>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8"/>
      <c r="AH13" s="290"/>
      <c r="AI13" s="290"/>
      <c r="AJ13" s="292"/>
      <c r="AK13" s="290"/>
      <c r="AL13" s="290"/>
      <c r="AM13" s="290"/>
      <c r="AN13" s="494"/>
      <c r="AO13" s="644"/>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4">
        <v>0.25</v>
      </c>
      <c r="AP14" s="652">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1" t="s">
        <v>37</v>
      </c>
      <c r="B35" s="681" t="str">
        <f>VLOOKUP(D35,[1]LuongBC_T01!$B$9:$C$292,2,FALSE)</f>
        <v>0016100006592001</v>
      </c>
      <c r="C35" s="762" t="s">
        <v>849</v>
      </c>
      <c r="D35" s="682" t="s">
        <v>1151</v>
      </c>
      <c r="E35" s="683" t="s">
        <v>1464</v>
      </c>
      <c r="F35" s="682" t="s">
        <v>549</v>
      </c>
      <c r="G35" s="684"/>
      <c r="H35" s="684" t="s">
        <v>283</v>
      </c>
      <c r="I35" s="684" t="s">
        <v>282</v>
      </c>
      <c r="J35" s="682" t="s">
        <v>199</v>
      </c>
      <c r="K35" s="684" t="str">
        <f>VLOOKUP(D35,[2]T3!$B$2:$D$328,3,FALSE)</f>
        <v>024257826</v>
      </c>
      <c r="L35" s="699" t="s">
        <v>82</v>
      </c>
      <c r="M35" s="699" t="s">
        <v>849</v>
      </c>
      <c r="N35" s="685" t="s">
        <v>1438</v>
      </c>
      <c r="O35" s="686" t="s">
        <v>692</v>
      </c>
      <c r="P35" s="687">
        <v>6</v>
      </c>
      <c r="Q35" s="688">
        <v>4.32</v>
      </c>
      <c r="R35" s="689">
        <f t="shared" si="11"/>
        <v>1.6901999999999999</v>
      </c>
      <c r="S35" s="690"/>
      <c r="T35" s="689">
        <f t="shared" si="12"/>
        <v>0</v>
      </c>
      <c r="U35" s="691">
        <f t="shared" si="0"/>
        <v>0</v>
      </c>
      <c r="V35" s="684">
        <v>0.45</v>
      </c>
      <c r="W35" s="692">
        <v>0.26</v>
      </c>
      <c r="X35" s="693">
        <f t="shared" si="13"/>
        <v>1.2402</v>
      </c>
      <c r="Y35" s="693">
        <f t="shared" si="1"/>
        <v>6.0102000000000002</v>
      </c>
      <c r="Z35" s="694">
        <f t="shared" si="14"/>
        <v>8955198</v>
      </c>
      <c r="AA35" s="694"/>
      <c r="AB35" s="694">
        <f t="shared" si="2"/>
        <v>0</v>
      </c>
      <c r="AC35" s="694">
        <f t="shared" si="3"/>
        <v>0</v>
      </c>
      <c r="AD35" s="694">
        <f t="shared" si="4"/>
        <v>8955198</v>
      </c>
      <c r="AE35" s="695">
        <f t="shared" si="5"/>
        <v>716415.84</v>
      </c>
      <c r="AF35" s="695">
        <f t="shared" si="6"/>
        <v>134327.97</v>
      </c>
      <c r="AG35" s="695">
        <f t="shared" si="7"/>
        <v>89551.98</v>
      </c>
      <c r="AH35" s="695"/>
      <c r="AI35" s="695">
        <f t="shared" si="15"/>
        <v>940295.78999999992</v>
      </c>
      <c r="AJ35" s="700"/>
      <c r="AK35" s="696">
        <f t="shared" si="16"/>
        <v>0</v>
      </c>
      <c r="AL35" s="696"/>
      <c r="AM35" s="696"/>
      <c r="AN35" s="763">
        <f t="shared" si="8"/>
        <v>4.7700000000000005</v>
      </c>
      <c r="AO35" s="764">
        <v>0.25</v>
      </c>
      <c r="AP35" s="765">
        <f t="shared" si="17"/>
        <v>1.1924999999999999</v>
      </c>
      <c r="AQ35" s="695">
        <f t="shared" si="18"/>
        <v>1776825</v>
      </c>
      <c r="AR35" s="695"/>
      <c r="AS35" s="695">
        <f t="shared" si="9"/>
        <v>9791727</v>
      </c>
      <c r="AT35" s="697" t="str">
        <f t="shared" si="10"/>
        <v>22</v>
      </c>
      <c r="AU35" s="698"/>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5" t="s">
        <v>317</v>
      </c>
      <c r="B39" s="725" t="str">
        <f>VLOOKUP(D39,[1]LuongBC_T01!$B$9:$C$292,2,FALSE)</f>
        <v>0016100006708007</v>
      </c>
      <c r="C39" s="726" t="s">
        <v>856</v>
      </c>
      <c r="D39" s="727" t="s">
        <v>1156</v>
      </c>
      <c r="E39" s="728" t="s">
        <v>1250</v>
      </c>
      <c r="F39" s="727" t="s">
        <v>549</v>
      </c>
      <c r="G39" s="729"/>
      <c r="H39" s="729" t="s">
        <v>283</v>
      </c>
      <c r="I39" s="729" t="s">
        <v>283</v>
      </c>
      <c r="J39" s="727" t="s">
        <v>214</v>
      </c>
      <c r="K39" s="729" t="str">
        <f>VLOOKUP(D39,[2]T3!$B$2:$D$328,3,FALSE)</f>
        <v>022688264</v>
      </c>
      <c r="L39" s="730" t="s">
        <v>96</v>
      </c>
      <c r="M39" s="730" t="s">
        <v>856</v>
      </c>
      <c r="N39" s="731" t="s">
        <v>807</v>
      </c>
      <c r="O39" s="732" t="s">
        <v>692</v>
      </c>
      <c r="P39" s="733">
        <v>7</v>
      </c>
      <c r="Q39" s="734">
        <v>4.9800000000000004</v>
      </c>
      <c r="R39" s="735">
        <f t="shared" si="11"/>
        <v>1.2437</v>
      </c>
      <c r="S39" s="736"/>
      <c r="T39" s="735">
        <f t="shared" si="12"/>
        <v>0</v>
      </c>
      <c r="U39" s="737">
        <f t="shared" si="0"/>
        <v>0</v>
      </c>
      <c r="V39" s="729">
        <v>0.25</v>
      </c>
      <c r="W39" s="738">
        <v>0.19</v>
      </c>
      <c r="X39" s="739">
        <f t="shared" si="13"/>
        <v>0.99370000000000003</v>
      </c>
      <c r="Y39" s="739">
        <f t="shared" si="1"/>
        <v>6.2237</v>
      </c>
      <c r="Z39" s="740">
        <f t="shared" si="14"/>
        <v>9273313</v>
      </c>
      <c r="AA39" s="740">
        <v>4</v>
      </c>
      <c r="AB39" s="740">
        <f t="shared" si="2"/>
        <v>1545552.1666666667</v>
      </c>
      <c r="AC39" s="740">
        <v>0</v>
      </c>
      <c r="AD39" s="740">
        <f t="shared" si="4"/>
        <v>7727761</v>
      </c>
      <c r="AE39" s="741">
        <f t="shared" si="5"/>
        <v>741865.04</v>
      </c>
      <c r="AF39" s="741">
        <f t="shared" si="6"/>
        <v>139099.69500000001</v>
      </c>
      <c r="AG39" s="741">
        <f t="shared" si="7"/>
        <v>92733.13</v>
      </c>
      <c r="AH39" s="741"/>
      <c r="AI39" s="741">
        <f t="shared" si="15"/>
        <v>973697.86500000011</v>
      </c>
      <c r="AJ39" s="742"/>
      <c r="AK39" s="743">
        <f t="shared" si="16"/>
        <v>0</v>
      </c>
      <c r="AL39" s="743"/>
      <c r="AM39" s="743"/>
      <c r="AN39" s="744">
        <f t="shared" si="8"/>
        <v>5.23</v>
      </c>
      <c r="AO39" s="745">
        <v>0.25</v>
      </c>
      <c r="AP39" s="746">
        <f t="shared" si="17"/>
        <v>1.3075000000000001</v>
      </c>
      <c r="AQ39" s="741">
        <f t="shared" si="18"/>
        <v>1948175</v>
      </c>
      <c r="AR39" s="741"/>
      <c r="AS39" s="741">
        <f t="shared" si="9"/>
        <v>8702238</v>
      </c>
      <c r="AT39" s="747" t="str">
        <f t="shared" si="10"/>
        <v>26</v>
      </c>
      <c r="AU39" s="748"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69">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69">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69">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69">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69">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5">
        <v>0.45</v>
      </c>
      <c r="AP62" s="636">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5"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1" t="s">
        <v>374</v>
      </c>
      <c r="B83" s="681" t="str">
        <f>VLOOKUP(D83,[1]LuongBC_T01!$B$9:$C$292,2,FALSE)</f>
        <v>0016100006574003</v>
      </c>
      <c r="C83" s="762" t="s">
        <v>1087</v>
      </c>
      <c r="D83" s="682" t="s">
        <v>767</v>
      </c>
      <c r="E83" s="683" t="s">
        <v>1252</v>
      </c>
      <c r="F83" s="682"/>
      <c r="G83" s="684" t="s">
        <v>25</v>
      </c>
      <c r="H83" s="684"/>
      <c r="I83" s="684"/>
      <c r="J83" s="682"/>
      <c r="K83" s="684" t="str">
        <f>VLOOKUP(D83,[2]T3!$B$2:$D$328,3,FALSE)</f>
        <v>022931960</v>
      </c>
      <c r="L83" s="766" t="s">
        <v>790</v>
      </c>
      <c r="M83" s="766" t="s">
        <v>1087</v>
      </c>
      <c r="N83" s="685" t="s">
        <v>1438</v>
      </c>
      <c r="O83" s="686" t="s">
        <v>692</v>
      </c>
      <c r="P83" s="687">
        <v>7</v>
      </c>
      <c r="Q83" s="688">
        <v>4.6500000000000004</v>
      </c>
      <c r="R83" s="689">
        <f t="shared" si="30"/>
        <v>0.88349999999999995</v>
      </c>
      <c r="S83" s="690"/>
      <c r="T83" s="689">
        <f t="shared" si="31"/>
        <v>0</v>
      </c>
      <c r="U83" s="691">
        <f t="shared" si="20"/>
        <v>0</v>
      </c>
      <c r="V83" s="704"/>
      <c r="W83" s="692">
        <v>0.19</v>
      </c>
      <c r="X83" s="693">
        <f t="shared" si="32"/>
        <v>0.88349999999999995</v>
      </c>
      <c r="Y83" s="693">
        <f t="shared" si="21"/>
        <v>5.5335000000000001</v>
      </c>
      <c r="Z83" s="694">
        <f t="shared" si="33"/>
        <v>8244915</v>
      </c>
      <c r="AA83" s="694"/>
      <c r="AB83" s="694">
        <f t="shared" si="22"/>
        <v>0</v>
      </c>
      <c r="AC83" s="694">
        <f t="shared" si="19"/>
        <v>0</v>
      </c>
      <c r="AD83" s="694">
        <f t="shared" si="23"/>
        <v>8244915</v>
      </c>
      <c r="AE83" s="695">
        <f t="shared" si="24"/>
        <v>659593.20000000007</v>
      </c>
      <c r="AF83" s="695">
        <f t="shared" si="25"/>
        <v>123673.72499999999</v>
      </c>
      <c r="AG83" s="695">
        <f t="shared" si="26"/>
        <v>82449.150000000009</v>
      </c>
      <c r="AH83" s="695"/>
      <c r="AI83" s="695">
        <f t="shared" si="34"/>
        <v>865716.07500000007</v>
      </c>
      <c r="AJ83" s="761"/>
      <c r="AK83" s="696">
        <f t="shared" si="35"/>
        <v>0</v>
      </c>
      <c r="AL83" s="696"/>
      <c r="AM83" s="696"/>
      <c r="AN83" s="763">
        <f t="shared" si="27"/>
        <v>4.6500000000000004</v>
      </c>
      <c r="AO83" s="764">
        <v>0.25</v>
      </c>
      <c r="AP83" s="765">
        <f t="shared" si="36"/>
        <v>1.1625000000000001</v>
      </c>
      <c r="AQ83" s="695">
        <f t="shared" si="37"/>
        <v>1732125</v>
      </c>
      <c r="AR83" s="695"/>
      <c r="AS83" s="695">
        <f t="shared" si="28"/>
        <v>9111324</v>
      </c>
      <c r="AT83" s="697" t="str">
        <f t="shared" si="29"/>
        <v>70</v>
      </c>
      <c r="AU83" s="698"/>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5"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7"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8">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19"/>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8"/>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70" t="s">
        <v>23</v>
      </c>
      <c r="E88" s="1071"/>
      <c r="F88" s="1071"/>
      <c r="G88" s="1071"/>
      <c r="H88" s="1071"/>
      <c r="I88" s="1071"/>
      <c r="J88" s="1071"/>
      <c r="K88" s="1071"/>
      <c r="L88" s="1071"/>
      <c r="M88" s="1071"/>
      <c r="N88" s="1071"/>
      <c r="O88" s="1071"/>
      <c r="P88" s="1072"/>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39">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39">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39">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39"/>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59"/>
      <c r="D93" s="169" t="s">
        <v>1439</v>
      </c>
      <c r="E93" s="263" t="s">
        <v>1094</v>
      </c>
      <c r="F93" s="220"/>
      <c r="G93" s="220"/>
      <c r="H93" s="220"/>
      <c r="I93" s="220"/>
      <c r="J93" s="220"/>
      <c r="K93" s="168"/>
      <c r="L93" s="490" t="s">
        <v>1448</v>
      </c>
      <c r="M93" s="170"/>
      <c r="N93" s="661"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39">
        <v>0.25</v>
      </c>
      <c r="AP93" s="185">
        <f t="shared" si="51"/>
        <v>0.49730000000000002</v>
      </c>
      <c r="AQ93" s="178">
        <f t="shared" si="52"/>
        <v>740977</v>
      </c>
      <c r="AR93" s="178"/>
      <c r="AS93" s="178">
        <f t="shared" si="53"/>
        <v>3393408</v>
      </c>
      <c r="AT93" s="469"/>
      <c r="AU93" s="195"/>
      <c r="AV93" s="658"/>
      <c r="AW93" s="29"/>
      <c r="AX93" s="29"/>
      <c r="AY93" s="29"/>
      <c r="AZ93" s="29"/>
      <c r="BA93" s="29"/>
      <c r="BB93" s="29"/>
      <c r="BC93" s="29"/>
      <c r="BD93" s="29"/>
      <c r="BE93" s="29"/>
      <c r="BF93" s="29"/>
    </row>
    <row r="94" spans="1:58" s="189" customFormat="1" ht="37.5" customHeight="1" x14ac:dyDescent="0.25">
      <c r="A94" s="168" t="s">
        <v>1423</v>
      </c>
      <c r="B94" s="168"/>
      <c r="C94" s="659"/>
      <c r="D94" s="169" t="s">
        <v>1440</v>
      </c>
      <c r="E94" s="263" t="s">
        <v>1441</v>
      </c>
      <c r="F94" s="220"/>
      <c r="G94" s="220"/>
      <c r="H94" s="220"/>
      <c r="I94" s="220"/>
      <c r="J94" s="220"/>
      <c r="K94" s="168"/>
      <c r="L94" s="490" t="s">
        <v>1444</v>
      </c>
      <c r="M94" s="170"/>
      <c r="N94" s="661"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39">
        <v>0.25</v>
      </c>
      <c r="AP94" s="185">
        <f t="shared" si="51"/>
        <v>0.56730000000000003</v>
      </c>
      <c r="AQ94" s="178">
        <f t="shared" si="52"/>
        <v>845277</v>
      </c>
      <c r="AR94" s="178"/>
      <c r="AS94" s="178">
        <f t="shared" si="53"/>
        <v>3871102</v>
      </c>
      <c r="AT94" s="469"/>
      <c r="AU94" s="195"/>
      <c r="AV94" s="658"/>
      <c r="AW94" s="29"/>
      <c r="AX94" s="29"/>
      <c r="AY94" s="29"/>
      <c r="AZ94" s="29"/>
      <c r="BA94" s="29"/>
      <c r="BB94" s="29"/>
      <c r="BC94" s="29"/>
      <c r="BD94" s="29"/>
      <c r="BE94" s="29"/>
      <c r="BF94" s="29"/>
    </row>
    <row r="95" spans="1:58" s="189" customFormat="1" ht="37.5" customHeight="1" x14ac:dyDescent="0.25">
      <c r="A95" s="168" t="s">
        <v>382</v>
      </c>
      <c r="B95" s="168"/>
      <c r="C95" s="659"/>
      <c r="D95" s="169" t="s">
        <v>1442</v>
      </c>
      <c r="E95" s="263" t="s">
        <v>1377</v>
      </c>
      <c r="F95" s="220"/>
      <c r="G95" s="220"/>
      <c r="H95" s="220"/>
      <c r="I95" s="220"/>
      <c r="J95" s="220"/>
      <c r="K95" s="168"/>
      <c r="L95" s="490" t="s">
        <v>1446</v>
      </c>
      <c r="M95" s="170"/>
      <c r="N95" s="661"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39">
        <v>0.25</v>
      </c>
      <c r="AP95" s="185">
        <f t="shared" si="51"/>
        <v>0.49730000000000002</v>
      </c>
      <c r="AQ95" s="178">
        <f t="shared" si="52"/>
        <v>740977</v>
      </c>
      <c r="AR95" s="178"/>
      <c r="AS95" s="178">
        <f t="shared" si="53"/>
        <v>3393408</v>
      </c>
      <c r="AT95" s="469"/>
      <c r="AU95" s="195"/>
      <c r="AV95" s="658"/>
      <c r="AW95" s="29"/>
      <c r="AX95" s="29"/>
      <c r="AY95" s="29"/>
      <c r="AZ95" s="29"/>
      <c r="BA95" s="29"/>
      <c r="BB95" s="29"/>
      <c r="BC95" s="29"/>
      <c r="BD95" s="29"/>
      <c r="BE95" s="29"/>
      <c r="BF95" s="29"/>
    </row>
    <row r="96" spans="1:58" s="189" customFormat="1" ht="37.5" customHeight="1" x14ac:dyDescent="0.25">
      <c r="A96" s="168" t="s">
        <v>1419</v>
      </c>
      <c r="B96" s="168"/>
      <c r="C96" s="720"/>
      <c r="D96" s="544" t="s">
        <v>1456</v>
      </c>
      <c r="E96" s="563" t="s">
        <v>1441</v>
      </c>
      <c r="F96" s="564"/>
      <c r="G96" s="564"/>
      <c r="H96" s="564"/>
      <c r="I96" s="564"/>
      <c r="J96" s="564"/>
      <c r="K96" s="565"/>
      <c r="L96" s="721"/>
      <c r="M96" s="545"/>
      <c r="N96" s="661"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39">
        <v>0.25</v>
      </c>
      <c r="AP96" s="185">
        <f t="shared" si="51"/>
        <v>0.56730000000000003</v>
      </c>
      <c r="AQ96" s="178">
        <f t="shared" si="52"/>
        <v>845277</v>
      </c>
      <c r="AR96" s="550"/>
      <c r="AS96" s="178">
        <f t="shared" si="53"/>
        <v>3871102</v>
      </c>
      <c r="AT96" s="562"/>
      <c r="AU96" s="722" t="s">
        <v>1458</v>
      </c>
      <c r="AV96" s="658"/>
    </row>
    <row r="97" spans="1:58" s="189" customFormat="1" ht="37.5" customHeight="1" x14ac:dyDescent="0.25">
      <c r="A97" s="168" t="s">
        <v>1420</v>
      </c>
      <c r="B97" s="168"/>
      <c r="C97" s="720"/>
      <c r="D97" s="544" t="s">
        <v>1457</v>
      </c>
      <c r="E97" s="563" t="s">
        <v>1094</v>
      </c>
      <c r="F97" s="564"/>
      <c r="G97" s="564"/>
      <c r="H97" s="564"/>
      <c r="I97" s="564"/>
      <c r="J97" s="564"/>
      <c r="K97" s="565"/>
      <c r="L97" s="721"/>
      <c r="M97" s="545"/>
      <c r="N97" s="661"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39">
        <v>0.25</v>
      </c>
      <c r="AP97" s="185">
        <f t="shared" si="51"/>
        <v>0.49730000000000002</v>
      </c>
      <c r="AQ97" s="178">
        <f t="shared" si="52"/>
        <v>740977</v>
      </c>
      <c r="AR97" s="550"/>
      <c r="AS97" s="178">
        <f t="shared" si="53"/>
        <v>3393408</v>
      </c>
      <c r="AT97" s="562"/>
      <c r="AU97" s="722" t="s">
        <v>1458</v>
      </c>
      <c r="AV97" s="658"/>
    </row>
    <row r="98" spans="1:58" s="189" customFormat="1" ht="37.5" customHeight="1" x14ac:dyDescent="0.25">
      <c r="A98" s="168" t="s">
        <v>383</v>
      </c>
      <c r="B98" s="168"/>
      <c r="C98" s="720"/>
      <c r="D98" s="544" t="s">
        <v>1455</v>
      </c>
      <c r="E98" s="563" t="s">
        <v>1259</v>
      </c>
      <c r="F98" s="564"/>
      <c r="G98" s="564"/>
      <c r="H98" s="564"/>
      <c r="I98" s="564"/>
      <c r="J98" s="564"/>
      <c r="K98" s="565"/>
      <c r="L98" s="721"/>
      <c r="M98" s="545"/>
      <c r="N98" s="661"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39">
        <v>0.25</v>
      </c>
      <c r="AP98" s="185">
        <f t="shared" si="51"/>
        <v>0.49730000000000002</v>
      </c>
      <c r="AQ98" s="178">
        <f t="shared" si="52"/>
        <v>740977</v>
      </c>
      <c r="AR98" s="550"/>
      <c r="AS98" s="178">
        <f t="shared" si="53"/>
        <v>3393408</v>
      </c>
      <c r="AT98" s="562"/>
      <c r="AU98" s="722" t="s">
        <v>1458</v>
      </c>
      <c r="AV98" s="658"/>
    </row>
    <row r="99" spans="1:58" s="189" customFormat="1" ht="37.5" customHeight="1" x14ac:dyDescent="0.25">
      <c r="A99" s="471" t="s">
        <v>384</v>
      </c>
      <c r="B99" s="168"/>
      <c r="C99" s="660"/>
      <c r="D99" s="432" t="s">
        <v>1443</v>
      </c>
      <c r="E99" s="296" t="s">
        <v>1377</v>
      </c>
      <c r="F99" s="631"/>
      <c r="G99" s="631"/>
      <c r="H99" s="631"/>
      <c r="I99" s="631"/>
      <c r="J99" s="631"/>
      <c r="K99" s="471"/>
      <c r="L99" s="664" t="s">
        <v>1445</v>
      </c>
      <c r="M99" s="438"/>
      <c r="N99" s="662" t="s">
        <v>1438</v>
      </c>
      <c r="O99" s="632"/>
      <c r="P99" s="632"/>
      <c r="Q99" s="438">
        <v>1.9890000000000001</v>
      </c>
      <c r="R99" s="436"/>
      <c r="S99" s="631"/>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3">
        <v>0.25</v>
      </c>
      <c r="AP99" s="633">
        <f t="shared" si="51"/>
        <v>0.49730000000000002</v>
      </c>
      <c r="AQ99" s="225">
        <f t="shared" si="52"/>
        <v>740977</v>
      </c>
      <c r="AR99" s="225"/>
      <c r="AS99" s="225">
        <f t="shared" si="53"/>
        <v>3393408</v>
      </c>
      <c r="AT99" s="470"/>
      <c r="AU99" s="542"/>
      <c r="AV99" s="658"/>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79" t="s">
        <v>665</v>
      </c>
      <c r="E100" s="1080"/>
      <c r="F100" s="1080"/>
      <c r="G100" s="1080"/>
      <c r="H100" s="1080"/>
      <c r="I100" s="1080"/>
      <c r="J100" s="1080"/>
      <c r="K100" s="1080"/>
      <c r="L100" s="1080"/>
      <c r="M100" s="1080"/>
      <c r="N100" s="1080"/>
      <c r="O100" s="1080"/>
      <c r="P100" s="1080"/>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0"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85" t="s">
        <v>50</v>
      </c>
      <c r="E101" s="1086"/>
      <c r="F101" s="1086"/>
      <c r="G101" s="1086"/>
      <c r="H101" s="1086"/>
      <c r="I101" s="1086"/>
      <c r="J101" s="1086"/>
      <c r="K101" s="1086"/>
      <c r="L101" s="1086"/>
      <c r="M101" s="1086"/>
      <c r="N101" s="1086"/>
      <c r="O101" s="1086"/>
      <c r="P101" s="1086"/>
      <c r="Q101" s="1086"/>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87" t="s">
        <v>51</v>
      </c>
      <c r="E102" s="1088"/>
      <c r="F102" s="1088"/>
      <c r="G102" s="1088"/>
      <c r="H102" s="1088"/>
      <c r="I102" s="1088"/>
      <c r="J102" s="1088"/>
      <c r="K102" s="1088"/>
      <c r="L102" s="1088"/>
      <c r="M102" s="1088"/>
      <c r="N102" s="1088"/>
      <c r="O102" s="1088"/>
      <c r="P102" s="1088"/>
      <c r="Q102" s="1088"/>
      <c r="R102" s="1089"/>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0"/>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09" t="s">
        <v>129</v>
      </c>
      <c r="M110" s="609" t="s">
        <v>912</v>
      </c>
      <c r="N110" s="610" t="s">
        <v>38</v>
      </c>
      <c r="O110" s="612" t="s">
        <v>692</v>
      </c>
      <c r="P110" s="612">
        <v>5</v>
      </c>
      <c r="Q110" s="613">
        <v>3.99</v>
      </c>
      <c r="R110" s="463">
        <f t="shared" si="55"/>
        <v>0.35</v>
      </c>
      <c r="S110" s="614"/>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5">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0">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5" t="str">
        <f>VLOOKUP(D129,[1]LuongBC_T01!$B$9:$C$292,2,FALSE)</f>
        <v>0016100006628006</v>
      </c>
      <c r="C129" s="749" t="s">
        <v>1003</v>
      </c>
      <c r="D129" s="727" t="s">
        <v>671</v>
      </c>
      <c r="E129" s="728" t="s">
        <v>1260</v>
      </c>
      <c r="F129" s="727" t="s">
        <v>549</v>
      </c>
      <c r="G129" s="750"/>
      <c r="H129" s="750" t="s">
        <v>283</v>
      </c>
      <c r="I129" s="750" t="s">
        <v>283</v>
      </c>
      <c r="J129" s="750"/>
      <c r="K129" s="729" t="str">
        <f>VLOOKUP(D129,[2]T3!$B$2:$D$328,3,FALSE)</f>
        <v>025251872</v>
      </c>
      <c r="L129" s="751" t="s">
        <v>676</v>
      </c>
      <c r="M129" s="751" t="s">
        <v>1003</v>
      </c>
      <c r="N129" s="731" t="s">
        <v>1438</v>
      </c>
      <c r="O129" s="752" t="s">
        <v>692</v>
      </c>
      <c r="P129" s="732">
        <v>3</v>
      </c>
      <c r="Q129" s="753">
        <v>3.33</v>
      </c>
      <c r="R129" s="735">
        <f>T129+V129+X129</f>
        <v>0.57220000000000004</v>
      </c>
      <c r="S129" s="754"/>
      <c r="T129" s="735">
        <f>ROUND(Q129*S129/100,4)</f>
        <v>0</v>
      </c>
      <c r="U129" s="737">
        <f>Q129*S129*$D$8/100</f>
        <v>0</v>
      </c>
      <c r="V129" s="729">
        <v>0.25</v>
      </c>
      <c r="W129" s="738">
        <v>0.09</v>
      </c>
      <c r="X129" s="739">
        <f>ROUND((Q129+T129+V129)*W129,4)</f>
        <v>0.32219999999999999</v>
      </c>
      <c r="Y129" s="739">
        <f>Q129+T129+V129+X129</f>
        <v>3.9022000000000001</v>
      </c>
      <c r="Z129" s="740">
        <f>ROUND(Y129*$D$8,0)</f>
        <v>5814278</v>
      </c>
      <c r="AA129" s="740"/>
      <c r="AB129" s="740">
        <f>Z129/24*AA129</f>
        <v>0</v>
      </c>
      <c r="AC129" s="740">
        <f>Z129/24*AA129*75%</f>
        <v>0</v>
      </c>
      <c r="AD129" s="740">
        <f>ROUND(Z129-AB129+AC129,0)</f>
        <v>5814278</v>
      </c>
      <c r="AE129" s="741">
        <f>Z129*8%</f>
        <v>465142.24</v>
      </c>
      <c r="AF129" s="741">
        <f>Z129*1.5%</f>
        <v>87214.17</v>
      </c>
      <c r="AG129" s="741">
        <f>Z129*1%</f>
        <v>58142.78</v>
      </c>
      <c r="AH129" s="741"/>
      <c r="AI129" s="741">
        <f>SUM(AE129:AH129)</f>
        <v>610499.19000000006</v>
      </c>
      <c r="AJ129" s="742"/>
      <c r="AK129" s="743">
        <f>AJ129*$D$8</f>
        <v>0</v>
      </c>
      <c r="AL129" s="743"/>
      <c r="AM129" s="743"/>
      <c r="AN129" s="755">
        <f>Q129+T129+V129</f>
        <v>3.58</v>
      </c>
      <c r="AO129" s="756">
        <v>0.25</v>
      </c>
      <c r="AP129" s="757">
        <f>ROUND(AN129*AO129,4)</f>
        <v>0.89500000000000002</v>
      </c>
      <c r="AQ129" s="741">
        <f>ROUND(AP129*$D$8,0)</f>
        <v>1333550</v>
      </c>
      <c r="AR129" s="741"/>
      <c r="AS129" s="741">
        <f>ROUND(AD129-AI129+AK129+AM129+AQ129,0)</f>
        <v>6537329</v>
      </c>
      <c r="AT129" s="747" t="str">
        <f>A129</f>
        <v>111</v>
      </c>
      <c r="AU129" s="758"/>
      <c r="AV129" s="198" t="s">
        <v>711</v>
      </c>
    </row>
    <row r="130" spans="1:58" s="189" customFormat="1" ht="32.25" customHeight="1" x14ac:dyDescent="0.25">
      <c r="A130" s="168" t="s">
        <v>408</v>
      </c>
      <c r="B130" s="681" t="str">
        <f>VLOOKUP(D130,[1]LuongBC_T01!$B$9:$C$292,2,FALSE)</f>
        <v>0016100006603003</v>
      </c>
      <c r="C130" s="702" t="s">
        <v>945</v>
      </c>
      <c r="D130" s="682" t="s">
        <v>817</v>
      </c>
      <c r="E130" s="683" t="s">
        <v>1471</v>
      </c>
      <c r="F130" s="682"/>
      <c r="G130" s="684" t="s">
        <v>25</v>
      </c>
      <c r="H130" s="684"/>
      <c r="I130" s="684"/>
      <c r="J130" s="682"/>
      <c r="K130" s="684" t="str">
        <f>VLOOKUP(D130,[2]T3!$B$2:$D$328,3,FALSE)</f>
        <v>054182000015</v>
      </c>
      <c r="L130" s="706"/>
      <c r="M130" s="706" t="s">
        <v>945</v>
      </c>
      <c r="N130" s="685" t="s">
        <v>1438</v>
      </c>
      <c r="O130" s="707" t="s">
        <v>692</v>
      </c>
      <c r="P130" s="686">
        <v>3</v>
      </c>
      <c r="Q130" s="688">
        <v>3.33</v>
      </c>
      <c r="R130" s="689">
        <f>T130+V130+X130</f>
        <v>0.60799999999999998</v>
      </c>
      <c r="S130" s="690"/>
      <c r="T130" s="689">
        <f>ROUND(Q130*S130/100,4)</f>
        <v>0</v>
      </c>
      <c r="U130" s="691">
        <f>Q130*S130*$D$8/100</f>
        <v>0</v>
      </c>
      <c r="V130" s="684">
        <v>0.25</v>
      </c>
      <c r="W130" s="692">
        <v>0.1</v>
      </c>
      <c r="X130" s="693">
        <f>ROUND((Q130+T130+V130)*W130,4)</f>
        <v>0.35799999999999998</v>
      </c>
      <c r="Y130" s="693">
        <f>Q130+T130+V130+X130</f>
        <v>3.9380000000000002</v>
      </c>
      <c r="Z130" s="694">
        <f t="shared" si="60"/>
        <v>5867620</v>
      </c>
      <c r="AA130" s="694"/>
      <c r="AB130" s="694">
        <f>Z130/24*AA130</f>
        <v>0</v>
      </c>
      <c r="AC130" s="694">
        <f>Z130/24*AA130*75%</f>
        <v>0</v>
      </c>
      <c r="AD130" s="694">
        <f>ROUND(Z130-AB130+AC130,0)</f>
        <v>5867620</v>
      </c>
      <c r="AE130" s="695">
        <f t="shared" si="63"/>
        <v>469409.60000000003</v>
      </c>
      <c r="AF130" s="695">
        <f t="shared" si="64"/>
        <v>88014.3</v>
      </c>
      <c r="AG130" s="695">
        <f t="shared" si="65"/>
        <v>58676.200000000004</v>
      </c>
      <c r="AH130" s="695"/>
      <c r="AI130" s="695">
        <f>SUM(AE130:AH130)</f>
        <v>616100.1</v>
      </c>
      <c r="AJ130" s="700"/>
      <c r="AK130" s="696">
        <f>AJ130*$D$8</f>
        <v>0</v>
      </c>
      <c r="AL130" s="696"/>
      <c r="AM130" s="696"/>
      <c r="AN130" s="705">
        <f t="shared" si="68"/>
        <v>3.58</v>
      </c>
      <c r="AO130" s="701">
        <v>0.25</v>
      </c>
      <c r="AP130" s="703">
        <f>ROUND(AN130*AO130,4)</f>
        <v>0.89500000000000002</v>
      </c>
      <c r="AQ130" s="695">
        <f>ROUND(AP130*$D$8,0)</f>
        <v>1333550</v>
      </c>
      <c r="AR130" s="695"/>
      <c r="AS130" s="695">
        <f t="shared" si="75"/>
        <v>6585070</v>
      </c>
      <c r="AT130" s="697" t="str">
        <f t="shared" si="71"/>
        <v>112</v>
      </c>
      <c r="AU130" s="708"/>
      <c r="AV130" s="242"/>
      <c r="AW130" s="29"/>
      <c r="AX130" s="29"/>
      <c r="AY130" s="29"/>
      <c r="AZ130" s="29"/>
      <c r="BA130" s="29"/>
      <c r="BB130" s="29"/>
      <c r="BC130" s="29"/>
      <c r="BD130" s="29"/>
      <c r="BE130" s="29"/>
      <c r="BF130" s="29"/>
    </row>
    <row r="131" spans="1:58" s="189" customFormat="1" ht="33" customHeight="1" x14ac:dyDescent="0.25">
      <c r="A131" s="681" t="s">
        <v>645</v>
      </c>
      <c r="B131" s="681" t="str">
        <f>VLOOKUP(D131,[1]LuongBC_T01!$B$9:$C$292,2,FALSE)</f>
        <v>0016100006604007</v>
      </c>
      <c r="C131" s="702" t="s">
        <v>946</v>
      </c>
      <c r="D131" s="682" t="s">
        <v>819</v>
      </c>
      <c r="E131" s="683" t="s">
        <v>1471</v>
      </c>
      <c r="F131" s="682"/>
      <c r="G131" s="684" t="s">
        <v>25</v>
      </c>
      <c r="H131" s="684"/>
      <c r="I131" s="684"/>
      <c r="J131" s="682"/>
      <c r="K131" s="684" t="str">
        <f>VLOOKUP(D131,[2]T3!$B$2:$D$328,3,FALSE)</f>
        <v>025791269</v>
      </c>
      <c r="L131" s="706"/>
      <c r="M131" s="706" t="s">
        <v>946</v>
      </c>
      <c r="N131" s="685" t="s">
        <v>1438</v>
      </c>
      <c r="O131" s="707" t="s">
        <v>692</v>
      </c>
      <c r="P131" s="686">
        <v>3</v>
      </c>
      <c r="Q131" s="688">
        <v>3</v>
      </c>
      <c r="R131" s="689">
        <f>T131+V131+X131</f>
        <v>0.57499999999999996</v>
      </c>
      <c r="S131" s="690"/>
      <c r="T131" s="689">
        <f>ROUND(Q131*S131/100,4)</f>
        <v>0</v>
      </c>
      <c r="U131" s="691">
        <f>Q131*S131*$D$8/100</f>
        <v>0</v>
      </c>
      <c r="V131" s="684">
        <v>0.25</v>
      </c>
      <c r="W131" s="692">
        <v>0.1</v>
      </c>
      <c r="X131" s="693">
        <f>ROUND((Q131+T131+V131)*W131,4)</f>
        <v>0.32500000000000001</v>
      </c>
      <c r="Y131" s="693">
        <f>Q131+T131+V131+X131</f>
        <v>3.5750000000000002</v>
      </c>
      <c r="Z131" s="694">
        <f t="shared" si="60"/>
        <v>5326750</v>
      </c>
      <c r="AA131" s="694"/>
      <c r="AB131" s="694">
        <f>Z131/24*AA131</f>
        <v>0</v>
      </c>
      <c r="AC131" s="694">
        <f>Z131/24*AA131*75%</f>
        <v>0</v>
      </c>
      <c r="AD131" s="694">
        <f>ROUND(Z131-AB131+AC131,0)</f>
        <v>5326750</v>
      </c>
      <c r="AE131" s="695">
        <f t="shared" si="63"/>
        <v>426140</v>
      </c>
      <c r="AF131" s="695">
        <f t="shared" si="64"/>
        <v>79901.25</v>
      </c>
      <c r="AG131" s="695">
        <f t="shared" si="65"/>
        <v>53267.5</v>
      </c>
      <c r="AH131" s="695"/>
      <c r="AI131" s="695">
        <f>SUM(AE131:AH131)</f>
        <v>559308.75</v>
      </c>
      <c r="AJ131" s="700"/>
      <c r="AK131" s="696">
        <f>AJ131*$D$8</f>
        <v>0</v>
      </c>
      <c r="AL131" s="696"/>
      <c r="AM131" s="696"/>
      <c r="AN131" s="705">
        <f t="shared" si="68"/>
        <v>3.25</v>
      </c>
      <c r="AO131" s="701">
        <v>0.25</v>
      </c>
      <c r="AP131" s="703">
        <f>ROUND(AN131*AO131,4)</f>
        <v>0.8125</v>
      </c>
      <c r="AQ131" s="695">
        <f>ROUND(AP131*$D$8,0)</f>
        <v>1210625</v>
      </c>
      <c r="AR131" s="695"/>
      <c r="AS131" s="695">
        <f t="shared" si="75"/>
        <v>5978066</v>
      </c>
      <c r="AT131" s="697" t="str">
        <f t="shared" si="71"/>
        <v>113</v>
      </c>
      <c r="AU131" s="708"/>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6"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7"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8" t="s">
        <v>437</v>
      </c>
      <c r="B162" s="768" t="str">
        <f>VLOOKUP(D162,[1]LuongBC_T01!$B$9:$C$292,2,FALSE)</f>
        <v>0016100006681004</v>
      </c>
      <c r="C162" s="769" t="s">
        <v>939</v>
      </c>
      <c r="D162" s="770" t="s">
        <v>771</v>
      </c>
      <c r="E162" s="771" t="s">
        <v>1257</v>
      </c>
      <c r="F162" s="772"/>
      <c r="G162" s="773" t="s">
        <v>25</v>
      </c>
      <c r="H162" s="772"/>
      <c r="I162" s="772"/>
      <c r="J162" s="772"/>
      <c r="K162" s="774" t="str">
        <f>VLOOKUP(D162,[2]T3!$B$2:$D$328,3,FALSE)</f>
        <v>025796369</v>
      </c>
      <c r="L162" s="775">
        <v>1603205372861</v>
      </c>
      <c r="M162" s="775" t="s">
        <v>939</v>
      </c>
      <c r="N162" s="776" t="s">
        <v>43</v>
      </c>
      <c r="O162" s="774" t="s">
        <v>698</v>
      </c>
      <c r="P162" s="774">
        <v>1</v>
      </c>
      <c r="Q162" s="774">
        <v>2.46</v>
      </c>
      <c r="R162" s="777">
        <f t="shared" si="55"/>
        <v>0</v>
      </c>
      <c r="S162" s="778"/>
      <c r="T162" s="777">
        <f t="shared" si="56"/>
        <v>0</v>
      </c>
      <c r="U162" s="779"/>
      <c r="V162" s="780"/>
      <c r="W162" s="781">
        <f>VLOOKUP(D162,[3]BC!$D$14:$W$287,20,FALSE)</f>
        <v>0</v>
      </c>
      <c r="X162" s="782">
        <f t="shared" si="58"/>
        <v>0</v>
      </c>
      <c r="Y162" s="782">
        <f t="shared" si="59"/>
        <v>2.46</v>
      </c>
      <c r="Z162" s="783">
        <f t="shared" si="60"/>
        <v>3665400</v>
      </c>
      <c r="AA162" s="783">
        <v>24</v>
      </c>
      <c r="AB162" s="783">
        <f t="shared" si="72"/>
        <v>3665400</v>
      </c>
      <c r="AC162" s="783">
        <v>0</v>
      </c>
      <c r="AD162" s="783">
        <f t="shared" si="62"/>
        <v>0</v>
      </c>
      <c r="AE162" s="780">
        <v>0</v>
      </c>
      <c r="AF162" s="780">
        <v>0</v>
      </c>
      <c r="AG162" s="780">
        <v>0</v>
      </c>
      <c r="AH162" s="780"/>
      <c r="AI162" s="780">
        <f t="shared" si="66"/>
        <v>0</v>
      </c>
      <c r="AJ162" s="784"/>
      <c r="AK162" s="785">
        <f t="shared" si="67"/>
        <v>0</v>
      </c>
      <c r="AL162" s="785"/>
      <c r="AM162" s="785"/>
      <c r="AN162" s="786">
        <f>Q162+T162+V162</f>
        <v>2.46</v>
      </c>
      <c r="AO162" s="781"/>
      <c r="AP162" s="787">
        <f t="shared" si="73"/>
        <v>0</v>
      </c>
      <c r="AQ162" s="780">
        <f t="shared" si="69"/>
        <v>0</v>
      </c>
      <c r="AR162" s="780"/>
      <c r="AS162" s="780">
        <f t="shared" si="75"/>
        <v>0</v>
      </c>
      <c r="AT162" s="788" t="str">
        <f t="shared" si="77"/>
        <v>144</v>
      </c>
      <c r="AU162" s="789" t="s">
        <v>1476</v>
      </c>
      <c r="AV162" s="240" t="s">
        <v>769</v>
      </c>
    </row>
    <row r="163" spans="1:58" s="189" customFormat="1" ht="4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6"/>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1" t="s">
        <v>448</v>
      </c>
      <c r="B174" s="681" t="str">
        <f>VLOOKUP(D174,[1]LuongBC_T01!$B$9:$C$292,2,FALSE)</f>
        <v>0016100006620005</v>
      </c>
      <c r="C174" s="702" t="s">
        <v>956</v>
      </c>
      <c r="D174" s="682" t="s">
        <v>1219</v>
      </c>
      <c r="E174" s="683" t="s">
        <v>1094</v>
      </c>
      <c r="F174" s="682" t="s">
        <v>549</v>
      </c>
      <c r="G174" s="704" t="s">
        <v>25</v>
      </c>
      <c r="H174" s="684" t="s">
        <v>283</v>
      </c>
      <c r="I174" s="704" t="s">
        <v>283</v>
      </c>
      <c r="J174" s="715" t="s">
        <v>255</v>
      </c>
      <c r="K174" s="684" t="str">
        <f>VLOOKUP(D174,[2]T3!$B$2:$D$328,3,FALSE)</f>
        <v>082175000189</v>
      </c>
      <c r="L174" s="759" t="s">
        <v>170</v>
      </c>
      <c r="M174" s="759" t="s">
        <v>956</v>
      </c>
      <c r="N174" s="685" t="s">
        <v>807</v>
      </c>
      <c r="O174" s="686" t="s">
        <v>692</v>
      </c>
      <c r="P174" s="687">
        <v>5</v>
      </c>
      <c r="Q174" s="688">
        <v>3.99</v>
      </c>
      <c r="R174" s="689">
        <f t="shared" si="80"/>
        <v>0.59850000000000003</v>
      </c>
      <c r="S174" s="760"/>
      <c r="T174" s="689">
        <f t="shared" si="81"/>
        <v>0</v>
      </c>
      <c r="U174" s="691">
        <f t="shared" si="79"/>
        <v>0</v>
      </c>
      <c r="V174" s="704"/>
      <c r="W174" s="692">
        <v>0.15</v>
      </c>
      <c r="X174" s="693">
        <f t="shared" si="82"/>
        <v>0.59850000000000003</v>
      </c>
      <c r="Y174" s="693">
        <f t="shared" si="83"/>
        <v>4.5884999999999998</v>
      </c>
      <c r="Z174" s="694">
        <f t="shared" si="84"/>
        <v>6836865</v>
      </c>
      <c r="AA174" s="694"/>
      <c r="AB174" s="694">
        <f t="shared" si="92"/>
        <v>0</v>
      </c>
      <c r="AC174" s="694">
        <f t="shared" si="93"/>
        <v>0</v>
      </c>
      <c r="AD174" s="694">
        <f t="shared" si="85"/>
        <v>6836865</v>
      </c>
      <c r="AE174" s="695">
        <f t="shared" si="86"/>
        <v>546949.19999999995</v>
      </c>
      <c r="AF174" s="695">
        <f t="shared" si="87"/>
        <v>102552.97499999999</v>
      </c>
      <c r="AG174" s="695">
        <f t="shared" si="88"/>
        <v>68368.649999999994</v>
      </c>
      <c r="AH174" s="695"/>
      <c r="AI174" s="695">
        <f t="shared" si="89"/>
        <v>717870.82499999995</v>
      </c>
      <c r="AJ174" s="761"/>
      <c r="AK174" s="696">
        <f t="shared" si="90"/>
        <v>0</v>
      </c>
      <c r="AL174" s="696"/>
      <c r="AM174" s="696"/>
      <c r="AN174" s="705">
        <f t="shared" si="95"/>
        <v>3.99</v>
      </c>
      <c r="AO174" s="701">
        <v>0.25</v>
      </c>
      <c r="AP174" s="703">
        <f t="shared" si="94"/>
        <v>0.99750000000000005</v>
      </c>
      <c r="AQ174" s="695">
        <f t="shared" si="91"/>
        <v>1486275</v>
      </c>
      <c r="AR174" s="695"/>
      <c r="AS174" s="695">
        <f t="shared" si="75"/>
        <v>7605269</v>
      </c>
      <c r="AT174" s="697" t="str">
        <f t="shared" si="77"/>
        <v>156</v>
      </c>
      <c r="AU174" s="698"/>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1" t="str">
        <f>VLOOKUP(D176,[1]LuongBC_T01!$B$9:$C$292,2,FALSE)</f>
        <v>0016100006684003</v>
      </c>
      <c r="C176" s="702" t="s">
        <v>1080</v>
      </c>
      <c r="D176" s="682" t="s">
        <v>1235</v>
      </c>
      <c r="E176" s="683" t="s">
        <v>1094</v>
      </c>
      <c r="F176" s="682" t="s">
        <v>549</v>
      </c>
      <c r="G176" s="684"/>
      <c r="H176" s="684"/>
      <c r="I176" s="704" t="s">
        <v>283</v>
      </c>
      <c r="J176" s="715" t="s">
        <v>264</v>
      </c>
      <c r="K176" s="684" t="str">
        <f>VLOOKUP(D176,[2]T3!$B$2:$D$328,3,FALSE)</f>
        <v>024345241</v>
      </c>
      <c r="L176" s="699" t="s">
        <v>132</v>
      </c>
      <c r="M176" s="699" t="s">
        <v>1080</v>
      </c>
      <c r="N176" s="683" t="s">
        <v>807</v>
      </c>
      <c r="O176" s="686" t="s">
        <v>692</v>
      </c>
      <c r="P176" s="687">
        <v>5</v>
      </c>
      <c r="Q176" s="688">
        <v>3.99</v>
      </c>
      <c r="R176" s="689">
        <f>T176+V176+X176</f>
        <v>0.67830000000000001</v>
      </c>
      <c r="S176" s="690"/>
      <c r="T176" s="689">
        <f>ROUND(Q176*S176/100,4)</f>
        <v>0</v>
      </c>
      <c r="U176" s="691">
        <f>Q176*S176*$D$8/100</f>
        <v>0</v>
      </c>
      <c r="V176" s="684"/>
      <c r="W176" s="692">
        <v>0.17</v>
      </c>
      <c r="X176" s="693">
        <f>ROUND((Q176+T176+V176)*W176,4)</f>
        <v>0.67830000000000001</v>
      </c>
      <c r="Y176" s="693">
        <f>Q176+T176+V176+X176</f>
        <v>4.6683000000000003</v>
      </c>
      <c r="Z176" s="694">
        <f>ROUND(Y176*$D$8,0)</f>
        <v>6955767</v>
      </c>
      <c r="AA176" s="694"/>
      <c r="AB176" s="694">
        <f>Z176/24*AA176</f>
        <v>0</v>
      </c>
      <c r="AC176" s="694">
        <v>0</v>
      </c>
      <c r="AD176" s="694">
        <f>ROUND(Z176-AB176+AC176,0)</f>
        <v>6955767</v>
      </c>
      <c r="AE176" s="695">
        <f t="shared" si="86"/>
        <v>556461.36</v>
      </c>
      <c r="AF176" s="695">
        <f t="shared" si="87"/>
        <v>104336.50499999999</v>
      </c>
      <c r="AG176" s="695">
        <f t="shared" si="88"/>
        <v>69557.67</v>
      </c>
      <c r="AH176" s="695"/>
      <c r="AI176" s="695">
        <f>SUM(AE176:AH176)</f>
        <v>730355.53500000003</v>
      </c>
      <c r="AJ176" s="700"/>
      <c r="AK176" s="696">
        <f>AJ176*$D$8</f>
        <v>0</v>
      </c>
      <c r="AL176" s="696"/>
      <c r="AM176" s="696"/>
      <c r="AN176" s="705">
        <f t="shared" si="95"/>
        <v>3.99</v>
      </c>
      <c r="AO176" s="701">
        <v>0.25</v>
      </c>
      <c r="AP176" s="703">
        <f>ROUND(AN176*AO176,4)</f>
        <v>0.99750000000000005</v>
      </c>
      <c r="AQ176" s="695">
        <f>ROUND(AP176*$D$8,0)</f>
        <v>1486275</v>
      </c>
      <c r="AR176" s="695"/>
      <c r="AS176" s="695">
        <f t="shared" si="75"/>
        <v>7711686</v>
      </c>
      <c r="AT176" s="697" t="str">
        <f t="shared" si="77"/>
        <v>158</v>
      </c>
      <c r="AU176" s="698"/>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1" t="str">
        <f>VLOOKUP(D197,[1]LuongBC_T01!$B$9:$C$292,2,FALSE)</f>
        <v>0016100006772007</v>
      </c>
      <c r="C197" s="702" t="s">
        <v>943</v>
      </c>
      <c r="D197" s="682" t="s">
        <v>815</v>
      </c>
      <c r="E197" s="683" t="s">
        <v>1094</v>
      </c>
      <c r="F197" s="682"/>
      <c r="G197" s="684"/>
      <c r="H197" s="684"/>
      <c r="I197" s="684"/>
      <c r="J197" s="682"/>
      <c r="K197" s="684" t="str">
        <f>VLOOKUP(D197,[2]T3!$B$2:$D$328,3,FALSE)</f>
        <v>025013400</v>
      </c>
      <c r="L197" s="706"/>
      <c r="M197" s="706" t="s">
        <v>943</v>
      </c>
      <c r="N197" s="685" t="s">
        <v>807</v>
      </c>
      <c r="O197" s="707" t="s">
        <v>692</v>
      </c>
      <c r="P197" s="686">
        <v>3</v>
      </c>
      <c r="Q197" s="688">
        <v>3.33</v>
      </c>
      <c r="R197" s="689">
        <f t="shared" si="80"/>
        <v>0.2331</v>
      </c>
      <c r="S197" s="690"/>
      <c r="T197" s="689">
        <f t="shared" si="81"/>
        <v>0</v>
      </c>
      <c r="U197" s="691">
        <f t="shared" si="79"/>
        <v>0</v>
      </c>
      <c r="V197" s="684"/>
      <c r="W197" s="692">
        <v>7.0000000000000007E-2</v>
      </c>
      <c r="X197" s="693">
        <f t="shared" si="82"/>
        <v>0.2331</v>
      </c>
      <c r="Y197" s="693">
        <f t="shared" si="83"/>
        <v>3.5630999999999999</v>
      </c>
      <c r="Z197" s="694">
        <f t="shared" si="84"/>
        <v>5309019</v>
      </c>
      <c r="AA197" s="694"/>
      <c r="AB197" s="694">
        <f t="shared" si="97"/>
        <v>0</v>
      </c>
      <c r="AC197" s="694">
        <f t="shared" si="98"/>
        <v>0</v>
      </c>
      <c r="AD197" s="694">
        <f t="shared" si="85"/>
        <v>5309019</v>
      </c>
      <c r="AE197" s="695">
        <f t="shared" si="86"/>
        <v>424721.52</v>
      </c>
      <c r="AF197" s="695">
        <f t="shared" si="87"/>
        <v>79635.285000000003</v>
      </c>
      <c r="AG197" s="695">
        <f t="shared" si="88"/>
        <v>53090.19</v>
      </c>
      <c r="AH197" s="695"/>
      <c r="AI197" s="695">
        <f t="shared" si="89"/>
        <v>557446.99500000011</v>
      </c>
      <c r="AJ197" s="700"/>
      <c r="AK197" s="696">
        <f t="shared" si="90"/>
        <v>0</v>
      </c>
      <c r="AL197" s="696"/>
      <c r="AM197" s="696"/>
      <c r="AN197" s="705">
        <f t="shared" si="95"/>
        <v>3.33</v>
      </c>
      <c r="AO197" s="701">
        <v>0.25</v>
      </c>
      <c r="AP197" s="703">
        <f t="shared" si="94"/>
        <v>0.83250000000000002</v>
      </c>
      <c r="AQ197" s="695">
        <f t="shared" si="91"/>
        <v>1240425</v>
      </c>
      <c r="AR197" s="695"/>
      <c r="AS197" s="695">
        <f t="shared" si="96"/>
        <v>5991997</v>
      </c>
      <c r="AT197" s="697" t="str">
        <f t="shared" si="77"/>
        <v>179</v>
      </c>
      <c r="AU197" s="708"/>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3"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5"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39">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7">
        <v>0.45</v>
      </c>
      <c r="AP249" s="636">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4" t="s">
        <v>615</v>
      </c>
      <c r="M254" s="654"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4" t="s">
        <v>758</v>
      </c>
      <c r="M256" s="724"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1" t="s">
        <v>627</v>
      </c>
      <c r="B263" s="681" t="str">
        <f>VLOOKUP(D263,[1]LuongBC_T01!$B$9:$C$292,2,FALSE)</f>
        <v>0016100007212008</v>
      </c>
      <c r="C263" s="684" t="s">
        <v>1328</v>
      </c>
      <c r="D263" s="682" t="s">
        <v>1282</v>
      </c>
      <c r="E263" s="683" t="s">
        <v>1380</v>
      </c>
      <c r="F263" s="715"/>
      <c r="G263" s="715"/>
      <c r="H263" s="715"/>
      <c r="I263" s="715"/>
      <c r="J263" s="715"/>
      <c r="K263" s="684">
        <f>VLOOKUP(D263,[2]T3!$B$2:$D$328,3,FALSE)</f>
        <v>331950060</v>
      </c>
      <c r="L263" s="715"/>
      <c r="M263" s="684"/>
      <c r="N263" s="683" t="s">
        <v>1438</v>
      </c>
      <c r="O263" s="767"/>
      <c r="P263" s="767"/>
      <c r="Q263" s="684">
        <v>2.67</v>
      </c>
      <c r="R263" s="689"/>
      <c r="S263" s="715"/>
      <c r="T263" s="689">
        <f>ROUND(Q263*S263/100,4)</f>
        <v>0</v>
      </c>
      <c r="U263" s="691"/>
      <c r="V263" s="684"/>
      <c r="W263" s="692">
        <v>0.08</v>
      </c>
      <c r="X263" s="693">
        <f>ROUND((Q263+T263+V263)*W263,4)</f>
        <v>0.21360000000000001</v>
      </c>
      <c r="Y263" s="693">
        <f>Q263+T263+V263+X263</f>
        <v>2.8835999999999999</v>
      </c>
      <c r="Z263" s="694">
        <f t="shared" si="109"/>
        <v>4296564</v>
      </c>
      <c r="AA263" s="694"/>
      <c r="AB263" s="694">
        <f>Z263/24*AA263</f>
        <v>0</v>
      </c>
      <c r="AC263" s="694">
        <f>Z263/24*AA263*75%</f>
        <v>0</v>
      </c>
      <c r="AD263" s="694">
        <f>ROUND(Z263-AB263+AC263,0)</f>
        <v>4296564</v>
      </c>
      <c r="AE263" s="695">
        <f t="shared" si="102"/>
        <v>343725.12</v>
      </c>
      <c r="AF263" s="695">
        <f t="shared" si="103"/>
        <v>64448.46</v>
      </c>
      <c r="AG263" s="695">
        <f t="shared" si="104"/>
        <v>42965.64</v>
      </c>
      <c r="AH263" s="695"/>
      <c r="AI263" s="695">
        <f>SUM(AE263:AH263)</f>
        <v>451139.22000000003</v>
      </c>
      <c r="AJ263" s="700"/>
      <c r="AK263" s="696">
        <f t="shared" si="120"/>
        <v>0</v>
      </c>
      <c r="AL263" s="696"/>
      <c r="AM263" s="696"/>
      <c r="AN263" s="763">
        <f t="shared" si="117"/>
        <v>2.67</v>
      </c>
      <c r="AO263" s="701">
        <v>0.25</v>
      </c>
      <c r="AP263" s="765">
        <f>ROUND(AN263*AO263,4)</f>
        <v>0.66749999999999998</v>
      </c>
      <c r="AQ263" s="695">
        <f>ROUND(AP263*$D$8,0)</f>
        <v>994575</v>
      </c>
      <c r="AR263" s="695"/>
      <c r="AS263" s="695">
        <f t="shared" si="119"/>
        <v>4840000</v>
      </c>
      <c r="AT263" s="697" t="str">
        <f t="shared" si="115"/>
        <v>245</v>
      </c>
      <c r="AU263" s="698"/>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1" t="str">
        <f>VLOOKUP(D266,[1]LuongBC_T01!$B$9:$C$292,2,FALSE)</f>
        <v>0016100006589008</v>
      </c>
      <c r="C266" s="713" t="s">
        <v>906</v>
      </c>
      <c r="D266" s="372" t="s">
        <v>812</v>
      </c>
      <c r="E266" s="672" t="s">
        <v>1094</v>
      </c>
      <c r="F266" s="716"/>
      <c r="G266" s="716" t="s">
        <v>25</v>
      </c>
      <c r="H266" s="716"/>
      <c r="I266" s="716"/>
      <c r="J266" s="716"/>
      <c r="K266" s="373" t="str">
        <f>VLOOKUP(D266,[2]T3!$B$2:$D$328,3,FALSE)</f>
        <v>024327951</v>
      </c>
      <c r="L266" s="716"/>
      <c r="M266" s="373" t="s">
        <v>906</v>
      </c>
      <c r="N266" s="711" t="s">
        <v>1438</v>
      </c>
      <c r="O266" s="373" t="s">
        <v>692</v>
      </c>
      <c r="P266" s="373">
        <v>1</v>
      </c>
      <c r="Q266" s="373">
        <v>2.67</v>
      </c>
      <c r="R266" s="673">
        <f>T266+V266+X266</f>
        <v>0</v>
      </c>
      <c r="S266" s="716"/>
      <c r="T266" s="673">
        <f t="shared" si="106"/>
        <v>0</v>
      </c>
      <c r="U266" s="374">
        <f>Q266*S266*$D$8/100</f>
        <v>0</v>
      </c>
      <c r="V266" s="373"/>
      <c r="W266" s="674">
        <f>VLOOKUP(D266,[3]BC!$D$14:$W$287,20,FALSE)</f>
        <v>0</v>
      </c>
      <c r="X266" s="675">
        <f t="shared" si="107"/>
        <v>0</v>
      </c>
      <c r="Y266" s="675">
        <f t="shared" si="108"/>
        <v>2.67</v>
      </c>
      <c r="Z266" s="676">
        <f t="shared" si="109"/>
        <v>3978300</v>
      </c>
      <c r="AA266" s="676">
        <v>0</v>
      </c>
      <c r="AB266" s="676">
        <f t="shared" si="110"/>
        <v>0</v>
      </c>
      <c r="AC266" s="676">
        <v>0</v>
      </c>
      <c r="AD266" s="676">
        <f t="shared" si="111"/>
        <v>3978300</v>
      </c>
      <c r="AE266" s="375">
        <f t="shared" si="102"/>
        <v>318264</v>
      </c>
      <c r="AF266" s="375">
        <f t="shared" si="103"/>
        <v>59674.5</v>
      </c>
      <c r="AG266" s="375">
        <f t="shared" si="104"/>
        <v>39783</v>
      </c>
      <c r="AH266" s="375"/>
      <c r="AI266" s="375">
        <f t="shared" si="112"/>
        <v>417721.5</v>
      </c>
      <c r="AJ266" s="677"/>
      <c r="AK266" s="678">
        <f t="shared" si="113"/>
        <v>0</v>
      </c>
      <c r="AL266" s="678"/>
      <c r="AM266" s="678"/>
      <c r="AN266" s="679">
        <f t="shared" si="117"/>
        <v>2.67</v>
      </c>
      <c r="AO266" s="714">
        <v>0.25</v>
      </c>
      <c r="AP266" s="709">
        <f t="shared" si="114"/>
        <v>0.66749999999999998</v>
      </c>
      <c r="AQ266" s="375">
        <f t="shared" si="116"/>
        <v>994575</v>
      </c>
      <c r="AR266" s="375"/>
      <c r="AS266" s="375">
        <f t="shared" si="119"/>
        <v>4555154</v>
      </c>
      <c r="AT266" s="680" t="str">
        <f t="shared" si="115"/>
        <v>248</v>
      </c>
      <c r="AU266" s="712"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59"/>
      <c r="D273" s="169" t="s">
        <v>1437</v>
      </c>
      <c r="E273" s="263" t="s">
        <v>1259</v>
      </c>
      <c r="F273" s="220"/>
      <c r="G273" s="220"/>
      <c r="H273" s="220"/>
      <c r="I273" s="220"/>
      <c r="J273" s="220"/>
      <c r="K273" s="168"/>
      <c r="L273" s="490" t="s">
        <v>1447</v>
      </c>
      <c r="M273" s="170"/>
      <c r="N273" s="661"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39">
        <v>0.25</v>
      </c>
      <c r="AP273" s="185">
        <f>ROUND(AN273*AO273,4)</f>
        <v>0.66749999999999998</v>
      </c>
      <c r="AQ273" s="178">
        <f>ROUND(AP273*$D$8,0)</f>
        <v>994575</v>
      </c>
      <c r="AR273" s="178"/>
      <c r="AS273" s="178">
        <f>ROUND(AD273-AI273+AK273+AM273+AQ273,0)</f>
        <v>4555154</v>
      </c>
      <c r="AT273" s="469"/>
      <c r="AU273" s="195"/>
      <c r="AV273" s="658"/>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6" t="s">
        <v>754</v>
      </c>
      <c r="E281" s="296" t="s">
        <v>1472</v>
      </c>
      <c r="F281" s="587"/>
      <c r="G281" s="588" t="s">
        <v>25</v>
      </c>
      <c r="H281" s="587"/>
      <c r="I281" s="587"/>
      <c r="J281" s="587"/>
      <c r="K281" s="438" t="str">
        <f>VLOOKUP(D281,[2]T3!$B$2:$D$328,3,FALSE)</f>
        <v>025548580</v>
      </c>
      <c r="L281" s="589" t="s">
        <v>763</v>
      </c>
      <c r="M281" s="589" t="s">
        <v>1030</v>
      </c>
      <c r="N281" s="590"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1"/>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0"/>
      <c r="B282" s="570"/>
      <c r="C282" s="571"/>
      <c r="D282" s="572" t="s">
        <v>1417</v>
      </c>
      <c r="E282" s="573"/>
      <c r="F282" s="574"/>
      <c r="G282" s="575"/>
      <c r="H282" s="574"/>
      <c r="I282" s="574"/>
      <c r="J282" s="574"/>
      <c r="K282" s="576"/>
      <c r="L282" s="577"/>
      <c r="M282" s="577"/>
      <c r="N282" s="578"/>
      <c r="O282" s="576"/>
      <c r="P282" s="576"/>
      <c r="Q282" s="579">
        <f t="shared" ref="Q282:Z282" si="123">SUM(Q103:Q281)</f>
        <v>581.94999999999948</v>
      </c>
      <c r="R282" s="579">
        <f t="shared" si="123"/>
        <v>50.656699999999987</v>
      </c>
      <c r="S282" s="579">
        <f t="shared" si="123"/>
        <v>0</v>
      </c>
      <c r="T282" s="579">
        <f t="shared" si="123"/>
        <v>0</v>
      </c>
      <c r="U282" s="579">
        <f t="shared" si="123"/>
        <v>0</v>
      </c>
      <c r="V282" s="579">
        <f t="shared" si="123"/>
        <v>10.749999999999996</v>
      </c>
      <c r="W282" s="579">
        <f t="shared" si="123"/>
        <v>11.259999999999998</v>
      </c>
      <c r="X282" s="580">
        <f t="shared" si="123"/>
        <v>40.360299999999974</v>
      </c>
      <c r="Y282" s="580">
        <f t="shared" si="123"/>
        <v>633.06029999999987</v>
      </c>
      <c r="Z282" s="581">
        <f t="shared" si="123"/>
        <v>943259847</v>
      </c>
      <c r="AA282" s="581">
        <f>SUM(AA89:AA281)</f>
        <v>24</v>
      </c>
      <c r="AB282" s="581">
        <f t="shared" ref="AB282:AM282" si="124">SUM(AB103:AB281)</f>
        <v>3665400</v>
      </c>
      <c r="AC282" s="581">
        <f t="shared" si="124"/>
        <v>0</v>
      </c>
      <c r="AD282" s="581">
        <f t="shared" si="124"/>
        <v>939594447</v>
      </c>
      <c r="AE282" s="581">
        <f t="shared" si="124"/>
        <v>75167555.76000005</v>
      </c>
      <c r="AF282" s="581">
        <f t="shared" si="124"/>
        <v>14093916.705000004</v>
      </c>
      <c r="AG282" s="581">
        <f t="shared" si="124"/>
        <v>9395944.4700000063</v>
      </c>
      <c r="AH282" s="581">
        <f t="shared" si="124"/>
        <v>0</v>
      </c>
      <c r="AI282" s="581">
        <f t="shared" si="124"/>
        <v>98657416.934999928</v>
      </c>
      <c r="AJ282" s="582">
        <f t="shared" si="124"/>
        <v>0.75</v>
      </c>
      <c r="AK282" s="581">
        <f t="shared" si="124"/>
        <v>1117500</v>
      </c>
      <c r="AL282" s="581">
        <f t="shared" si="124"/>
        <v>0</v>
      </c>
      <c r="AM282" s="581">
        <f t="shared" si="124"/>
        <v>0</v>
      </c>
      <c r="AN282" s="581" t="e">
        <f>SUM(AN89:AN281)</f>
        <v>#REF!</v>
      </c>
      <c r="AO282" s="581" t="e">
        <f>SUM(AO89:AO281)</f>
        <v>#REF!</v>
      </c>
      <c r="AP282" s="583">
        <f>SUM(AP103:AP281)</f>
        <v>118.56749999999998</v>
      </c>
      <c r="AQ282" s="581">
        <f>SUM(AQ103:AQ281)</f>
        <v>176665575</v>
      </c>
      <c r="AR282" s="581" t="e">
        <f>SUM(AR89:AR281)</f>
        <v>#REF!</v>
      </c>
      <c r="AS282" s="581">
        <f>SUM(AS103:AS281)-22</f>
        <v>1018720105</v>
      </c>
      <c r="AT282" s="584"/>
      <c r="AU282" s="585"/>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5"/>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0"/>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1"/>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2"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2"/>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7" t="s">
        <v>1478</v>
      </c>
      <c r="F291" s="317"/>
      <c r="G291" s="317"/>
      <c r="H291" s="317"/>
      <c r="I291" s="317"/>
      <c r="J291" s="317"/>
      <c r="K291" s="510"/>
      <c r="L291" s="317"/>
      <c r="M291" s="317"/>
      <c r="N291" s="421"/>
      <c r="O291" s="317"/>
      <c r="P291" s="317"/>
      <c r="Q291" s="317"/>
      <c r="R291" s="342"/>
      <c r="S291" s="358"/>
      <c r="T291" s="317"/>
      <c r="U291" s="317"/>
      <c r="V291" s="317"/>
      <c r="W291" s="317"/>
      <c r="X291" s="317"/>
      <c r="AO291" s="646"/>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3"/>
      <c r="N293" s="425"/>
      <c r="AK293" s="1090" t="s">
        <v>1479</v>
      </c>
      <c r="AL293" s="1090"/>
      <c r="AM293" s="1090"/>
      <c r="AN293" s="1090"/>
      <c r="AO293" s="1090"/>
      <c r="AP293" s="1090"/>
      <c r="AQ293" s="1090"/>
      <c r="AR293" s="1090"/>
      <c r="AS293" s="1090"/>
      <c r="AT293" s="1090"/>
      <c r="AU293" s="1090"/>
      <c r="AV293" s="4"/>
    </row>
    <row r="294" spans="1:48" ht="18.75" customHeight="1" x14ac:dyDescent="0.25">
      <c r="D294" s="1044" t="s">
        <v>27</v>
      </c>
      <c r="E294" s="1044"/>
      <c r="F294" s="1044"/>
      <c r="G294" s="1044"/>
      <c r="H294" s="1044"/>
      <c r="I294" s="1044"/>
      <c r="J294" s="1044"/>
      <c r="K294" s="1044"/>
      <c r="L294" s="1044"/>
      <c r="M294" s="1044"/>
      <c r="N294" s="1044"/>
      <c r="O294" s="1044"/>
      <c r="P294" s="1044"/>
      <c r="Q294" s="1044"/>
      <c r="R294" s="1044"/>
      <c r="V294" s="1044" t="s">
        <v>1114</v>
      </c>
      <c r="W294" s="1044"/>
      <c r="X294" s="1044"/>
      <c r="Y294" s="1044"/>
      <c r="Z294" s="1044"/>
      <c r="AA294" s="1044"/>
      <c r="AB294" s="1044"/>
      <c r="AC294" s="1044"/>
      <c r="AD294" s="1044"/>
      <c r="AE294" s="1044"/>
      <c r="AF294" s="8"/>
      <c r="AG294" s="8"/>
      <c r="AH294" s="8"/>
      <c r="AI294" s="8"/>
      <c r="AJ294" s="1"/>
      <c r="AK294" s="1044" t="s">
        <v>176</v>
      </c>
      <c r="AL294" s="1044"/>
      <c r="AM294" s="1044"/>
      <c r="AN294" s="1044"/>
      <c r="AO294" s="1044"/>
      <c r="AP294" s="1044"/>
      <c r="AQ294" s="1044"/>
      <c r="AR294" s="1044"/>
      <c r="AS294" s="1044"/>
      <c r="AT294" s="1044"/>
      <c r="AU294" s="1044"/>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044"/>
      <c r="AL295" s="1044"/>
      <c r="AM295" s="1044"/>
      <c r="AN295" s="1044"/>
      <c r="AO295" s="1044"/>
      <c r="AP295" s="1044"/>
      <c r="AQ295" s="1044"/>
      <c r="AR295" s="1044"/>
      <c r="AS295" s="1044"/>
      <c r="AT295" s="1044"/>
      <c r="AU295" s="1044"/>
    </row>
    <row r="296" spans="1:48" x14ac:dyDescent="0.25">
      <c r="S296" s="359"/>
      <c r="U296" s="34"/>
      <c r="Z296" s="10"/>
      <c r="AA296" s="10"/>
      <c r="AB296" s="10"/>
      <c r="AC296" s="10"/>
      <c r="AD296" s="10"/>
      <c r="AE296" s="28"/>
      <c r="AF296" s="8"/>
      <c r="AG296" s="8"/>
      <c r="AH296" s="8"/>
      <c r="AI296" s="8"/>
      <c r="AJ296" s="1"/>
      <c r="AK296" s="8"/>
      <c r="AL296" s="8"/>
      <c r="AM296" s="8"/>
      <c r="AN296" s="503"/>
      <c r="AO296" s="647"/>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7"/>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7"/>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7"/>
      <c r="AP301" s="41"/>
      <c r="AQ301" s="8"/>
      <c r="AT301" s="2"/>
      <c r="AU301" s="39"/>
      <c r="AV301" s="39"/>
    </row>
    <row r="302" spans="1:48" s="1" customFormat="1" x14ac:dyDescent="0.25">
      <c r="A302" s="4"/>
      <c r="B302" s="4"/>
      <c r="C302" s="475"/>
      <c r="D302" s="1044" t="s">
        <v>1105</v>
      </c>
      <c r="E302" s="1044"/>
      <c r="F302" s="1044"/>
      <c r="G302" s="1044"/>
      <c r="H302" s="1044"/>
      <c r="I302" s="1044"/>
      <c r="J302" s="1044"/>
      <c r="K302" s="1044"/>
      <c r="L302" s="1044"/>
      <c r="M302" s="1044"/>
      <c r="N302" s="1044"/>
      <c r="O302" s="1044"/>
      <c r="P302" s="1044"/>
      <c r="Q302" s="1044"/>
      <c r="R302" s="1044"/>
      <c r="S302" s="360"/>
      <c r="U302" s="55"/>
      <c r="V302" s="1044" t="s">
        <v>803</v>
      </c>
      <c r="W302" s="1044"/>
      <c r="X302" s="1044"/>
      <c r="Y302" s="1044"/>
      <c r="Z302" s="1044"/>
      <c r="AA302" s="1044"/>
      <c r="AB302" s="1044"/>
      <c r="AC302" s="1044"/>
      <c r="AD302" s="1044"/>
      <c r="AE302" s="1044"/>
      <c r="AF302" s="8"/>
      <c r="AG302" s="8"/>
      <c r="AH302" s="8"/>
      <c r="AI302" s="8"/>
      <c r="AK302" s="1044" t="s">
        <v>772</v>
      </c>
      <c r="AL302" s="1044"/>
      <c r="AM302" s="1044"/>
      <c r="AN302" s="1044"/>
      <c r="AO302" s="1044"/>
      <c r="AP302" s="1044"/>
      <c r="AQ302" s="1044"/>
      <c r="AR302" s="1044"/>
      <c r="AS302" s="1044"/>
      <c r="AT302" s="1044"/>
      <c r="AU302" s="1044"/>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044" t="s">
        <v>1072</v>
      </c>
      <c r="B1" s="1044"/>
      <c r="C1" s="1044"/>
      <c r="D1" s="1044"/>
      <c r="E1" s="1044"/>
      <c r="F1" s="1044"/>
      <c r="G1" s="1044"/>
      <c r="H1" s="1044"/>
      <c r="I1" s="1044"/>
      <c r="J1" s="1044"/>
      <c r="K1" s="1044"/>
      <c r="L1" s="1044"/>
      <c r="M1" s="1044"/>
      <c r="N1" s="1044"/>
      <c r="O1" s="1044"/>
      <c r="Q1" s="6"/>
      <c r="R1" s="326"/>
      <c r="U1" s="2"/>
      <c r="AE1" s="9"/>
      <c r="AL1" s="1045" t="s">
        <v>1073</v>
      </c>
      <c r="AM1" s="1045"/>
      <c r="AN1" s="1045"/>
      <c r="AO1" s="1045"/>
      <c r="AP1" s="1045"/>
      <c r="AQ1" s="1045"/>
      <c r="AR1" s="1045"/>
      <c r="AS1" s="1045"/>
      <c r="AT1" s="1045"/>
      <c r="AU1" s="1045"/>
      <c r="AV1" s="1045"/>
      <c r="AW1" s="1045"/>
      <c r="AX1" s="10"/>
    </row>
    <row r="2" spans="1:63" x14ac:dyDescent="0.25">
      <c r="A2" s="1044" t="s">
        <v>1131</v>
      </c>
      <c r="B2" s="1044"/>
      <c r="C2" s="1044"/>
      <c r="D2" s="1044"/>
      <c r="E2" s="1044"/>
      <c r="F2" s="1044"/>
      <c r="G2" s="1044"/>
      <c r="H2" s="1044"/>
      <c r="I2" s="1044"/>
      <c r="J2" s="1044"/>
      <c r="K2" s="1044"/>
      <c r="L2" s="1044"/>
      <c r="M2" s="1044"/>
      <c r="N2" s="1044"/>
      <c r="O2" s="1044"/>
      <c r="Q2" s="6"/>
      <c r="R2" s="326"/>
      <c r="U2" s="2"/>
      <c r="X2" s="2"/>
      <c r="Y2" s="2"/>
      <c r="Z2" s="2"/>
      <c r="AA2" s="2"/>
      <c r="AB2" s="2"/>
      <c r="AC2" s="2"/>
      <c r="AD2" s="2"/>
      <c r="AE2" s="9"/>
      <c r="AL2" s="1046" t="s">
        <v>1285</v>
      </c>
      <c r="AM2" s="1046"/>
      <c r="AN2" s="1046"/>
      <c r="AO2" s="1046"/>
      <c r="AP2" s="1046"/>
      <c r="AQ2" s="1046"/>
      <c r="AR2" s="1046"/>
      <c r="AS2" s="1046"/>
      <c r="AT2" s="1046"/>
      <c r="AU2" s="1046"/>
      <c r="AV2" s="1046"/>
      <c r="AW2" s="1046"/>
      <c r="AX2" s="10"/>
    </row>
    <row r="3" spans="1:63" ht="18" customHeight="1" x14ac:dyDescent="0.25">
      <c r="A3" s="1044" t="s">
        <v>1369</v>
      </c>
      <c r="B3" s="1044"/>
      <c r="C3" s="1044"/>
      <c r="D3" s="1044"/>
      <c r="E3" s="1044"/>
      <c r="F3" s="1044"/>
      <c r="G3" s="1044"/>
      <c r="H3" s="1044"/>
      <c r="I3" s="1044"/>
      <c r="J3" s="1044"/>
      <c r="K3" s="1044"/>
      <c r="L3" s="1044"/>
      <c r="M3" s="1044"/>
      <c r="N3" s="1044"/>
      <c r="O3" s="1044"/>
      <c r="Q3" s="6"/>
      <c r="R3" s="326"/>
      <c r="X3" s="9"/>
      <c r="Y3" s="9"/>
      <c r="AE3" s="9"/>
      <c r="AL3" s="1046" t="s">
        <v>1286</v>
      </c>
      <c r="AM3" s="1046"/>
      <c r="AN3" s="1046"/>
      <c r="AO3" s="1046"/>
      <c r="AP3" s="1046"/>
      <c r="AQ3" s="1046"/>
      <c r="AR3" s="1046"/>
      <c r="AS3" s="1046"/>
      <c r="AT3" s="1046"/>
      <c r="AU3" s="1046"/>
      <c r="AV3" s="1046"/>
      <c r="AW3" s="1046"/>
    </row>
    <row r="4" spans="1:63" ht="12" customHeight="1" x14ac:dyDescent="0.35">
      <c r="A4" s="72"/>
      <c r="B4" s="72"/>
      <c r="Q4" s="6"/>
      <c r="R4" s="326"/>
      <c r="U4" s="1047" t="s">
        <v>1064</v>
      </c>
      <c r="V4" s="1047"/>
      <c r="W4" s="1047"/>
      <c r="X4" s="1047"/>
      <c r="Y4" s="1047"/>
      <c r="Z4" s="1047"/>
      <c r="AA4" s="1047"/>
      <c r="AB4" s="1047"/>
      <c r="AC4" s="1047"/>
      <c r="AD4" s="1047"/>
      <c r="AE4" s="1047"/>
      <c r="AF4" s="1047"/>
      <c r="AG4" s="1047"/>
      <c r="AH4" s="1047"/>
      <c r="AI4" s="1047"/>
      <c r="AJ4" s="1047"/>
      <c r="AK4" s="1047"/>
      <c r="AL4" s="1047"/>
      <c r="AM4" s="385"/>
      <c r="AN4" s="385"/>
    </row>
    <row r="5" spans="1:63" ht="18.75" customHeight="1" x14ac:dyDescent="0.35">
      <c r="A5" s="11"/>
      <c r="B5" s="11"/>
      <c r="C5" s="475"/>
      <c r="D5" s="1"/>
      <c r="E5" s="260"/>
      <c r="F5" s="1"/>
      <c r="G5" s="4"/>
      <c r="H5" s="4"/>
      <c r="I5" s="4"/>
      <c r="J5" s="1"/>
      <c r="K5" s="4"/>
      <c r="L5" s="1"/>
      <c r="M5" s="1"/>
      <c r="N5" s="421"/>
      <c r="U5" s="1047"/>
      <c r="V5" s="1047"/>
      <c r="W5" s="1047"/>
      <c r="X5" s="1047"/>
      <c r="Y5" s="1047"/>
      <c r="Z5" s="1047"/>
      <c r="AA5" s="1047"/>
      <c r="AB5" s="1047"/>
      <c r="AC5" s="1047"/>
      <c r="AD5" s="1047"/>
      <c r="AE5" s="1047"/>
      <c r="AF5" s="1047"/>
      <c r="AG5" s="1047"/>
      <c r="AH5" s="1047"/>
      <c r="AI5" s="1047"/>
      <c r="AJ5" s="1047"/>
      <c r="AK5" s="1047"/>
      <c r="AL5" s="1047"/>
      <c r="AM5" s="385"/>
      <c r="AN5" s="385"/>
      <c r="AR5" s="1048" t="s">
        <v>1074</v>
      </c>
      <c r="AS5" s="1048"/>
      <c r="AT5" s="1048"/>
      <c r="AU5" s="1048"/>
      <c r="AV5" s="1048"/>
      <c r="AW5" s="1048"/>
      <c r="AX5" s="11"/>
    </row>
    <row r="6" spans="1:63" ht="19.5" customHeight="1" x14ac:dyDescent="0.3">
      <c r="A6" s="11"/>
      <c r="B6" s="11"/>
      <c r="C6" s="475"/>
      <c r="D6" s="1"/>
      <c r="E6" s="260"/>
      <c r="F6" s="1"/>
      <c r="G6" s="4"/>
      <c r="H6" s="4"/>
      <c r="I6" s="4"/>
      <c r="J6" s="1"/>
      <c r="K6" s="4"/>
      <c r="L6" s="1"/>
      <c r="M6" s="1"/>
      <c r="N6" s="421"/>
      <c r="Q6" s="1"/>
      <c r="R6" s="328"/>
      <c r="U6" s="1049" t="s">
        <v>1528</v>
      </c>
      <c r="V6" s="1049"/>
      <c r="W6" s="1049"/>
      <c r="X6" s="1049"/>
      <c r="Y6" s="1049"/>
      <c r="Z6" s="1049"/>
      <c r="AA6" s="1049"/>
      <c r="AB6" s="1049"/>
      <c r="AC6" s="1049"/>
      <c r="AD6" s="1049"/>
      <c r="AE6" s="1049"/>
      <c r="AF6" s="1049"/>
      <c r="AG6" s="1049"/>
      <c r="AH6" s="1049"/>
      <c r="AI6" s="1049"/>
      <c r="AJ6" s="1049"/>
      <c r="AK6" s="1049"/>
      <c r="AL6" s="1049"/>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50" t="s">
        <v>691</v>
      </c>
      <c r="B9" s="59"/>
      <c r="C9" s="1051" t="s">
        <v>1031</v>
      </c>
      <c r="D9" s="1050" t="s">
        <v>699</v>
      </c>
      <c r="E9" s="1052" t="s">
        <v>1054</v>
      </c>
      <c r="F9" s="59"/>
      <c r="G9" s="1054" t="s">
        <v>22</v>
      </c>
      <c r="H9" s="141"/>
      <c r="I9" s="141" t="s">
        <v>285</v>
      </c>
      <c r="J9" s="1054" t="s">
        <v>178</v>
      </c>
      <c r="K9" s="1055" t="s">
        <v>1311</v>
      </c>
      <c r="L9" s="274" t="s">
        <v>69</v>
      </c>
      <c r="M9" s="1057" t="s">
        <v>1031</v>
      </c>
      <c r="N9" s="1058" t="s">
        <v>824</v>
      </c>
      <c r="O9" s="1059" t="s">
        <v>174</v>
      </c>
      <c r="P9" s="1060" t="s">
        <v>700</v>
      </c>
      <c r="Q9" s="1061" t="s">
        <v>1056</v>
      </c>
      <c r="R9" s="1062"/>
      <c r="S9" s="1062"/>
      <c r="T9" s="1062"/>
      <c r="U9" s="1062"/>
      <c r="V9" s="1062"/>
      <c r="W9" s="1062"/>
      <c r="X9" s="1062"/>
      <c r="Y9" s="1063" t="s">
        <v>827</v>
      </c>
      <c r="Z9" s="1075" t="s">
        <v>718</v>
      </c>
      <c r="AA9" s="1077" t="s">
        <v>1061</v>
      </c>
      <c r="AB9" s="1075" t="s">
        <v>828</v>
      </c>
      <c r="AC9" s="1075" t="s">
        <v>829</v>
      </c>
      <c r="AD9" s="1075" t="s">
        <v>830</v>
      </c>
      <c r="AE9" s="1074" t="s">
        <v>716</v>
      </c>
      <c r="AF9" s="1050" t="s">
        <v>717</v>
      </c>
      <c r="AG9" s="1050"/>
      <c r="AH9" s="1050"/>
      <c r="AI9" s="1050"/>
      <c r="AJ9" s="1050"/>
      <c r="AK9" s="1081" t="s">
        <v>1091</v>
      </c>
      <c r="AL9" s="1081"/>
      <c r="AM9" s="1082" t="s">
        <v>1108</v>
      </c>
      <c r="AN9" s="1083"/>
      <c r="AO9" s="1073" t="s">
        <v>678</v>
      </c>
      <c r="AP9" s="1084" t="s">
        <v>523</v>
      </c>
      <c r="AQ9" s="1073" t="s">
        <v>1092</v>
      </c>
      <c r="AR9" s="1074" t="s">
        <v>546</v>
      </c>
      <c r="AS9" s="142" t="s">
        <v>693</v>
      </c>
      <c r="AT9" s="1065" t="s">
        <v>644</v>
      </c>
      <c r="AU9" s="1066" t="s">
        <v>1032</v>
      </c>
      <c r="AV9" s="1068" t="s">
        <v>1057</v>
      </c>
      <c r="AW9" s="1068"/>
      <c r="AX9" s="85"/>
      <c r="AY9" s="152"/>
      <c r="AZ9" s="14" t="e">
        <f>AZ8*16</f>
        <v>#REF!</v>
      </c>
    </row>
    <row r="10" spans="1:63" s="14" customFormat="1" ht="36" customHeight="1" x14ac:dyDescent="0.25">
      <c r="A10" s="1050"/>
      <c r="B10" s="59"/>
      <c r="C10" s="1051"/>
      <c r="D10" s="1050"/>
      <c r="E10" s="1053"/>
      <c r="F10" s="59"/>
      <c r="G10" s="1054"/>
      <c r="H10" s="141"/>
      <c r="I10" s="141" t="s">
        <v>286</v>
      </c>
      <c r="J10" s="1054"/>
      <c r="K10" s="1056"/>
      <c r="L10" s="274" t="s">
        <v>131</v>
      </c>
      <c r="M10" s="1057"/>
      <c r="N10" s="1058"/>
      <c r="O10" s="1059"/>
      <c r="P10" s="1060"/>
      <c r="Q10" s="299" t="s">
        <v>825</v>
      </c>
      <c r="R10" s="329" t="s">
        <v>1062</v>
      </c>
      <c r="S10" s="379" t="s">
        <v>1033</v>
      </c>
      <c r="T10" s="301" t="s">
        <v>1055</v>
      </c>
      <c r="U10" s="300"/>
      <c r="V10" s="302" t="s">
        <v>1123</v>
      </c>
      <c r="W10" s="270" t="s">
        <v>1077</v>
      </c>
      <c r="X10" s="303" t="s">
        <v>826</v>
      </c>
      <c r="Y10" s="1064"/>
      <c r="Z10" s="1076"/>
      <c r="AA10" s="1078"/>
      <c r="AB10" s="1076"/>
      <c r="AC10" s="1076"/>
      <c r="AD10" s="1076"/>
      <c r="AE10" s="1074"/>
      <c r="AF10" s="60" t="s">
        <v>747</v>
      </c>
      <c r="AG10" s="60" t="s">
        <v>564</v>
      </c>
      <c r="AH10" s="57" t="s">
        <v>521</v>
      </c>
      <c r="AI10" s="57" t="s">
        <v>831</v>
      </c>
      <c r="AJ10" s="57" t="s">
        <v>716</v>
      </c>
      <c r="AK10" s="60" t="s">
        <v>719</v>
      </c>
      <c r="AL10" s="60" t="s">
        <v>718</v>
      </c>
      <c r="AM10" s="60" t="s">
        <v>719</v>
      </c>
      <c r="AN10" s="60" t="s">
        <v>718</v>
      </c>
      <c r="AO10" s="1073"/>
      <c r="AP10" s="1084"/>
      <c r="AQ10" s="1073"/>
      <c r="AR10" s="1074"/>
      <c r="AS10" s="142" t="s">
        <v>524</v>
      </c>
      <c r="AT10" s="1065"/>
      <c r="AU10" s="1067"/>
      <c r="AV10" s="1068"/>
      <c r="AW10" s="1068"/>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69">
        <v>27</v>
      </c>
      <c r="AW11" s="1069"/>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6"/>
      <c r="D13" s="1091" t="s">
        <v>1421</v>
      </c>
      <c r="E13" s="1091"/>
      <c r="F13" s="1091"/>
      <c r="G13" s="1091"/>
      <c r="H13" s="1091"/>
      <c r="I13" s="1091"/>
      <c r="J13" s="1091"/>
      <c r="K13" s="1091"/>
      <c r="L13" s="1091"/>
      <c r="M13" s="1091"/>
      <c r="N13" s="1091"/>
      <c r="O13" s="1091"/>
      <c r="P13" s="617"/>
      <c r="Q13" s="617"/>
      <c r="R13" s="618"/>
      <c r="S13" s="619"/>
      <c r="T13" s="620"/>
      <c r="U13" s="621"/>
      <c r="V13" s="622"/>
      <c r="W13" s="623"/>
      <c r="X13" s="623"/>
      <c r="Y13" s="623"/>
      <c r="Z13" s="624"/>
      <c r="AA13" s="624"/>
      <c r="AB13" s="624"/>
      <c r="AC13" s="624"/>
      <c r="AD13" s="624"/>
      <c r="AE13" s="625"/>
      <c r="AF13" s="625"/>
      <c r="AG13" s="625"/>
      <c r="AH13" s="625"/>
      <c r="AI13" s="625"/>
      <c r="AJ13" s="625"/>
      <c r="AK13" s="626"/>
      <c r="AL13" s="627"/>
      <c r="AM13" s="627"/>
      <c r="AN13" s="627"/>
      <c r="AO13" s="441"/>
      <c r="AP13" s="623"/>
      <c r="AQ13" s="442"/>
      <c r="AR13" s="625"/>
      <c r="AS13" s="628"/>
      <c r="AT13" s="625"/>
      <c r="AU13" s="625"/>
      <c r="AV13" s="629"/>
      <c r="AW13" s="630"/>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8" t="s">
        <v>1026</v>
      </c>
      <c r="D14" s="524" t="s">
        <v>1236</v>
      </c>
      <c r="E14" s="521" t="s">
        <v>1262</v>
      </c>
      <c r="F14" s="524"/>
      <c r="G14" s="525" t="s">
        <v>25</v>
      </c>
      <c r="H14" s="525"/>
      <c r="I14" s="525" t="s">
        <v>284</v>
      </c>
      <c r="J14" s="524" t="s">
        <v>267</v>
      </c>
      <c r="K14" s="525" t="str">
        <f>VLOOKUP(D14,[2]T3!$B$2:$D$328,3,FALSE)</f>
        <v>024834589</v>
      </c>
      <c r="L14" s="609" t="s">
        <v>125</v>
      </c>
      <c r="M14" s="609" t="s">
        <v>1026</v>
      </c>
      <c r="N14" s="610" t="s">
        <v>41</v>
      </c>
      <c r="O14" s="611" t="s">
        <v>2</v>
      </c>
      <c r="P14" s="612">
        <v>6</v>
      </c>
      <c r="Q14" s="613">
        <v>2.58</v>
      </c>
      <c r="R14" s="463">
        <f>T14+V14+X14</f>
        <v>0</v>
      </c>
      <c r="S14" s="614"/>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5">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8"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49"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0"/>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2"/>
      <c r="B19" s="592"/>
      <c r="C19" s="593"/>
      <c r="D19" s="1079" t="s">
        <v>1418</v>
      </c>
      <c r="E19" s="1092"/>
      <c r="F19" s="594"/>
      <c r="G19" s="595"/>
      <c r="H19" s="595"/>
      <c r="I19" s="595"/>
      <c r="J19" s="594"/>
      <c r="K19" s="595"/>
      <c r="L19" s="596"/>
      <c r="M19" s="596"/>
      <c r="N19" s="597"/>
      <c r="O19" s="598"/>
      <c r="P19" s="599"/>
      <c r="Q19" s="600">
        <f>SUM(Q13:Q18)</f>
        <v>15.24</v>
      </c>
      <c r="R19" s="600">
        <f>SUM(R13:R18)</f>
        <v>0.93959999999999999</v>
      </c>
      <c r="S19" s="601"/>
      <c r="T19" s="602">
        <f>SUM(T13:T18)</f>
        <v>0.93959999999999999</v>
      </c>
      <c r="U19" s="602">
        <f>SUM(U13:U18)</f>
        <v>1400004</v>
      </c>
      <c r="V19" s="602">
        <f>SUM(V13:V18)</f>
        <v>0</v>
      </c>
      <c r="W19" s="602"/>
      <c r="X19" s="602">
        <f t="shared" ref="X19:AT19" si="0">SUM(X13:X18)</f>
        <v>0</v>
      </c>
      <c r="Y19" s="602">
        <f t="shared" si="0"/>
        <v>16.179600000000001</v>
      </c>
      <c r="Z19" s="603">
        <f t="shared" si="0"/>
        <v>24107604</v>
      </c>
      <c r="AA19" s="603">
        <f t="shared" si="0"/>
        <v>0</v>
      </c>
      <c r="AB19" s="603">
        <f t="shared" si="0"/>
        <v>0</v>
      </c>
      <c r="AC19" s="603">
        <f t="shared" si="0"/>
        <v>0</v>
      </c>
      <c r="AD19" s="603">
        <f t="shared" si="0"/>
        <v>24107604</v>
      </c>
      <c r="AE19" s="603" t="e">
        <f t="shared" si="0"/>
        <v>#REF!</v>
      </c>
      <c r="AF19" s="603">
        <f t="shared" si="0"/>
        <v>1928608.32</v>
      </c>
      <c r="AG19" s="603">
        <f t="shared" si="0"/>
        <v>361614.06</v>
      </c>
      <c r="AH19" s="603">
        <f t="shared" si="0"/>
        <v>241076.04</v>
      </c>
      <c r="AI19" s="603">
        <f t="shared" si="0"/>
        <v>0</v>
      </c>
      <c r="AJ19" s="603">
        <f t="shared" si="0"/>
        <v>2531298.42</v>
      </c>
      <c r="AK19" s="604">
        <f t="shared" si="0"/>
        <v>0</v>
      </c>
      <c r="AL19" s="603">
        <f t="shared" si="0"/>
        <v>0</v>
      </c>
      <c r="AM19" s="603">
        <f t="shared" si="0"/>
        <v>0</v>
      </c>
      <c r="AN19" s="603">
        <f t="shared" si="0"/>
        <v>0</v>
      </c>
      <c r="AO19" s="603">
        <f t="shared" si="0"/>
        <v>16.179600000000001</v>
      </c>
      <c r="AP19" s="603">
        <f t="shared" si="0"/>
        <v>0</v>
      </c>
      <c r="AQ19" s="605">
        <f t="shared" si="0"/>
        <v>0</v>
      </c>
      <c r="AR19" s="603">
        <f t="shared" si="0"/>
        <v>0</v>
      </c>
      <c r="AS19" s="603">
        <f t="shared" si="0"/>
        <v>0</v>
      </c>
      <c r="AT19" s="603">
        <f t="shared" si="0"/>
        <v>0</v>
      </c>
      <c r="AU19" s="603">
        <f>SUM(AU13:AU18)-1</f>
        <v>21576306</v>
      </c>
      <c r="AV19" s="606"/>
      <c r="AW19" s="607"/>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1530</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[5]!VND(#REF!,,"đồng","ảo",3)</f>
        <v>#VALUE!</v>
      </c>
      <c r="N23" s="425"/>
      <c r="AL23" s="1090" t="s">
        <v>1529</v>
      </c>
      <c r="AM23" s="1090"/>
      <c r="AN23" s="1090"/>
      <c r="AO23" s="1090"/>
      <c r="AP23" s="1090"/>
      <c r="AQ23" s="1090"/>
      <c r="AR23" s="1090"/>
      <c r="AS23" s="1090"/>
      <c r="AT23" s="1090"/>
      <c r="AU23" s="1090"/>
      <c r="AV23" s="1090"/>
      <c r="AW23" s="1090"/>
      <c r="AX23" s="4"/>
    </row>
    <row r="24" spans="1:63" ht="18.75" customHeight="1" x14ac:dyDescent="0.25">
      <c r="D24" s="1044" t="s">
        <v>27</v>
      </c>
      <c r="E24" s="1044"/>
      <c r="F24" s="1044"/>
      <c r="G24" s="1044"/>
      <c r="H24" s="1044"/>
      <c r="I24" s="1044"/>
      <c r="J24" s="1044"/>
      <c r="K24" s="1044"/>
      <c r="L24" s="1044"/>
      <c r="M24" s="1044"/>
      <c r="N24" s="1044"/>
      <c r="O24" s="1044"/>
      <c r="P24" s="1044"/>
      <c r="Q24" s="1044"/>
      <c r="R24" s="1044"/>
      <c r="V24" s="1044" t="s">
        <v>1114</v>
      </c>
      <c r="W24" s="1044"/>
      <c r="X24" s="1044"/>
      <c r="Y24" s="1044"/>
      <c r="Z24" s="1044"/>
      <c r="AA24" s="1044"/>
      <c r="AB24" s="1044"/>
      <c r="AC24" s="1044"/>
      <c r="AD24" s="1044"/>
      <c r="AE24" s="1044"/>
      <c r="AF24" s="1044"/>
      <c r="AG24" s="8"/>
      <c r="AH24" s="8"/>
      <c r="AI24" s="8"/>
      <c r="AJ24" s="8"/>
      <c r="AK24" s="1"/>
      <c r="AL24" s="1044" t="s">
        <v>176</v>
      </c>
      <c r="AM24" s="1044"/>
      <c r="AN24" s="1044"/>
      <c r="AO24" s="1044"/>
      <c r="AP24" s="1044"/>
      <c r="AQ24" s="1044"/>
      <c r="AR24" s="1044"/>
      <c r="AS24" s="1044"/>
      <c r="AT24" s="1044"/>
      <c r="AU24" s="1044"/>
      <c r="AV24" s="1044"/>
      <c r="AW24" s="1044"/>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044"/>
      <c r="AM25" s="1044"/>
      <c r="AN25" s="1044"/>
      <c r="AO25" s="1044"/>
      <c r="AP25" s="1044"/>
      <c r="AQ25" s="1044"/>
      <c r="AR25" s="1044"/>
      <c r="AS25" s="1044"/>
      <c r="AT25" s="1044"/>
      <c r="AU25" s="1044"/>
      <c r="AV25" s="1044"/>
      <c r="AW25" s="1044"/>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1044" t="s">
        <v>1105</v>
      </c>
      <c r="E32" s="1044"/>
      <c r="F32" s="1044"/>
      <c r="G32" s="1044"/>
      <c r="H32" s="1044"/>
      <c r="I32" s="1044"/>
      <c r="J32" s="1044"/>
      <c r="K32" s="1044"/>
      <c r="L32" s="1044"/>
      <c r="M32" s="1044"/>
      <c r="N32" s="1044"/>
      <c r="O32" s="1044"/>
      <c r="P32" s="1044"/>
      <c r="Q32" s="1044"/>
      <c r="R32" s="1044"/>
      <c r="S32" s="360"/>
      <c r="U32" s="55"/>
      <c r="V32" s="1044" t="s">
        <v>803</v>
      </c>
      <c r="W32" s="1044"/>
      <c r="X32" s="1044"/>
      <c r="Y32" s="1044"/>
      <c r="Z32" s="1044"/>
      <c r="AA32" s="1044"/>
      <c r="AB32" s="1044"/>
      <c r="AC32" s="1044"/>
      <c r="AD32" s="1044"/>
      <c r="AE32" s="1044"/>
      <c r="AF32" s="1044"/>
      <c r="AG32" s="8"/>
      <c r="AH32" s="8"/>
      <c r="AI32" s="8"/>
      <c r="AJ32" s="8"/>
      <c r="AL32" s="1044" t="s">
        <v>772</v>
      </c>
      <c r="AM32" s="1044"/>
      <c r="AN32" s="1044"/>
      <c r="AO32" s="1044"/>
      <c r="AP32" s="1044"/>
      <c r="AQ32" s="1044"/>
      <c r="AR32" s="1044"/>
      <c r="AS32" s="1044"/>
      <c r="AT32" s="1044"/>
      <c r="AU32" s="1044"/>
      <c r="AV32" s="1044"/>
      <c r="AW32" s="1044"/>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336"/>
  <sheetViews>
    <sheetView tabSelected="1" topLeftCell="A137" zoomScale="110" zoomScaleNormal="110" workbookViewId="0">
      <selection activeCell="D143" sqref="D143"/>
    </sheetView>
  </sheetViews>
  <sheetFormatPr defaultColWidth="10.125" defaultRowHeight="15.75" x14ac:dyDescent="0.25"/>
  <cols>
    <col min="1" max="1" width="4.875" style="5" customWidth="1"/>
    <col min="2" max="2" width="18.125" style="5" hidden="1" customWidth="1"/>
    <col min="3" max="3" width="13" style="847"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bestFit="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25" style="7" bestFit="1" customWidth="1"/>
    <col min="41" max="41" width="12.125" style="491" hidden="1" customWidth="1"/>
    <col min="42" max="42" width="9.25" style="643" hidden="1" customWidth="1"/>
    <col min="43" max="43" width="9" style="44"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44" t="s">
        <v>1072</v>
      </c>
      <c r="B1" s="1044"/>
      <c r="C1" s="1044"/>
      <c r="D1" s="1044"/>
      <c r="E1" s="1044"/>
      <c r="F1" s="1044"/>
      <c r="G1" s="1044"/>
      <c r="H1" s="1044"/>
      <c r="I1" s="1044"/>
      <c r="J1" s="1044"/>
      <c r="K1" s="1044"/>
      <c r="L1" s="1044"/>
      <c r="M1" s="1044"/>
      <c r="N1" s="1044"/>
      <c r="O1" s="1044"/>
      <c r="P1" s="1044"/>
      <c r="R1" s="6"/>
      <c r="S1" s="326"/>
      <c r="V1" s="2"/>
      <c r="AL1" s="1045" t="s">
        <v>1073</v>
      </c>
      <c r="AM1" s="1045"/>
      <c r="AN1" s="1045"/>
      <c r="AO1" s="1045"/>
      <c r="AP1" s="1045"/>
      <c r="AQ1" s="1045"/>
      <c r="AR1" s="1045"/>
      <c r="AS1" s="1045"/>
      <c r="AT1" s="1045"/>
      <c r="AU1" s="1045"/>
      <c r="AV1" s="1045"/>
      <c r="AW1" s="941"/>
    </row>
    <row r="2" spans="1:59" x14ac:dyDescent="0.25">
      <c r="A2" s="1044" t="s">
        <v>1131</v>
      </c>
      <c r="B2" s="1044"/>
      <c r="C2" s="1044"/>
      <c r="D2" s="1044"/>
      <c r="E2" s="1044"/>
      <c r="F2" s="1044"/>
      <c r="G2" s="1044"/>
      <c r="H2" s="1044"/>
      <c r="I2" s="1044"/>
      <c r="J2" s="1044"/>
      <c r="K2" s="1044"/>
      <c r="L2" s="1044"/>
      <c r="M2" s="1044"/>
      <c r="N2" s="1044"/>
      <c r="O2" s="1044"/>
      <c r="P2" s="1044"/>
      <c r="R2" s="6"/>
      <c r="S2" s="326"/>
      <c r="V2" s="2"/>
      <c r="Y2" s="2"/>
      <c r="Z2" s="2"/>
      <c r="AA2" s="2"/>
      <c r="AB2" s="2"/>
      <c r="AC2" s="2"/>
      <c r="AD2" s="2"/>
      <c r="AE2" s="2"/>
      <c r="AL2" s="1046" t="s">
        <v>1285</v>
      </c>
      <c r="AM2" s="1046"/>
      <c r="AN2" s="1046"/>
      <c r="AO2" s="1046"/>
      <c r="AP2" s="1046"/>
      <c r="AQ2" s="1046"/>
      <c r="AR2" s="1046"/>
      <c r="AS2" s="1046"/>
      <c r="AT2" s="1046"/>
      <c r="AU2" s="1046"/>
      <c r="AV2" s="1046"/>
      <c r="AW2" s="941"/>
    </row>
    <row r="3" spans="1:59" ht="18" customHeight="1" x14ac:dyDescent="0.25">
      <c r="A3" s="1044" t="s">
        <v>1369</v>
      </c>
      <c r="B3" s="1044"/>
      <c r="C3" s="1044"/>
      <c r="D3" s="1044"/>
      <c r="E3" s="1044"/>
      <c r="F3" s="1044"/>
      <c r="G3" s="1044"/>
      <c r="H3" s="1044"/>
      <c r="I3" s="1044"/>
      <c r="J3" s="1044"/>
      <c r="K3" s="1044"/>
      <c r="L3" s="1044"/>
      <c r="M3" s="1044"/>
      <c r="N3" s="1044"/>
      <c r="O3" s="1044"/>
      <c r="P3" s="1044"/>
      <c r="R3" s="6"/>
      <c r="S3" s="326"/>
      <c r="Y3" s="9"/>
      <c r="Z3" s="9"/>
      <c r="AL3" s="1046" t="s">
        <v>1286</v>
      </c>
      <c r="AM3" s="1046"/>
      <c r="AN3" s="1046"/>
      <c r="AO3" s="1046"/>
      <c r="AP3" s="1046"/>
      <c r="AQ3" s="1046"/>
      <c r="AR3" s="1046"/>
      <c r="AS3" s="1046"/>
      <c r="AT3" s="1046"/>
      <c r="AU3" s="1046"/>
      <c r="AV3" s="1046"/>
    </row>
    <row r="4" spans="1:59" ht="12" customHeight="1" x14ac:dyDescent="0.35">
      <c r="A4" s="72"/>
      <c r="B4" s="72"/>
      <c r="R4" s="6"/>
      <c r="S4" s="326"/>
      <c r="V4" s="1093" t="s">
        <v>1064</v>
      </c>
      <c r="W4" s="1093"/>
      <c r="X4" s="1093"/>
      <c r="Y4" s="1093"/>
      <c r="Z4" s="1093"/>
      <c r="AA4" s="1093"/>
      <c r="AB4" s="1093"/>
      <c r="AC4" s="1093"/>
      <c r="AD4" s="1093"/>
      <c r="AE4" s="1093"/>
      <c r="AF4" s="1093"/>
      <c r="AG4" s="1093"/>
      <c r="AH4" s="1093"/>
      <c r="AI4" s="1093"/>
      <c r="AJ4" s="1093"/>
      <c r="AK4" s="1093"/>
      <c r="AL4" s="1093"/>
      <c r="AM4" s="385"/>
      <c r="AN4" s="385"/>
    </row>
    <row r="5" spans="1:59" ht="18.75" customHeight="1" x14ac:dyDescent="0.35">
      <c r="A5" s="942"/>
      <c r="B5" s="942"/>
      <c r="C5" s="848"/>
      <c r="D5" s="1"/>
      <c r="E5" s="260"/>
      <c r="F5" s="1"/>
      <c r="G5" s="940"/>
      <c r="H5" s="940"/>
      <c r="I5" s="940"/>
      <c r="J5" s="1"/>
      <c r="K5" s="940"/>
      <c r="L5" s="1"/>
      <c r="M5" s="1"/>
      <c r="N5" s="1"/>
      <c r="O5" s="421"/>
      <c r="V5" s="1093"/>
      <c r="W5" s="1093"/>
      <c r="X5" s="1093"/>
      <c r="Y5" s="1093"/>
      <c r="Z5" s="1093"/>
      <c r="AA5" s="1093"/>
      <c r="AB5" s="1093"/>
      <c r="AC5" s="1093"/>
      <c r="AD5" s="1093"/>
      <c r="AE5" s="1093"/>
      <c r="AF5" s="1093"/>
      <c r="AG5" s="1093"/>
      <c r="AH5" s="1093"/>
      <c r="AI5" s="1093"/>
      <c r="AJ5" s="1093"/>
      <c r="AK5" s="1093"/>
      <c r="AL5" s="1093"/>
      <c r="AM5" s="385"/>
      <c r="AN5" s="385"/>
      <c r="AR5" s="1048" t="s">
        <v>1074</v>
      </c>
      <c r="AS5" s="1048"/>
      <c r="AT5" s="1048"/>
      <c r="AU5" s="1048"/>
      <c r="AV5" s="1048"/>
      <c r="AW5" s="942"/>
    </row>
    <row r="6" spans="1:59" ht="19.5" customHeight="1" x14ac:dyDescent="0.3">
      <c r="A6" s="942"/>
      <c r="B6" s="942"/>
      <c r="C6" s="848"/>
      <c r="D6" s="1"/>
      <c r="E6" s="260"/>
      <c r="F6" s="1"/>
      <c r="G6" s="940"/>
      <c r="H6" s="940"/>
      <c r="I6" s="940"/>
      <c r="J6" s="1"/>
      <c r="K6" s="940"/>
      <c r="L6" s="1"/>
      <c r="M6" s="1"/>
      <c r="N6" s="1"/>
      <c r="O6" s="421"/>
      <c r="R6" s="1"/>
      <c r="S6" s="328"/>
      <c r="V6" s="1094" t="s">
        <v>1671</v>
      </c>
      <c r="W6" s="1094"/>
      <c r="X6" s="1094"/>
      <c r="Y6" s="1094"/>
      <c r="Z6" s="1094"/>
      <c r="AA6" s="1094"/>
      <c r="AB6" s="1094"/>
      <c r="AC6" s="1094"/>
      <c r="AD6" s="1094"/>
      <c r="AE6" s="1094"/>
      <c r="AF6" s="1094"/>
      <c r="AG6" s="1094"/>
      <c r="AH6" s="1094"/>
      <c r="AI6" s="1094"/>
      <c r="AJ6" s="1094"/>
      <c r="AK6" s="1094"/>
      <c r="AL6" s="1094"/>
      <c r="AM6" s="943"/>
      <c r="AN6" s="943"/>
      <c r="AR6" s="13" t="s">
        <v>1075</v>
      </c>
      <c r="AS6" s="942"/>
      <c r="AT6" s="942"/>
      <c r="AU6" s="72"/>
      <c r="AV6" s="143"/>
      <c r="AW6" s="40"/>
    </row>
    <row r="7" spans="1:59" ht="15" customHeight="1" x14ac:dyDescent="0.3">
      <c r="A7" s="942"/>
      <c r="B7" s="942"/>
      <c r="C7" s="848"/>
      <c r="D7" s="1"/>
      <c r="E7" s="260"/>
      <c r="F7" s="1"/>
      <c r="G7" s="940"/>
      <c r="H7" s="940"/>
      <c r="I7" s="940"/>
      <c r="J7" s="1"/>
      <c r="K7" s="940"/>
      <c r="L7" s="1"/>
      <c r="M7" s="1"/>
      <c r="N7" s="1"/>
      <c r="O7" s="421"/>
      <c r="R7" s="1"/>
      <c r="S7" s="328"/>
      <c r="V7" s="943"/>
      <c r="W7" s="943"/>
      <c r="X7" s="943"/>
      <c r="Y7" s="943"/>
      <c r="Z7" s="943"/>
      <c r="AA7" s="943"/>
      <c r="AB7" s="943"/>
      <c r="AC7" s="943"/>
      <c r="AD7" s="943"/>
      <c r="AE7" s="943"/>
      <c r="AF7" s="943"/>
      <c r="AG7" s="943"/>
      <c r="AH7" s="943"/>
      <c r="AI7" s="943"/>
      <c r="AJ7" s="943"/>
      <c r="AK7" s="943"/>
      <c r="AL7" s="943"/>
      <c r="AM7" s="943"/>
      <c r="AN7" s="943"/>
      <c r="AR7" s="13" t="s">
        <v>1076</v>
      </c>
      <c r="AS7" s="942"/>
      <c r="AT7" s="942"/>
      <c r="AU7" s="72"/>
      <c r="AV7" s="143"/>
      <c r="AW7" s="40"/>
    </row>
    <row r="8" spans="1:59" ht="9" customHeight="1" x14ac:dyDescent="0.3">
      <c r="A8" s="940"/>
      <c r="B8" s="940"/>
      <c r="C8" s="848"/>
      <c r="D8" s="64">
        <v>2340000</v>
      </c>
      <c r="E8" s="261"/>
      <c r="F8" s="64"/>
      <c r="G8" s="940"/>
      <c r="H8" s="940"/>
      <c r="I8" s="940"/>
      <c r="J8" s="1"/>
      <c r="K8" s="940"/>
      <c r="L8" s="1"/>
      <c r="M8" s="1"/>
      <c r="N8" s="1"/>
      <c r="O8" s="421"/>
      <c r="Q8" s="12"/>
      <c r="R8" s="6"/>
      <c r="S8" s="326"/>
      <c r="W8" s="12"/>
    </row>
    <row r="9" spans="1:59" s="14" customFormat="1" ht="27" customHeight="1" x14ac:dyDescent="0.25">
      <c r="A9" s="1050" t="s">
        <v>691</v>
      </c>
      <c r="B9" s="944"/>
      <c r="C9" s="1095" t="s">
        <v>1031</v>
      </c>
      <c r="D9" s="1050" t="s">
        <v>699</v>
      </c>
      <c r="E9" s="1052" t="s">
        <v>1054</v>
      </c>
      <c r="F9" s="944"/>
      <c r="G9" s="1054" t="s">
        <v>22</v>
      </c>
      <c r="H9" s="141"/>
      <c r="I9" s="141" t="s">
        <v>285</v>
      </c>
      <c r="J9" s="1054" t="s">
        <v>178</v>
      </c>
      <c r="K9" s="1055" t="s">
        <v>1311</v>
      </c>
      <c r="L9" s="274" t="s">
        <v>69</v>
      </c>
      <c r="M9" s="1057" t="s">
        <v>1031</v>
      </c>
      <c r="N9" s="1096" t="s">
        <v>1575</v>
      </c>
      <c r="O9" s="1058" t="s">
        <v>824</v>
      </c>
      <c r="P9" s="1059" t="s">
        <v>174</v>
      </c>
      <c r="Q9" s="1060" t="s">
        <v>700</v>
      </c>
      <c r="R9" s="1061" t="s">
        <v>1056</v>
      </c>
      <c r="S9" s="1062"/>
      <c r="T9" s="1062"/>
      <c r="U9" s="1062"/>
      <c r="V9" s="1062"/>
      <c r="W9" s="1062"/>
      <c r="X9" s="1062"/>
      <c r="Y9" s="1062"/>
      <c r="Z9" s="1063" t="s">
        <v>827</v>
      </c>
      <c r="AA9" s="1075" t="s">
        <v>718</v>
      </c>
      <c r="AB9" s="1077" t="s">
        <v>1061</v>
      </c>
      <c r="AC9" s="1075" t="s">
        <v>828</v>
      </c>
      <c r="AD9" s="1075" t="s">
        <v>829</v>
      </c>
      <c r="AE9" s="1075" t="s">
        <v>830</v>
      </c>
      <c r="AF9" s="1050" t="s">
        <v>717</v>
      </c>
      <c r="AG9" s="1050"/>
      <c r="AH9" s="1050"/>
      <c r="AI9" s="1050"/>
      <c r="AJ9" s="1050"/>
      <c r="AK9" s="1081" t="s">
        <v>1091</v>
      </c>
      <c r="AL9" s="1081"/>
      <c r="AM9" s="1082" t="s">
        <v>1108</v>
      </c>
      <c r="AN9" s="1083"/>
      <c r="AO9" s="1073" t="s">
        <v>678</v>
      </c>
      <c r="AP9" s="1084" t="s">
        <v>523</v>
      </c>
      <c r="AQ9" s="1073" t="s">
        <v>1092</v>
      </c>
      <c r="AR9" s="1074" t="s">
        <v>546</v>
      </c>
      <c r="AS9" s="1065" t="s">
        <v>644</v>
      </c>
      <c r="AT9" s="1066" t="s">
        <v>1032</v>
      </c>
      <c r="AU9" s="1068" t="s">
        <v>1057</v>
      </c>
      <c r="AV9" s="1068"/>
      <c r="AW9" s="85"/>
    </row>
    <row r="10" spans="1:59" s="14" customFormat="1" ht="36" x14ac:dyDescent="0.25">
      <c r="A10" s="1050"/>
      <c r="B10" s="944"/>
      <c r="C10" s="1095"/>
      <c r="D10" s="1050"/>
      <c r="E10" s="1053"/>
      <c r="F10" s="944"/>
      <c r="G10" s="1054"/>
      <c r="H10" s="141"/>
      <c r="I10" s="141" t="s">
        <v>286</v>
      </c>
      <c r="J10" s="1054"/>
      <c r="K10" s="1056"/>
      <c r="L10" s="274" t="s">
        <v>131</v>
      </c>
      <c r="M10" s="1057"/>
      <c r="N10" s="1097"/>
      <c r="O10" s="1058"/>
      <c r="P10" s="1059"/>
      <c r="Q10" s="1060"/>
      <c r="R10" s="299" t="s">
        <v>825</v>
      </c>
      <c r="S10" s="329" t="s">
        <v>1062</v>
      </c>
      <c r="T10" s="379" t="s">
        <v>1033</v>
      </c>
      <c r="U10" s="301" t="s">
        <v>1055</v>
      </c>
      <c r="V10" s="300"/>
      <c r="W10" s="302" t="s">
        <v>1123</v>
      </c>
      <c r="X10" s="270" t="s">
        <v>1077</v>
      </c>
      <c r="Y10" s="303" t="s">
        <v>826</v>
      </c>
      <c r="Z10" s="1064"/>
      <c r="AA10" s="1076"/>
      <c r="AB10" s="1078"/>
      <c r="AC10" s="1076"/>
      <c r="AD10" s="1076"/>
      <c r="AE10" s="1076"/>
      <c r="AF10" s="948" t="s">
        <v>747</v>
      </c>
      <c r="AG10" s="948" t="s">
        <v>564</v>
      </c>
      <c r="AH10" s="949" t="s">
        <v>521</v>
      </c>
      <c r="AI10" s="949" t="s">
        <v>831</v>
      </c>
      <c r="AJ10" s="949" t="s">
        <v>716</v>
      </c>
      <c r="AK10" s="948" t="s">
        <v>719</v>
      </c>
      <c r="AL10" s="948" t="s">
        <v>718</v>
      </c>
      <c r="AM10" s="948" t="s">
        <v>719</v>
      </c>
      <c r="AN10" s="948" t="s">
        <v>718</v>
      </c>
      <c r="AO10" s="1073"/>
      <c r="AP10" s="1084"/>
      <c r="AQ10" s="1073"/>
      <c r="AR10" s="1074"/>
      <c r="AS10" s="1065"/>
      <c r="AT10" s="1067"/>
      <c r="AU10" s="1068"/>
      <c r="AV10" s="1068"/>
      <c r="AW10" s="86"/>
    </row>
    <row r="11" spans="1:59" s="14" customFormat="1" ht="24" x14ac:dyDescent="0.25">
      <c r="A11" s="275">
        <v>1</v>
      </c>
      <c r="B11" s="275"/>
      <c r="C11" s="849">
        <v>2</v>
      </c>
      <c r="D11" s="275">
        <v>3</v>
      </c>
      <c r="E11" s="276">
        <v>4</v>
      </c>
      <c r="F11" s="275"/>
      <c r="G11" s="944"/>
      <c r="H11" s="944"/>
      <c r="I11" s="944"/>
      <c r="J11" s="944"/>
      <c r="K11" s="944"/>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1647</v>
      </c>
      <c r="AB11" s="407" t="s">
        <v>1138</v>
      </c>
      <c r="AC11" s="279">
        <v>12</v>
      </c>
      <c r="AD11" s="279">
        <v>13</v>
      </c>
      <c r="AE11" s="279" t="s">
        <v>1100</v>
      </c>
      <c r="AF11" s="279">
        <v>15</v>
      </c>
      <c r="AG11" s="279">
        <v>16</v>
      </c>
      <c r="AH11" s="279">
        <v>17</v>
      </c>
      <c r="AI11" s="279">
        <v>18</v>
      </c>
      <c r="AJ11" s="382" t="s">
        <v>1101</v>
      </c>
      <c r="AK11" s="279">
        <v>20</v>
      </c>
      <c r="AL11" s="382" t="s">
        <v>1650</v>
      </c>
      <c r="AM11" s="382">
        <v>22</v>
      </c>
      <c r="AN11" s="382" t="s">
        <v>1646</v>
      </c>
      <c r="AO11" s="492" t="s">
        <v>1138</v>
      </c>
      <c r="AP11" s="330" t="s">
        <v>1138</v>
      </c>
      <c r="AQ11" s="383" t="s">
        <v>1113</v>
      </c>
      <c r="AR11" s="382" t="s">
        <v>1645</v>
      </c>
      <c r="AS11" s="330" t="s">
        <v>1138</v>
      </c>
      <c r="AT11" s="279" t="s">
        <v>1109</v>
      </c>
      <c r="AU11" s="1069">
        <v>27</v>
      </c>
      <c r="AV11" s="1069"/>
      <c r="AW11" s="87"/>
    </row>
    <row r="12" spans="1:59" s="166" customFormat="1" ht="40.5" hidden="1" customHeight="1" x14ac:dyDescent="0.25">
      <c r="A12" s="157"/>
      <c r="B12" s="157"/>
      <c r="C12" s="850"/>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1"/>
      <c r="AR12" s="247" t="s">
        <v>738</v>
      </c>
      <c r="AS12" s="161"/>
      <c r="AT12" s="161"/>
      <c r="AU12" s="272"/>
      <c r="AV12" s="273"/>
      <c r="AW12" s="164"/>
    </row>
    <row r="13" spans="1:59" s="101" customFormat="1" ht="17.25" customHeight="1" x14ac:dyDescent="0.25">
      <c r="A13" s="280"/>
      <c r="B13" s="280"/>
      <c r="C13" s="851" t="s">
        <v>720</v>
      </c>
      <c r="D13" s="281"/>
      <c r="E13" s="282"/>
      <c r="F13" s="281"/>
      <c r="G13" s="283"/>
      <c r="H13" s="283"/>
      <c r="I13" s="283"/>
      <c r="J13" s="284"/>
      <c r="K13" s="283"/>
      <c r="L13" s="284"/>
      <c r="M13" s="284"/>
      <c r="N13" s="826"/>
      <c r="O13" s="422"/>
      <c r="P13" s="285"/>
      <c r="Q13" s="286"/>
      <c r="R13" s="287"/>
      <c r="S13" s="332"/>
      <c r="T13" s="348"/>
      <c r="U13" s="376"/>
      <c r="V13" s="288"/>
      <c r="W13" s="289"/>
      <c r="X13" s="291"/>
      <c r="Y13" s="290"/>
      <c r="Z13" s="290"/>
      <c r="AA13" s="290"/>
      <c r="AB13" s="290"/>
      <c r="AC13" s="290"/>
      <c r="AD13" s="290"/>
      <c r="AE13" s="290"/>
      <c r="AF13" s="290"/>
      <c r="AG13" s="290"/>
      <c r="AH13" s="668"/>
      <c r="AI13" s="290"/>
      <c r="AJ13" s="290"/>
      <c r="AK13" s="292"/>
      <c r="AL13" s="290"/>
      <c r="AM13" s="290"/>
      <c r="AN13" s="290"/>
      <c r="AO13" s="494"/>
      <c r="AP13" s="644"/>
      <c r="AQ13" s="293"/>
      <c r="AR13" s="290"/>
      <c r="AS13" s="290"/>
      <c r="AT13" s="290"/>
      <c r="AU13" s="294"/>
      <c r="AV13" s="295"/>
      <c r="AW13" s="821"/>
      <c r="AX13" s="2"/>
      <c r="AY13" s="2"/>
      <c r="AZ13" s="2"/>
      <c r="BA13" s="2"/>
      <c r="BB13" s="2"/>
      <c r="BC13" s="2"/>
      <c r="BD13" s="2"/>
      <c r="BE13" s="2"/>
      <c r="BF13" s="2"/>
      <c r="BG13" s="2"/>
    </row>
    <row r="14" spans="1:59" s="189" customFormat="1" ht="28.5" customHeight="1" x14ac:dyDescent="0.25">
      <c r="A14" s="671">
        <f>_xlfn.AGGREGATE(4,7,A$13:A13)+1</f>
        <v>1</v>
      </c>
      <c r="B14" s="671" t="str">
        <f>VLOOKUP(D14,[1]LuongBC_T01!$B$9:$C$292,2,FALSE)</f>
        <v>0016100006699008</v>
      </c>
      <c r="C14" s="973" t="s">
        <v>832</v>
      </c>
      <c r="D14" s="976" t="s">
        <v>775</v>
      </c>
      <c r="E14" s="672" t="s">
        <v>1657</v>
      </c>
      <c r="F14" s="372"/>
      <c r="G14" s="373"/>
      <c r="H14" s="373"/>
      <c r="I14" s="373"/>
      <c r="J14" s="372"/>
      <c r="K14" s="373" t="str">
        <f>VLOOKUP(D14,[2]T3!$B$2:$D$328,3,FALSE)</f>
        <v>025372149</v>
      </c>
      <c r="L14" s="977" t="s">
        <v>787</v>
      </c>
      <c r="M14" s="977" t="s">
        <v>832</v>
      </c>
      <c r="N14" s="672" t="str">
        <f>VLOOKUP(D14,'[6]Bao cao So GDDT'!$D$14:$S$282,11,FALSE)</f>
        <v>Giảng viên GDNN LT (hạng III)</v>
      </c>
      <c r="O14" s="711" t="s">
        <v>1438</v>
      </c>
      <c r="P14" s="957" t="s">
        <v>692</v>
      </c>
      <c r="Q14" s="974">
        <v>8</v>
      </c>
      <c r="R14" s="958">
        <v>4.9800000000000004</v>
      </c>
      <c r="S14" s="673">
        <f t="shared" ref="S14:S72" si="0">U14+W14+Y14</f>
        <v>2.6812000000000005</v>
      </c>
      <c r="T14" s="959">
        <v>7</v>
      </c>
      <c r="U14" s="673">
        <f t="shared" ref="U14:U72" si="1">ROUND(R14*T14/100,4)</f>
        <v>0.34860000000000002</v>
      </c>
      <c r="V14" s="374">
        <f t="shared" ref="V14:V72" si="2">R14*T14*$D$8/100</f>
        <v>815724</v>
      </c>
      <c r="W14" s="978">
        <v>0.9</v>
      </c>
      <c r="X14" s="674">
        <v>0.23</v>
      </c>
      <c r="Y14" s="675">
        <f t="shared" ref="Y14:Y72" si="3">ROUND((R14+U14+W14)*X14,4)</f>
        <v>1.4326000000000001</v>
      </c>
      <c r="Z14" s="675">
        <f t="shared" ref="Z14:Z72" si="4">ROUND(R14+U14+W14+Y14,4)</f>
        <v>7.6612</v>
      </c>
      <c r="AA14" s="676">
        <f t="shared" ref="AA14:AA72" si="5">ROUND(Z14*$D$8,0)</f>
        <v>17927208</v>
      </c>
      <c r="AB14" s="676"/>
      <c r="AC14" s="676">
        <f t="shared" ref="AC14:AC72" si="6">AA14/24*AB14</f>
        <v>0</v>
      </c>
      <c r="AD14" s="676">
        <f t="shared" ref="AD14:AD18" si="7">AA14/24*AB14*75%</f>
        <v>0</v>
      </c>
      <c r="AE14" s="676">
        <f t="shared" ref="AE14:AE72" si="8">ROUND(AA14-AC14+AD14,0)</f>
        <v>17927208</v>
      </c>
      <c r="AF14" s="375">
        <f t="shared" ref="AF14:AF72" si="9">AA14*8%</f>
        <v>1434176.6400000001</v>
      </c>
      <c r="AG14" s="375">
        <f t="shared" ref="AG14:AG72" si="10">AA14*1.5%</f>
        <v>268908.12</v>
      </c>
      <c r="AH14" s="375">
        <f t="shared" ref="AH14:AH72" si="11">AA14*1%</f>
        <v>179272.08000000002</v>
      </c>
      <c r="AI14" s="375"/>
      <c r="AJ14" s="375">
        <f t="shared" ref="AJ14:AJ72" si="12">SUM(AF14:AI14)</f>
        <v>1882356.8400000003</v>
      </c>
      <c r="AK14" s="975"/>
      <c r="AL14" s="678">
        <f t="shared" ref="AL14:AL72" si="13">AK14*$D$8</f>
        <v>0</v>
      </c>
      <c r="AM14" s="678"/>
      <c r="AN14" s="678"/>
      <c r="AO14" s="679">
        <f t="shared" ref="AO14:AO28" si="14">R14+U14+W14</f>
        <v>6.228600000000001</v>
      </c>
      <c r="AP14" s="979">
        <v>0.25</v>
      </c>
      <c r="AQ14" s="709">
        <f t="shared" ref="AQ14:AQ72" si="15">ROUND(AO14*AP14,4)</f>
        <v>1.5571999999999999</v>
      </c>
      <c r="AR14" s="375">
        <f t="shared" ref="AR14:AR72" si="16">ROUND(AQ14*$D$8,0)</f>
        <v>3643848</v>
      </c>
      <c r="AS14" s="375"/>
      <c r="AT14" s="375">
        <f t="shared" ref="AT14:AT72" si="17">ROUND(AE14-AJ14+AL14+AN14+AR14,0)</f>
        <v>19688699</v>
      </c>
      <c r="AU14" s="680">
        <f t="shared" ref="AU14:AU72" si="18">A14</f>
        <v>1</v>
      </c>
      <c r="AV14" s="712"/>
      <c r="AW14" s="195" t="s">
        <v>794</v>
      </c>
    </row>
    <row r="15" spans="1:59" s="191" customFormat="1" ht="28.5" customHeight="1" x14ac:dyDescent="0.25">
      <c r="A15" s="168">
        <f>_xlfn.AGGREGATE(4,7,A$13:A14)+1</f>
        <v>2</v>
      </c>
      <c r="B15" s="168" t="str">
        <f>VLOOKUP(D15,[1]LuongBC_T01!$B$9:$C$292,2,FALSE)</f>
        <v>0016100006543008</v>
      </c>
      <c r="C15" s="361" t="s">
        <v>833</v>
      </c>
      <c r="D15" s="169" t="s">
        <v>1141</v>
      </c>
      <c r="E15" s="263" t="s">
        <v>1104</v>
      </c>
      <c r="F15" s="169" t="s">
        <v>549</v>
      </c>
      <c r="G15" s="170" t="s">
        <v>25</v>
      </c>
      <c r="H15" s="170"/>
      <c r="I15" s="170" t="s">
        <v>281</v>
      </c>
      <c r="J15" s="169" t="s">
        <v>185</v>
      </c>
      <c r="K15" s="170" t="str">
        <f>VLOOKUP(D15,[2]T3!$B$2:$D$328,3,FALSE)</f>
        <v>022077198</v>
      </c>
      <c r="L15" s="171" t="s">
        <v>164</v>
      </c>
      <c r="M15" s="171" t="s">
        <v>833</v>
      </c>
      <c r="N15" s="263" t="str">
        <f>VLOOKUP(D15,'[6]Bao cao So GDDT'!$D$14:$S$282,11,FALSE)</f>
        <v>Giảng viên GDNN LT (hạng III)</v>
      </c>
      <c r="O15" s="391" t="s">
        <v>39</v>
      </c>
      <c r="P15" s="172" t="s">
        <v>692</v>
      </c>
      <c r="Q15" s="173">
        <v>8</v>
      </c>
      <c r="R15" s="174">
        <v>4.9800000000000004</v>
      </c>
      <c r="S15" s="176">
        <f t="shared" si="0"/>
        <v>1.1481999999999999</v>
      </c>
      <c r="T15" s="370">
        <v>9</v>
      </c>
      <c r="U15" s="176">
        <f t="shared" si="1"/>
        <v>0.44819999999999999</v>
      </c>
      <c r="V15" s="175">
        <f t="shared" si="2"/>
        <v>1048788.0000000002</v>
      </c>
      <c r="W15" s="177">
        <v>0.7</v>
      </c>
      <c r="X15" s="179">
        <f>VLOOKUP(D15,PCTN!D16:W283,20,FALSE)</f>
        <v>0</v>
      </c>
      <c r="Y15" s="216">
        <f t="shared" si="3"/>
        <v>0</v>
      </c>
      <c r="Z15" s="216">
        <f t="shared" si="4"/>
        <v>6.1281999999999996</v>
      </c>
      <c r="AA15" s="180">
        <f t="shared" si="5"/>
        <v>14339988</v>
      </c>
      <c r="AB15" s="180"/>
      <c r="AC15" s="180">
        <f t="shared" si="6"/>
        <v>0</v>
      </c>
      <c r="AD15" s="180">
        <f t="shared" si="7"/>
        <v>0</v>
      </c>
      <c r="AE15" s="180">
        <f t="shared" si="8"/>
        <v>14339988</v>
      </c>
      <c r="AF15" s="178">
        <f t="shared" si="9"/>
        <v>1147199.04</v>
      </c>
      <c r="AG15" s="178">
        <f t="shared" si="10"/>
        <v>215099.81999999998</v>
      </c>
      <c r="AH15" s="178">
        <f t="shared" si="11"/>
        <v>143399.88</v>
      </c>
      <c r="AI15" s="178"/>
      <c r="AJ15" s="178">
        <f t="shared" si="12"/>
        <v>1505698.7400000002</v>
      </c>
      <c r="AK15" s="181"/>
      <c r="AL15" s="182">
        <f t="shared" si="13"/>
        <v>0</v>
      </c>
      <c r="AM15" s="182"/>
      <c r="AN15" s="182"/>
      <c r="AO15" s="183">
        <f t="shared" si="14"/>
        <v>6.1282000000000005</v>
      </c>
      <c r="AP15" s="179"/>
      <c r="AQ15" s="185">
        <f t="shared" si="15"/>
        <v>0</v>
      </c>
      <c r="AR15" s="178">
        <f t="shared" si="16"/>
        <v>0</v>
      </c>
      <c r="AS15" s="178"/>
      <c r="AT15" s="178">
        <f t="shared" si="17"/>
        <v>12834289</v>
      </c>
      <c r="AU15" s="469">
        <f t="shared" si="18"/>
        <v>2</v>
      </c>
      <c r="AV15" s="195"/>
      <c r="AW15" s="187"/>
    </row>
    <row r="16" spans="1:59" s="189" customFormat="1" ht="28.5" customHeight="1" x14ac:dyDescent="0.25">
      <c r="A16" s="671">
        <f>_xlfn.AGGREGATE(4,7,A$13:A15)+1</f>
        <v>3</v>
      </c>
      <c r="B16" s="671" t="str">
        <f>VLOOKUP(D16,[1]LuongBC_T01!$B$9:$C$292,2,FALSE)</f>
        <v>0016100006674008</v>
      </c>
      <c r="C16" s="973" t="s">
        <v>842</v>
      </c>
      <c r="D16" s="372" t="s">
        <v>777</v>
      </c>
      <c r="E16" s="672" t="s">
        <v>1104</v>
      </c>
      <c r="F16" s="372"/>
      <c r="G16" s="373"/>
      <c r="H16" s="373"/>
      <c r="I16" s="373"/>
      <c r="J16" s="372"/>
      <c r="K16" s="373" t="str">
        <f>VLOOKUP(D16,[2]T3!$B$2:$D$328,3,FALSE)</f>
        <v>025661153</v>
      </c>
      <c r="L16" s="977" t="s">
        <v>786</v>
      </c>
      <c r="M16" s="977" t="s">
        <v>842</v>
      </c>
      <c r="N16" s="672" t="str">
        <f>VLOOKUP(D16,'[6]Bao cao So GDDT'!$D$14:$S$282,11,FALSE)</f>
        <v>Giảng viên GDNN LT (hạng III)</v>
      </c>
      <c r="O16" s="711" t="s">
        <v>1438</v>
      </c>
      <c r="P16" s="957" t="s">
        <v>692</v>
      </c>
      <c r="Q16" s="974">
        <v>6</v>
      </c>
      <c r="R16" s="958">
        <v>4.9800000000000004</v>
      </c>
      <c r="S16" s="673">
        <f t="shared" si="0"/>
        <v>1.9496</v>
      </c>
      <c r="T16" s="959"/>
      <c r="U16" s="673">
        <f t="shared" si="1"/>
        <v>0</v>
      </c>
      <c r="V16" s="374">
        <f t="shared" si="2"/>
        <v>0</v>
      </c>
      <c r="W16" s="960">
        <v>0.7</v>
      </c>
      <c r="X16" s="674">
        <v>0.22</v>
      </c>
      <c r="Y16" s="675">
        <f t="shared" si="3"/>
        <v>1.2496</v>
      </c>
      <c r="Z16" s="675">
        <f t="shared" si="4"/>
        <v>6.9295999999999998</v>
      </c>
      <c r="AA16" s="676">
        <f t="shared" si="5"/>
        <v>16215264</v>
      </c>
      <c r="AB16" s="676"/>
      <c r="AC16" s="676">
        <f t="shared" si="6"/>
        <v>0</v>
      </c>
      <c r="AD16" s="676">
        <f t="shared" si="7"/>
        <v>0</v>
      </c>
      <c r="AE16" s="676">
        <f t="shared" si="8"/>
        <v>16215264</v>
      </c>
      <c r="AF16" s="375">
        <f t="shared" si="9"/>
        <v>1297221.1200000001</v>
      </c>
      <c r="AG16" s="375">
        <f t="shared" si="10"/>
        <v>243228.96</v>
      </c>
      <c r="AH16" s="375">
        <f t="shared" si="11"/>
        <v>162152.64000000001</v>
      </c>
      <c r="AI16" s="375"/>
      <c r="AJ16" s="375">
        <f t="shared" si="12"/>
        <v>1702602.7200000002</v>
      </c>
      <c r="AK16" s="975"/>
      <c r="AL16" s="678">
        <f t="shared" si="13"/>
        <v>0</v>
      </c>
      <c r="AM16" s="678"/>
      <c r="AN16" s="678"/>
      <c r="AO16" s="679">
        <f t="shared" si="14"/>
        <v>5.6800000000000006</v>
      </c>
      <c r="AP16" s="979">
        <v>0.25</v>
      </c>
      <c r="AQ16" s="709">
        <f t="shared" si="15"/>
        <v>1.42</v>
      </c>
      <c r="AR16" s="375">
        <f t="shared" si="16"/>
        <v>3322800</v>
      </c>
      <c r="AS16" s="375"/>
      <c r="AT16" s="375">
        <f t="shared" si="17"/>
        <v>17835461</v>
      </c>
      <c r="AU16" s="680">
        <f t="shared" si="18"/>
        <v>3</v>
      </c>
      <c r="AV16" s="712"/>
      <c r="AW16" s="195" t="s">
        <v>1368</v>
      </c>
      <c r="AY16" s="669"/>
      <c r="AZ16" s="669"/>
    </row>
    <row r="17" spans="1:59" s="189" customFormat="1" ht="42.75" customHeight="1" x14ac:dyDescent="0.25">
      <c r="A17" s="168">
        <f>_xlfn.AGGREGATE(4,7,A$13:A16)+1</f>
        <v>4</v>
      </c>
      <c r="B17" s="168" t="s">
        <v>1548</v>
      </c>
      <c r="C17" s="361" t="s">
        <v>839</v>
      </c>
      <c r="D17" s="169" t="s">
        <v>799</v>
      </c>
      <c r="E17" s="263" t="s">
        <v>1303</v>
      </c>
      <c r="F17" s="169"/>
      <c r="G17" s="170"/>
      <c r="H17" s="170"/>
      <c r="I17" s="170"/>
      <c r="J17" s="169"/>
      <c r="K17" s="168" t="s">
        <v>1352</v>
      </c>
      <c r="L17" s="201"/>
      <c r="M17" s="201" t="s">
        <v>839</v>
      </c>
      <c r="N17" s="263" t="str">
        <f>VLOOKUP(D17,'[6]Bao cao So GDDT'!$D$14:$S$282,11,FALSE)</f>
        <v>Giảng viên GDNN LT (hạng III)</v>
      </c>
      <c r="O17" s="390" t="s">
        <v>1438</v>
      </c>
      <c r="P17" s="172" t="s">
        <v>692</v>
      </c>
      <c r="Q17" s="173">
        <v>7</v>
      </c>
      <c r="R17" s="174">
        <v>4.9800000000000004</v>
      </c>
      <c r="S17" s="176">
        <f t="shared" si="0"/>
        <v>2.0664000000000002</v>
      </c>
      <c r="T17" s="370">
        <v>6</v>
      </c>
      <c r="U17" s="176">
        <f t="shared" si="1"/>
        <v>0.29880000000000001</v>
      </c>
      <c r="V17" s="175">
        <f t="shared" si="2"/>
        <v>699192</v>
      </c>
      <c r="W17" s="170">
        <v>0.45</v>
      </c>
      <c r="X17" s="179">
        <v>0.23</v>
      </c>
      <c r="Y17" s="216">
        <f t="shared" si="3"/>
        <v>1.3176000000000001</v>
      </c>
      <c r="Z17" s="216">
        <f t="shared" si="4"/>
        <v>7.0464000000000002</v>
      </c>
      <c r="AA17" s="180">
        <f t="shared" si="5"/>
        <v>16488576</v>
      </c>
      <c r="AB17" s="180"/>
      <c r="AC17" s="180">
        <f t="shared" si="6"/>
        <v>0</v>
      </c>
      <c r="AD17" s="180">
        <f t="shared" si="7"/>
        <v>0</v>
      </c>
      <c r="AE17" s="180">
        <f t="shared" si="8"/>
        <v>16488576</v>
      </c>
      <c r="AF17" s="178">
        <f t="shared" si="9"/>
        <v>1319086.0800000001</v>
      </c>
      <c r="AG17" s="178">
        <f t="shared" si="10"/>
        <v>247328.63999999998</v>
      </c>
      <c r="AH17" s="178">
        <f t="shared" si="11"/>
        <v>164885.76000000001</v>
      </c>
      <c r="AI17" s="178"/>
      <c r="AJ17" s="178">
        <f t="shared" si="12"/>
        <v>1731300.48</v>
      </c>
      <c r="AK17" s="192"/>
      <c r="AL17" s="182">
        <f t="shared" si="13"/>
        <v>0</v>
      </c>
      <c r="AM17" s="182"/>
      <c r="AN17" s="182"/>
      <c r="AO17" s="183">
        <f t="shared" si="14"/>
        <v>5.7288000000000006</v>
      </c>
      <c r="AP17" s="443">
        <v>0.25</v>
      </c>
      <c r="AQ17" s="185">
        <f t="shared" si="15"/>
        <v>1.4321999999999999</v>
      </c>
      <c r="AR17" s="178">
        <f t="shared" si="16"/>
        <v>3351348</v>
      </c>
      <c r="AS17" s="178"/>
      <c r="AT17" s="178">
        <f t="shared" si="17"/>
        <v>18108624</v>
      </c>
      <c r="AU17" s="469">
        <f t="shared" si="18"/>
        <v>4</v>
      </c>
      <c r="AV17" s="195"/>
      <c r="AW17" s="198"/>
      <c r="AY17" s="669"/>
      <c r="AZ17" s="669"/>
    </row>
    <row r="18" spans="1:59" s="189" customFormat="1" ht="32.25" customHeight="1" x14ac:dyDescent="0.25">
      <c r="A18" s="168">
        <f>_xlfn.AGGREGATE(4,7,A$13:A17)+1</f>
        <v>5</v>
      </c>
      <c r="B18" s="168" t="str">
        <f>VLOOKUP(D18,[1]LuongBC_T01!$B$9:$C$292,2,FALSE)</f>
        <v>0016100006806001</v>
      </c>
      <c r="C18" s="361" t="s">
        <v>838</v>
      </c>
      <c r="D18" s="169" t="s">
        <v>776</v>
      </c>
      <c r="E18" s="263" t="s">
        <v>1244</v>
      </c>
      <c r="F18" s="169"/>
      <c r="G18" s="170"/>
      <c r="H18" s="170"/>
      <c r="I18" s="170"/>
      <c r="J18" s="169"/>
      <c r="K18" s="170" t="str">
        <f>VLOOKUP(D18,[2]T3!$B$2:$D$328,3,FALSE)</f>
        <v>024891110</v>
      </c>
      <c r="L18" s="201" t="s">
        <v>788</v>
      </c>
      <c r="M18" s="201" t="s">
        <v>838</v>
      </c>
      <c r="N18" s="263" t="str">
        <f>VLOOKUP(D18,'[6]Bao cao So GDDT'!$D$14:$S$282,11,FALSE)</f>
        <v>Giảng viên GDNN LT (hạng III)</v>
      </c>
      <c r="O18" s="390" t="s">
        <v>1438</v>
      </c>
      <c r="P18" s="172" t="s">
        <v>692</v>
      </c>
      <c r="Q18" s="173">
        <v>7</v>
      </c>
      <c r="R18" s="174">
        <v>4.9800000000000004</v>
      </c>
      <c r="S18" s="176">
        <f t="shared" si="0"/>
        <v>2.1236999999999999</v>
      </c>
      <c r="T18" s="370">
        <v>6</v>
      </c>
      <c r="U18" s="176">
        <f t="shared" si="1"/>
        <v>0.29880000000000001</v>
      </c>
      <c r="V18" s="175">
        <f t="shared" si="2"/>
        <v>699192</v>
      </c>
      <c r="W18" s="170">
        <v>0.45</v>
      </c>
      <c r="X18" s="179">
        <v>0.24</v>
      </c>
      <c r="Y18" s="216">
        <f t="shared" si="3"/>
        <v>1.3749</v>
      </c>
      <c r="Z18" s="216">
        <f t="shared" si="4"/>
        <v>7.1036999999999999</v>
      </c>
      <c r="AA18" s="180">
        <f t="shared" si="5"/>
        <v>16622658</v>
      </c>
      <c r="AB18" s="180"/>
      <c r="AC18" s="180">
        <f t="shared" si="6"/>
        <v>0</v>
      </c>
      <c r="AD18" s="180">
        <f t="shared" si="7"/>
        <v>0</v>
      </c>
      <c r="AE18" s="180">
        <f t="shared" si="8"/>
        <v>16622658</v>
      </c>
      <c r="AF18" s="178">
        <f t="shared" si="9"/>
        <v>1329812.6400000001</v>
      </c>
      <c r="AG18" s="178">
        <f t="shared" si="10"/>
        <v>249339.87</v>
      </c>
      <c r="AH18" s="178">
        <f t="shared" si="11"/>
        <v>166226.58000000002</v>
      </c>
      <c r="AI18" s="178"/>
      <c r="AJ18" s="178">
        <f t="shared" si="12"/>
        <v>1745379.0900000003</v>
      </c>
      <c r="AK18" s="192"/>
      <c r="AL18" s="182">
        <f t="shared" si="13"/>
        <v>0</v>
      </c>
      <c r="AM18" s="182"/>
      <c r="AN18" s="182"/>
      <c r="AO18" s="183">
        <f t="shared" si="14"/>
        <v>5.7288000000000006</v>
      </c>
      <c r="AP18" s="443">
        <v>0.25</v>
      </c>
      <c r="AQ18" s="185">
        <f t="shared" si="15"/>
        <v>1.4321999999999999</v>
      </c>
      <c r="AR18" s="178">
        <f t="shared" si="16"/>
        <v>3351348</v>
      </c>
      <c r="AS18" s="178"/>
      <c r="AT18" s="178">
        <f t="shared" si="17"/>
        <v>18228627</v>
      </c>
      <c r="AU18" s="469">
        <f t="shared" si="18"/>
        <v>5</v>
      </c>
      <c r="AV18" s="195"/>
      <c r="AW18" s="198"/>
      <c r="AY18" s="669"/>
      <c r="AZ18" s="669"/>
    </row>
    <row r="19" spans="1:59" s="191" customFormat="1" ht="39" customHeight="1" x14ac:dyDescent="0.25">
      <c r="A19" s="168">
        <f>_xlfn.AGGREGATE(4,7,A$13:A18)+1</f>
        <v>6</v>
      </c>
      <c r="B19" s="168" t="str">
        <f>VLOOKUP(D19,[1]LuongBC_T01!$B$9:$C$292,2,FALSE)</f>
        <v>0016100006495006</v>
      </c>
      <c r="C19" s="361" t="s">
        <v>847</v>
      </c>
      <c r="D19" s="169" t="s">
        <v>1148</v>
      </c>
      <c r="E19" s="263" t="s">
        <v>1247</v>
      </c>
      <c r="F19" s="169" t="s">
        <v>549</v>
      </c>
      <c r="G19" s="170"/>
      <c r="H19" s="170"/>
      <c r="I19" s="170" t="s">
        <v>283</v>
      </c>
      <c r="J19" s="169" t="s">
        <v>225</v>
      </c>
      <c r="K19" s="170" t="str">
        <f>VLOOKUP(D19,[2]T3!$B$2:$D$328,3,FALSE)</f>
        <v>079074000549</v>
      </c>
      <c r="L19" s="171" t="s">
        <v>91</v>
      </c>
      <c r="M19" s="171" t="s">
        <v>847</v>
      </c>
      <c r="N19" s="263" t="str">
        <f>VLOOKUP(D19,'[6]Bao cao So GDDT'!$D$14:$S$282,11,FALSE)</f>
        <v>Giảng viên GDNN LT (hạng III)</v>
      </c>
      <c r="O19" s="390" t="s">
        <v>1438</v>
      </c>
      <c r="P19" s="172" t="s">
        <v>692</v>
      </c>
      <c r="Q19" s="173">
        <v>8</v>
      </c>
      <c r="R19" s="174">
        <v>4.9800000000000004</v>
      </c>
      <c r="S19" s="176">
        <f t="shared" si="0"/>
        <v>1.9479000000000002</v>
      </c>
      <c r="T19" s="370">
        <v>7</v>
      </c>
      <c r="U19" s="176">
        <f t="shared" si="1"/>
        <v>0.34860000000000002</v>
      </c>
      <c r="V19" s="175">
        <f t="shared" si="2"/>
        <v>815724</v>
      </c>
      <c r="W19" s="170">
        <v>0.35</v>
      </c>
      <c r="X19" s="179">
        <v>0.22</v>
      </c>
      <c r="Y19" s="216">
        <f t="shared" si="3"/>
        <v>1.2493000000000001</v>
      </c>
      <c r="Z19" s="216">
        <f t="shared" si="4"/>
        <v>6.9279000000000002</v>
      </c>
      <c r="AA19" s="180">
        <f t="shared" si="5"/>
        <v>16211286</v>
      </c>
      <c r="AB19" s="180"/>
      <c r="AC19" s="180">
        <f t="shared" si="6"/>
        <v>0</v>
      </c>
      <c r="AD19" s="180">
        <v>0</v>
      </c>
      <c r="AE19" s="180">
        <f t="shared" si="8"/>
        <v>16211286</v>
      </c>
      <c r="AF19" s="178">
        <f t="shared" si="9"/>
        <v>1296902.8800000001</v>
      </c>
      <c r="AG19" s="178">
        <f t="shared" si="10"/>
        <v>243169.28999999998</v>
      </c>
      <c r="AH19" s="178">
        <f t="shared" si="11"/>
        <v>162112.86000000002</v>
      </c>
      <c r="AI19" s="178"/>
      <c r="AJ19" s="178">
        <f t="shared" si="12"/>
        <v>1702185.0300000003</v>
      </c>
      <c r="AK19" s="192"/>
      <c r="AL19" s="182">
        <f t="shared" si="13"/>
        <v>0</v>
      </c>
      <c r="AM19" s="182"/>
      <c r="AN19" s="182"/>
      <c r="AO19" s="183">
        <f t="shared" si="14"/>
        <v>5.6786000000000003</v>
      </c>
      <c r="AP19" s="443">
        <v>0.25</v>
      </c>
      <c r="AQ19" s="185">
        <f t="shared" si="15"/>
        <v>1.4197</v>
      </c>
      <c r="AR19" s="178">
        <f t="shared" si="16"/>
        <v>3322098</v>
      </c>
      <c r="AS19" s="178"/>
      <c r="AT19" s="178">
        <f t="shared" si="17"/>
        <v>17831199</v>
      </c>
      <c r="AU19" s="469">
        <f t="shared" si="18"/>
        <v>6</v>
      </c>
      <c r="AV19" s="195"/>
      <c r="AW19" s="218" t="s">
        <v>730</v>
      </c>
      <c r="AY19" s="864"/>
      <c r="AZ19" s="864"/>
    </row>
    <row r="20" spans="1:59" s="189" customFormat="1" ht="33.75" customHeight="1" x14ac:dyDescent="0.25">
      <c r="A20" s="168">
        <f>_xlfn.AGGREGATE(4,7,A$13:A19)+1</f>
        <v>7</v>
      </c>
      <c r="B20" s="168" t="str">
        <f>VLOOKUP(D20,[1]LuongBC_T01!$B$9:$C$292,2,FALSE)</f>
        <v>0016100006708007</v>
      </c>
      <c r="C20" s="199" t="s">
        <v>856</v>
      </c>
      <c r="D20" s="169" t="s">
        <v>1156</v>
      </c>
      <c r="E20" s="263" t="s">
        <v>1250</v>
      </c>
      <c r="F20" s="169" t="s">
        <v>549</v>
      </c>
      <c r="G20" s="170"/>
      <c r="H20" s="170" t="s">
        <v>283</v>
      </c>
      <c r="I20" s="170" t="s">
        <v>283</v>
      </c>
      <c r="J20" s="169" t="s">
        <v>214</v>
      </c>
      <c r="K20" s="170" t="str">
        <f>VLOOKUP(D20,[2]T3!$B$2:$D$328,3,FALSE)</f>
        <v>022688264</v>
      </c>
      <c r="L20" s="171" t="s">
        <v>96</v>
      </c>
      <c r="M20" s="171" t="s">
        <v>856</v>
      </c>
      <c r="N20" s="263" t="str">
        <f>VLOOKUP(D20,'[6]Bao cao So GDDT'!$D$14:$S$282,11,FALSE)</f>
        <v>Giảng viên GDNN LT (hạng III)</v>
      </c>
      <c r="O20" s="390" t="s">
        <v>1438</v>
      </c>
      <c r="P20" s="172" t="s">
        <v>692</v>
      </c>
      <c r="Q20" s="173">
        <v>7</v>
      </c>
      <c r="R20" s="174">
        <v>4.9800000000000004</v>
      </c>
      <c r="S20" s="176">
        <f t="shared" si="0"/>
        <v>1.8204</v>
      </c>
      <c r="T20" s="370">
        <v>6</v>
      </c>
      <c r="U20" s="176">
        <f t="shared" si="1"/>
        <v>0.29880000000000001</v>
      </c>
      <c r="V20" s="175">
        <f t="shared" si="2"/>
        <v>699192</v>
      </c>
      <c r="W20" s="170">
        <v>0.25</v>
      </c>
      <c r="X20" s="179">
        <v>0.23</v>
      </c>
      <c r="Y20" s="216">
        <f t="shared" si="3"/>
        <v>1.2716000000000001</v>
      </c>
      <c r="Z20" s="216">
        <f t="shared" si="4"/>
        <v>6.8003999999999998</v>
      </c>
      <c r="AA20" s="180">
        <f t="shared" si="5"/>
        <v>15912936</v>
      </c>
      <c r="AB20" s="180"/>
      <c r="AC20" s="180">
        <f t="shared" si="6"/>
        <v>0</v>
      </c>
      <c r="AD20" s="180">
        <v>0</v>
      </c>
      <c r="AE20" s="180">
        <f t="shared" si="8"/>
        <v>15912936</v>
      </c>
      <c r="AF20" s="178">
        <f t="shared" si="9"/>
        <v>1273034.8800000001</v>
      </c>
      <c r="AG20" s="178">
        <f t="shared" si="10"/>
        <v>238694.03999999998</v>
      </c>
      <c r="AH20" s="178">
        <f t="shared" si="11"/>
        <v>159129.36000000002</v>
      </c>
      <c r="AI20" s="178"/>
      <c r="AJ20" s="178">
        <f t="shared" si="12"/>
        <v>1670858.2800000003</v>
      </c>
      <c r="AK20" s="192"/>
      <c r="AL20" s="182">
        <f t="shared" si="13"/>
        <v>0</v>
      </c>
      <c r="AM20" s="182"/>
      <c r="AN20" s="182"/>
      <c r="AO20" s="183">
        <f t="shared" si="14"/>
        <v>5.5288000000000004</v>
      </c>
      <c r="AP20" s="443">
        <v>0.25</v>
      </c>
      <c r="AQ20" s="185">
        <f t="shared" si="15"/>
        <v>1.3822000000000001</v>
      </c>
      <c r="AR20" s="178">
        <f t="shared" si="16"/>
        <v>3234348</v>
      </c>
      <c r="AS20" s="178"/>
      <c r="AT20" s="178">
        <f t="shared" si="17"/>
        <v>17476426</v>
      </c>
      <c r="AU20" s="469">
        <f t="shared" si="18"/>
        <v>7</v>
      </c>
      <c r="AV20" s="195"/>
      <c r="AW20" s="198" t="s">
        <v>729</v>
      </c>
      <c r="AY20" s="669"/>
      <c r="AZ20" s="669"/>
    </row>
    <row r="21" spans="1:59" s="189" customFormat="1" ht="33.75" customHeight="1" x14ac:dyDescent="0.25">
      <c r="A21" s="168">
        <f>_xlfn.AGGREGATE(4,7,A$13:A20)+1</f>
        <v>8</v>
      </c>
      <c r="B21" s="168"/>
      <c r="C21" s="199"/>
      <c r="D21" s="867" t="s">
        <v>1615</v>
      </c>
      <c r="E21" s="263" t="s">
        <v>1247</v>
      </c>
      <c r="F21" s="169"/>
      <c r="G21" s="170"/>
      <c r="H21" s="170"/>
      <c r="I21" s="170"/>
      <c r="J21" s="169"/>
      <c r="K21" s="170"/>
      <c r="L21" s="171"/>
      <c r="M21" s="171"/>
      <c r="N21" s="263"/>
      <c r="O21" s="390" t="s">
        <v>1616</v>
      </c>
      <c r="P21" s="172"/>
      <c r="Q21" s="173"/>
      <c r="R21" s="174">
        <v>4.0599999999999996</v>
      </c>
      <c r="S21" s="176">
        <f t="shared" si="0"/>
        <v>0.79659999999999997</v>
      </c>
      <c r="T21" s="370">
        <v>11</v>
      </c>
      <c r="U21" s="176">
        <f t="shared" si="1"/>
        <v>0.4466</v>
      </c>
      <c r="V21" s="175">
        <f t="shared" si="2"/>
        <v>1045043.9999999999</v>
      </c>
      <c r="W21" s="170">
        <v>0.35</v>
      </c>
      <c r="X21" s="179"/>
      <c r="Y21" s="216">
        <f t="shared" si="3"/>
        <v>0</v>
      </c>
      <c r="Z21" s="216">
        <f t="shared" si="4"/>
        <v>4.8566000000000003</v>
      </c>
      <c r="AA21" s="180">
        <f t="shared" si="5"/>
        <v>11364444</v>
      </c>
      <c r="AB21" s="180"/>
      <c r="AC21" s="180">
        <f t="shared" si="6"/>
        <v>0</v>
      </c>
      <c r="AD21" s="180">
        <v>0</v>
      </c>
      <c r="AE21" s="180">
        <f t="shared" si="8"/>
        <v>11364444</v>
      </c>
      <c r="AF21" s="178">
        <f t="shared" si="9"/>
        <v>909155.52</v>
      </c>
      <c r="AG21" s="178">
        <f t="shared" si="10"/>
        <v>170466.66</v>
      </c>
      <c r="AH21" s="178">
        <f t="shared" si="11"/>
        <v>113644.44</v>
      </c>
      <c r="AI21" s="178"/>
      <c r="AJ21" s="178">
        <f t="shared" si="12"/>
        <v>1193266.6199999999</v>
      </c>
      <c r="AK21" s="192"/>
      <c r="AL21" s="182">
        <f t="shared" si="13"/>
        <v>0</v>
      </c>
      <c r="AM21" s="182"/>
      <c r="AN21" s="182"/>
      <c r="AO21" s="183">
        <f t="shared" si="14"/>
        <v>4.8565999999999994</v>
      </c>
      <c r="AP21" s="443"/>
      <c r="AQ21" s="185">
        <f t="shared" si="15"/>
        <v>0</v>
      </c>
      <c r="AR21" s="178">
        <f t="shared" si="16"/>
        <v>0</v>
      </c>
      <c r="AS21" s="178"/>
      <c r="AT21" s="178">
        <f t="shared" si="17"/>
        <v>10171177</v>
      </c>
      <c r="AU21" s="469">
        <f t="shared" si="18"/>
        <v>8</v>
      </c>
      <c r="AV21" s="195"/>
      <c r="AW21" s="198"/>
      <c r="AY21" s="669"/>
      <c r="AZ21" s="669"/>
    </row>
    <row r="22" spans="1:59" s="189" customFormat="1" ht="35.25" customHeight="1" x14ac:dyDescent="0.25">
      <c r="A22" s="168">
        <f>_xlfn.AGGREGATE(4,7,A$13:A21)+1</f>
        <v>9</v>
      </c>
      <c r="B22" s="168" t="str">
        <f>VLOOKUP(D22,[1]LuongBC_T01!$B$9:$C$292,2,FALSE)</f>
        <v>0016100006567007</v>
      </c>
      <c r="C22" s="852" t="s">
        <v>843</v>
      </c>
      <c r="D22" s="169" t="s">
        <v>1145</v>
      </c>
      <c r="E22" s="263" t="s">
        <v>1246</v>
      </c>
      <c r="F22" s="169" t="s">
        <v>550</v>
      </c>
      <c r="G22" s="170" t="s">
        <v>25</v>
      </c>
      <c r="H22" s="170"/>
      <c r="I22" s="170" t="s">
        <v>280</v>
      </c>
      <c r="J22" s="169" t="s">
        <v>184</v>
      </c>
      <c r="K22" s="168" t="s">
        <v>1354</v>
      </c>
      <c r="L22" s="171" t="s">
        <v>160</v>
      </c>
      <c r="M22" s="171" t="s">
        <v>843</v>
      </c>
      <c r="N22" s="827" t="str">
        <f>VLOOKUP(D22,'[6]Bao cao So GDDT'!$D$14:$S$282,11,FALSE)</f>
        <v>Bác sĩ (hạng III)</v>
      </c>
      <c r="O22" s="391" t="s">
        <v>1119</v>
      </c>
      <c r="P22" s="172" t="s">
        <v>692</v>
      </c>
      <c r="Q22" s="173">
        <v>6</v>
      </c>
      <c r="R22" s="174">
        <v>4.6500000000000004</v>
      </c>
      <c r="S22" s="176">
        <f t="shared" si="0"/>
        <v>0.45</v>
      </c>
      <c r="T22" s="370"/>
      <c r="U22" s="176">
        <f t="shared" si="1"/>
        <v>0</v>
      </c>
      <c r="V22" s="175">
        <f t="shared" si="2"/>
        <v>0</v>
      </c>
      <c r="W22" s="170">
        <v>0.45</v>
      </c>
      <c r="X22" s="179">
        <f>VLOOKUP(D22,PCTN!D23:W290,20,FALSE)</f>
        <v>0</v>
      </c>
      <c r="Y22" s="216">
        <f t="shared" si="3"/>
        <v>0</v>
      </c>
      <c r="Z22" s="216">
        <f t="shared" si="4"/>
        <v>5.0999999999999996</v>
      </c>
      <c r="AA22" s="180">
        <f t="shared" si="5"/>
        <v>11934000</v>
      </c>
      <c r="AB22" s="180"/>
      <c r="AC22" s="180">
        <f t="shared" si="6"/>
        <v>0</v>
      </c>
      <c r="AD22" s="180">
        <f>AA22/24*AB22*75%</f>
        <v>0</v>
      </c>
      <c r="AE22" s="180">
        <f t="shared" si="8"/>
        <v>11934000</v>
      </c>
      <c r="AF22" s="178">
        <f t="shared" si="9"/>
        <v>954720</v>
      </c>
      <c r="AG22" s="178">
        <f t="shared" si="10"/>
        <v>179010</v>
      </c>
      <c r="AH22" s="178">
        <f t="shared" si="11"/>
        <v>119340</v>
      </c>
      <c r="AI22" s="178"/>
      <c r="AJ22" s="178">
        <f t="shared" si="12"/>
        <v>1253070</v>
      </c>
      <c r="AK22" s="181"/>
      <c r="AL22" s="182">
        <f t="shared" si="13"/>
        <v>0</v>
      </c>
      <c r="AM22" s="182"/>
      <c r="AN22" s="182"/>
      <c r="AO22" s="183">
        <f t="shared" si="14"/>
        <v>5.1000000000000005</v>
      </c>
      <c r="AP22" s="184">
        <v>0.2</v>
      </c>
      <c r="AQ22" s="185">
        <f t="shared" si="15"/>
        <v>1.02</v>
      </c>
      <c r="AR22" s="178">
        <f t="shared" si="16"/>
        <v>2386800</v>
      </c>
      <c r="AS22" s="178"/>
      <c r="AT22" s="178">
        <f t="shared" si="17"/>
        <v>13067730</v>
      </c>
      <c r="AU22" s="469">
        <f t="shared" si="18"/>
        <v>9</v>
      </c>
      <c r="AV22" s="195" t="s">
        <v>795</v>
      </c>
      <c r="AW22" s="219" t="s">
        <v>713</v>
      </c>
      <c r="AX22" s="29"/>
      <c r="AY22" s="863"/>
      <c r="AZ22" s="863"/>
      <c r="BA22" s="29"/>
      <c r="BB22" s="29"/>
      <c r="BC22" s="29"/>
      <c r="BD22" s="29"/>
      <c r="BE22" s="29"/>
      <c r="BF22" s="29"/>
      <c r="BG22" s="29"/>
    </row>
    <row r="23" spans="1:59" s="191" customFormat="1" ht="31.5" customHeight="1" x14ac:dyDescent="0.25">
      <c r="A23" s="168">
        <f>_xlfn.AGGREGATE(4,7,A$13:A22)+1</f>
        <v>10</v>
      </c>
      <c r="B23" s="168" t="str">
        <f>VLOOKUP(D23,[1]LuongBC_T01!$B$9:$C$292,2,FALSE)</f>
        <v>0016100006705008</v>
      </c>
      <c r="C23" s="361" t="s">
        <v>834</v>
      </c>
      <c r="D23" s="169" t="s">
        <v>803</v>
      </c>
      <c r="E23" s="263" t="s">
        <v>1242</v>
      </c>
      <c r="F23" s="169"/>
      <c r="G23" s="170"/>
      <c r="H23" s="170"/>
      <c r="I23" s="170"/>
      <c r="J23" s="169"/>
      <c r="K23" s="170" t="str">
        <f>VLOOKUP(D23,[2]T3!$B$2:$D$328,3,FALSE)</f>
        <v>023147526</v>
      </c>
      <c r="L23" s="171"/>
      <c r="M23" s="171" t="s">
        <v>834</v>
      </c>
      <c r="N23" s="263" t="str">
        <f>VLOOKUP(D23,'[6]Bao cao So GDDT'!$D$14:$S$282,11,FALSE)</f>
        <v>Kế toán viên</v>
      </c>
      <c r="O23" s="391" t="s">
        <v>38</v>
      </c>
      <c r="P23" s="172" t="s">
        <v>692</v>
      </c>
      <c r="Q23" s="173">
        <v>9</v>
      </c>
      <c r="R23" s="174">
        <v>4.9800000000000004</v>
      </c>
      <c r="S23" s="176">
        <f t="shared" si="0"/>
        <v>2.3424</v>
      </c>
      <c r="T23" s="370">
        <v>38</v>
      </c>
      <c r="U23" s="176">
        <f t="shared" si="1"/>
        <v>1.8924000000000001</v>
      </c>
      <c r="V23" s="175">
        <f t="shared" si="2"/>
        <v>4428216</v>
      </c>
      <c r="W23" s="177">
        <v>0.45</v>
      </c>
      <c r="X23" s="179">
        <v>0</v>
      </c>
      <c r="Y23" s="216">
        <f t="shared" si="3"/>
        <v>0</v>
      </c>
      <c r="Z23" s="216">
        <f t="shared" si="4"/>
        <v>7.3224</v>
      </c>
      <c r="AA23" s="180">
        <f t="shared" si="5"/>
        <v>17134416</v>
      </c>
      <c r="AB23" s="180"/>
      <c r="AC23" s="180">
        <f t="shared" si="6"/>
        <v>0</v>
      </c>
      <c r="AD23" s="180">
        <f>AA23/24*AB23*75%</f>
        <v>0</v>
      </c>
      <c r="AE23" s="180">
        <f t="shared" si="8"/>
        <v>17134416</v>
      </c>
      <c r="AF23" s="178">
        <f t="shared" si="9"/>
        <v>1370753.28</v>
      </c>
      <c r="AG23" s="178">
        <f t="shared" si="10"/>
        <v>257016.24</v>
      </c>
      <c r="AH23" s="178">
        <f t="shared" si="11"/>
        <v>171344.16</v>
      </c>
      <c r="AI23" s="178"/>
      <c r="AJ23" s="178">
        <f t="shared" si="12"/>
        <v>1799113.68</v>
      </c>
      <c r="AK23" s="181">
        <v>0.2</v>
      </c>
      <c r="AL23" s="182">
        <f t="shared" si="13"/>
        <v>468000</v>
      </c>
      <c r="AM23" s="182"/>
      <c r="AN23" s="182"/>
      <c r="AO23" s="183">
        <f t="shared" si="14"/>
        <v>7.3224000000000009</v>
      </c>
      <c r="AP23" s="246">
        <v>0</v>
      </c>
      <c r="AQ23" s="185">
        <f t="shared" si="15"/>
        <v>0</v>
      </c>
      <c r="AR23" s="178">
        <f t="shared" si="16"/>
        <v>0</v>
      </c>
      <c r="AS23" s="178"/>
      <c r="AT23" s="178">
        <f t="shared" si="17"/>
        <v>15803302</v>
      </c>
      <c r="AU23" s="469">
        <f t="shared" si="18"/>
        <v>10</v>
      </c>
      <c r="AV23" s="195" t="s">
        <v>1270</v>
      </c>
      <c r="AW23" s="187"/>
    </row>
    <row r="24" spans="1:59" s="191" customFormat="1" ht="43.5" customHeight="1" x14ac:dyDescent="0.25">
      <c r="A24" s="168">
        <f>_xlfn.AGGREGATE(4,7,A$13:A23)+1</f>
        <v>11</v>
      </c>
      <c r="B24" s="168" t="str">
        <f>VLOOKUP(D24,[1]LuongBC_T01!$B$9:$C$292,2,FALSE)</f>
        <v>0016100006766007</v>
      </c>
      <c r="C24" s="361" t="s">
        <v>845</v>
      </c>
      <c r="D24" s="867" t="s">
        <v>1147</v>
      </c>
      <c r="E24" s="263" t="s">
        <v>1641</v>
      </c>
      <c r="F24" s="169" t="s">
        <v>549</v>
      </c>
      <c r="G24" s="170"/>
      <c r="H24" s="170"/>
      <c r="I24" s="170" t="s">
        <v>284</v>
      </c>
      <c r="J24" s="169" t="s">
        <v>204</v>
      </c>
      <c r="K24" s="168" t="s">
        <v>1356</v>
      </c>
      <c r="L24" s="171" t="s">
        <v>155</v>
      </c>
      <c r="M24" s="171" t="s">
        <v>845</v>
      </c>
      <c r="N24" s="263" t="str">
        <f>VLOOKUP(D24,'[6]Bao cao So GDDT'!$D$14:$S$282,11,FALSE)</f>
        <v>Chuyên viên</v>
      </c>
      <c r="O24" s="391" t="s">
        <v>39</v>
      </c>
      <c r="P24" s="172" t="s">
        <v>692</v>
      </c>
      <c r="Q24" s="173">
        <v>8</v>
      </c>
      <c r="R24" s="174">
        <v>4.9800000000000004</v>
      </c>
      <c r="S24" s="176">
        <f t="shared" si="0"/>
        <v>0.39839999999999998</v>
      </c>
      <c r="T24" s="370">
        <v>8</v>
      </c>
      <c r="U24" s="176">
        <f t="shared" si="1"/>
        <v>0.39839999999999998</v>
      </c>
      <c r="V24" s="175">
        <f t="shared" si="2"/>
        <v>932256.00000000012</v>
      </c>
      <c r="W24" s="170"/>
      <c r="X24" s="179">
        <f>VLOOKUP(D24,PCTN!D24:W291,20,FALSE)</f>
        <v>0</v>
      </c>
      <c r="Y24" s="216">
        <f t="shared" si="3"/>
        <v>0</v>
      </c>
      <c r="Z24" s="216">
        <f t="shared" si="4"/>
        <v>5.3784000000000001</v>
      </c>
      <c r="AA24" s="180">
        <f t="shared" si="5"/>
        <v>12585456</v>
      </c>
      <c r="AB24" s="180"/>
      <c r="AC24" s="180">
        <f t="shared" si="6"/>
        <v>0</v>
      </c>
      <c r="AD24" s="180">
        <f>AA24/24*AB24*75%</f>
        <v>0</v>
      </c>
      <c r="AE24" s="180">
        <f t="shared" si="8"/>
        <v>12585456</v>
      </c>
      <c r="AF24" s="178">
        <f t="shared" si="9"/>
        <v>1006836.48</v>
      </c>
      <c r="AG24" s="178">
        <f t="shared" si="10"/>
        <v>188781.84</v>
      </c>
      <c r="AH24" s="178">
        <f t="shared" si="11"/>
        <v>125854.56</v>
      </c>
      <c r="AI24" s="178"/>
      <c r="AJ24" s="178">
        <f t="shared" si="12"/>
        <v>1321472.8800000001</v>
      </c>
      <c r="AK24" s="555"/>
      <c r="AL24" s="182">
        <f t="shared" si="13"/>
        <v>0</v>
      </c>
      <c r="AM24" s="182"/>
      <c r="AN24" s="182"/>
      <c r="AO24" s="183">
        <f t="shared" si="14"/>
        <v>5.3784000000000001</v>
      </c>
      <c r="AP24" s="179"/>
      <c r="AQ24" s="185">
        <f t="shared" si="15"/>
        <v>0</v>
      </c>
      <c r="AR24" s="178">
        <f t="shared" si="16"/>
        <v>0</v>
      </c>
      <c r="AS24" s="178"/>
      <c r="AT24" s="178">
        <f t="shared" si="17"/>
        <v>11263983</v>
      </c>
      <c r="AU24" s="469">
        <f t="shared" si="18"/>
        <v>11</v>
      </c>
      <c r="AV24" s="195"/>
      <c r="AW24" s="187"/>
    </row>
    <row r="25" spans="1:59" s="191" customFormat="1" ht="42.75" customHeight="1" x14ac:dyDescent="0.25">
      <c r="A25" s="168">
        <f>_xlfn.AGGREGATE(4,7,A$13:A24)+1</f>
        <v>12</v>
      </c>
      <c r="B25" s="168" t="str">
        <f>VLOOKUP(D25,[1]LuongBC_T01!$B$9:$C$292,2,FALSE)</f>
        <v>0016100006783001</v>
      </c>
      <c r="C25" s="361" t="s">
        <v>872</v>
      </c>
      <c r="D25" s="169" t="s">
        <v>1173</v>
      </c>
      <c r="E25" s="263" t="s">
        <v>1374</v>
      </c>
      <c r="F25" s="169" t="s">
        <v>549</v>
      </c>
      <c r="G25" s="170"/>
      <c r="H25" s="170"/>
      <c r="I25" s="170" t="s">
        <v>283</v>
      </c>
      <c r="J25" s="169" t="s">
        <v>210</v>
      </c>
      <c r="K25" s="170" t="str">
        <f>VLOOKUP(D25,[2]T3!$B$2:$D$328,3,FALSE)</f>
        <v>022776286</v>
      </c>
      <c r="L25" s="171" t="s">
        <v>92</v>
      </c>
      <c r="M25" s="171" t="s">
        <v>872</v>
      </c>
      <c r="N25" s="263" t="str">
        <f>VLOOKUP(D25,'[6]Bao cao So GDDT'!$D$14:$S$282,11,FALSE)</f>
        <v>Giảng viên GDNN LT (hạng III)</v>
      </c>
      <c r="O25" s="390" t="s">
        <v>1438</v>
      </c>
      <c r="P25" s="172" t="s">
        <v>692</v>
      </c>
      <c r="Q25" s="173">
        <v>8</v>
      </c>
      <c r="R25" s="174">
        <v>4.9800000000000004</v>
      </c>
      <c r="S25" s="176">
        <f t="shared" si="0"/>
        <v>1.6274999999999999</v>
      </c>
      <c r="T25" s="370">
        <v>7</v>
      </c>
      <c r="U25" s="176">
        <f t="shared" si="1"/>
        <v>0.34860000000000002</v>
      </c>
      <c r="V25" s="175">
        <f t="shared" si="2"/>
        <v>815724</v>
      </c>
      <c r="W25" s="170"/>
      <c r="X25" s="179">
        <v>0.24</v>
      </c>
      <c r="Y25" s="216">
        <f t="shared" si="3"/>
        <v>1.2788999999999999</v>
      </c>
      <c r="Z25" s="216">
        <f t="shared" si="4"/>
        <v>6.6074999999999999</v>
      </c>
      <c r="AA25" s="180">
        <f t="shared" si="5"/>
        <v>15461550</v>
      </c>
      <c r="AB25" s="180"/>
      <c r="AC25" s="180">
        <f t="shared" si="6"/>
        <v>0</v>
      </c>
      <c r="AD25" s="180">
        <f>AA25/24*AB25*75%</f>
        <v>0</v>
      </c>
      <c r="AE25" s="180">
        <f t="shared" si="8"/>
        <v>15461550</v>
      </c>
      <c r="AF25" s="178">
        <f t="shared" si="9"/>
        <v>1236924</v>
      </c>
      <c r="AG25" s="178">
        <f t="shared" si="10"/>
        <v>231923.25</v>
      </c>
      <c r="AH25" s="178">
        <f t="shared" si="11"/>
        <v>154615.5</v>
      </c>
      <c r="AI25" s="178"/>
      <c r="AJ25" s="178">
        <f t="shared" si="12"/>
        <v>1623462.75</v>
      </c>
      <c r="AK25" s="192"/>
      <c r="AL25" s="182">
        <f t="shared" si="13"/>
        <v>0</v>
      </c>
      <c r="AM25" s="182"/>
      <c r="AN25" s="182"/>
      <c r="AO25" s="183">
        <f t="shared" si="14"/>
        <v>5.3286000000000007</v>
      </c>
      <c r="AP25" s="443">
        <v>0.25</v>
      </c>
      <c r="AQ25" s="185">
        <f t="shared" si="15"/>
        <v>1.3322000000000001</v>
      </c>
      <c r="AR25" s="178">
        <f t="shared" si="16"/>
        <v>3117348</v>
      </c>
      <c r="AS25" s="178"/>
      <c r="AT25" s="178">
        <f t="shared" si="17"/>
        <v>16955435</v>
      </c>
      <c r="AU25" s="469">
        <f t="shared" si="18"/>
        <v>12</v>
      </c>
      <c r="AV25" s="195"/>
      <c r="AW25" s="244" t="s">
        <v>729</v>
      </c>
    </row>
    <row r="26" spans="1:59" s="191" customFormat="1" ht="44.25" customHeight="1" x14ac:dyDescent="0.25">
      <c r="A26" s="168">
        <f>_xlfn.AGGREGATE(4,7,A$13:A25)+1</f>
        <v>13</v>
      </c>
      <c r="B26" s="168" t="str">
        <f>VLOOKUP(D26,[1]LuongBC_T01!$B$9:$C$292,2,FALSE)</f>
        <v>0016100006715006</v>
      </c>
      <c r="C26" s="361" t="s">
        <v>891</v>
      </c>
      <c r="D26" s="169" t="s">
        <v>1188</v>
      </c>
      <c r="E26" s="263" t="s">
        <v>1641</v>
      </c>
      <c r="F26" s="169" t="s">
        <v>549</v>
      </c>
      <c r="G26" s="170"/>
      <c r="H26" s="170"/>
      <c r="I26" s="170" t="s">
        <v>284</v>
      </c>
      <c r="J26" s="169" t="s">
        <v>229</v>
      </c>
      <c r="K26" s="170" t="str">
        <f>VLOOKUP(D26,[2]T3!$B$2:$D$328,3,FALSE)</f>
        <v>023181301</v>
      </c>
      <c r="L26" s="171" t="s">
        <v>106</v>
      </c>
      <c r="M26" s="171" t="s">
        <v>891</v>
      </c>
      <c r="N26" s="263" t="str">
        <f>VLOOKUP(D26,'[6]Bao cao So GDDT'!$D$14:$S$282,11,FALSE)</f>
        <v>Chuyên viên</v>
      </c>
      <c r="O26" s="390" t="s">
        <v>39</v>
      </c>
      <c r="P26" s="172" t="s">
        <v>692</v>
      </c>
      <c r="Q26" s="173">
        <v>5</v>
      </c>
      <c r="R26" s="174">
        <v>4.32</v>
      </c>
      <c r="S26" s="176">
        <f t="shared" si="0"/>
        <v>0</v>
      </c>
      <c r="T26" s="370"/>
      <c r="U26" s="176">
        <f t="shared" si="1"/>
        <v>0</v>
      </c>
      <c r="V26" s="175">
        <f t="shared" si="2"/>
        <v>0</v>
      </c>
      <c r="W26" s="200"/>
      <c r="X26" s="179">
        <f>VLOOKUP(D26,PCTN!D75:W342,20,FALSE)</f>
        <v>0</v>
      </c>
      <c r="Y26" s="216">
        <f t="shared" si="3"/>
        <v>0</v>
      </c>
      <c r="Z26" s="216">
        <f t="shared" si="4"/>
        <v>4.32</v>
      </c>
      <c r="AA26" s="180">
        <f t="shared" si="5"/>
        <v>10108800</v>
      </c>
      <c r="AB26" s="180"/>
      <c r="AC26" s="180">
        <f t="shared" si="6"/>
        <v>0</v>
      </c>
      <c r="AD26" s="180">
        <v>0</v>
      </c>
      <c r="AE26" s="180">
        <f t="shared" si="8"/>
        <v>10108800</v>
      </c>
      <c r="AF26" s="178">
        <f t="shared" si="9"/>
        <v>808704</v>
      </c>
      <c r="AG26" s="178">
        <f t="shared" si="10"/>
        <v>151632</v>
      </c>
      <c r="AH26" s="178">
        <f t="shared" si="11"/>
        <v>101088</v>
      </c>
      <c r="AI26" s="178"/>
      <c r="AJ26" s="178">
        <f t="shared" si="12"/>
        <v>1061424</v>
      </c>
      <c r="AK26" s="181"/>
      <c r="AL26" s="182">
        <f t="shared" si="13"/>
        <v>0</v>
      </c>
      <c r="AM26" s="182"/>
      <c r="AN26" s="182"/>
      <c r="AO26" s="183">
        <f t="shared" si="14"/>
        <v>4.32</v>
      </c>
      <c r="AP26" s="179"/>
      <c r="AQ26" s="185">
        <f t="shared" si="15"/>
        <v>0</v>
      </c>
      <c r="AR26" s="178">
        <f t="shared" si="16"/>
        <v>0</v>
      </c>
      <c r="AS26" s="178"/>
      <c r="AT26" s="178">
        <f t="shared" si="17"/>
        <v>9047376</v>
      </c>
      <c r="AU26" s="469">
        <f t="shared" si="18"/>
        <v>13</v>
      </c>
      <c r="AV26" s="195"/>
      <c r="AW26" s="198" t="s">
        <v>711</v>
      </c>
      <c r="AX26" s="552"/>
      <c r="AY26" s="552"/>
      <c r="AZ26" s="552"/>
      <c r="BA26" s="552"/>
      <c r="BB26" s="552"/>
      <c r="BC26" s="552"/>
      <c r="BD26" s="552"/>
      <c r="BE26" s="552"/>
      <c r="BF26" s="552"/>
      <c r="BG26" s="552"/>
    </row>
    <row r="27" spans="1:59" s="189" customFormat="1" ht="44.25" customHeight="1" x14ac:dyDescent="0.25">
      <c r="A27" s="168">
        <f>_xlfn.AGGREGATE(4,7,A$13:A26)+1</f>
        <v>14</v>
      </c>
      <c r="B27" s="168" t="str">
        <f>VLOOKUP(D27,[1]LuongBC_T01!$B$9:$C$292,2,FALSE)</f>
        <v>0016100006527005</v>
      </c>
      <c r="C27" s="361" t="s">
        <v>892</v>
      </c>
      <c r="D27" s="169" t="s">
        <v>1187</v>
      </c>
      <c r="E27" s="263" t="s">
        <v>1103</v>
      </c>
      <c r="F27" s="169" t="s">
        <v>549</v>
      </c>
      <c r="G27" s="170" t="s">
        <v>25</v>
      </c>
      <c r="H27" s="170"/>
      <c r="I27" s="170" t="s">
        <v>284</v>
      </c>
      <c r="J27" s="220" t="s">
        <v>230</v>
      </c>
      <c r="K27" s="170" t="str">
        <f>VLOOKUP(D27,[2]T3!$B$2:$D$328,3,FALSE)</f>
        <v>024734659</v>
      </c>
      <c r="L27" s="171" t="s">
        <v>152</v>
      </c>
      <c r="M27" s="171" t="s">
        <v>892</v>
      </c>
      <c r="N27" s="263" t="str">
        <f>VLOOKUP(D27,'[6]Bao cao So GDDT'!$D$14:$S$282,11,FALSE)</f>
        <v>Chuyên viên</v>
      </c>
      <c r="O27" s="390" t="s">
        <v>39</v>
      </c>
      <c r="P27" s="172" t="s">
        <v>692</v>
      </c>
      <c r="Q27" s="173">
        <v>6</v>
      </c>
      <c r="R27" s="174">
        <v>4.6500000000000004</v>
      </c>
      <c r="S27" s="176">
        <f t="shared" si="0"/>
        <v>0</v>
      </c>
      <c r="T27" s="370"/>
      <c r="U27" s="176">
        <f t="shared" si="1"/>
        <v>0</v>
      </c>
      <c r="V27" s="175">
        <f t="shared" si="2"/>
        <v>0</v>
      </c>
      <c r="W27" s="170"/>
      <c r="X27" s="179">
        <f>VLOOKUP(D27,PCTN!D74:W341,20,FALSE)</f>
        <v>0</v>
      </c>
      <c r="Y27" s="216">
        <f t="shared" si="3"/>
        <v>0</v>
      </c>
      <c r="Z27" s="216">
        <f t="shared" si="4"/>
        <v>4.6500000000000004</v>
      </c>
      <c r="AA27" s="180">
        <f t="shared" si="5"/>
        <v>10881000</v>
      </c>
      <c r="AB27" s="180"/>
      <c r="AC27" s="180">
        <f t="shared" si="6"/>
        <v>0</v>
      </c>
      <c r="AD27" s="180">
        <f t="shared" ref="AD27:AD35" si="19">AA27/24*AB27*75%</f>
        <v>0</v>
      </c>
      <c r="AE27" s="180">
        <f t="shared" si="8"/>
        <v>10881000</v>
      </c>
      <c r="AF27" s="178">
        <f t="shared" si="9"/>
        <v>870480</v>
      </c>
      <c r="AG27" s="178">
        <f t="shared" si="10"/>
        <v>163215</v>
      </c>
      <c r="AH27" s="178">
        <f t="shared" si="11"/>
        <v>108810</v>
      </c>
      <c r="AI27" s="178"/>
      <c r="AJ27" s="178">
        <f t="shared" si="12"/>
        <v>1142505</v>
      </c>
      <c r="AK27" s="192"/>
      <c r="AL27" s="182">
        <f t="shared" si="13"/>
        <v>0</v>
      </c>
      <c r="AM27" s="182"/>
      <c r="AN27" s="182"/>
      <c r="AO27" s="183">
        <f t="shared" si="14"/>
        <v>4.6500000000000004</v>
      </c>
      <c r="AP27" s="179"/>
      <c r="AQ27" s="185">
        <f t="shared" si="15"/>
        <v>0</v>
      </c>
      <c r="AR27" s="178">
        <f t="shared" si="16"/>
        <v>0</v>
      </c>
      <c r="AS27" s="178"/>
      <c r="AT27" s="178">
        <f t="shared" si="17"/>
        <v>9738495</v>
      </c>
      <c r="AU27" s="469">
        <f t="shared" si="18"/>
        <v>14</v>
      </c>
      <c r="AV27" s="195"/>
      <c r="AW27" s="187" t="s">
        <v>705</v>
      </c>
    </row>
    <row r="28" spans="1:59" s="189" customFormat="1" ht="32.25" customHeight="1" x14ac:dyDescent="0.25">
      <c r="A28" s="168">
        <f>_xlfn.AGGREGATE(4,7,A$13:A27)+1</f>
        <v>15</v>
      </c>
      <c r="B28" s="168" t="str">
        <f>VLOOKUP(D28,[1]LuongBC_T01!$B$9:$C$292,2,FALSE)</f>
        <v>0016100006689005</v>
      </c>
      <c r="C28" s="361" t="s">
        <v>851</v>
      </c>
      <c r="D28" s="169" t="s">
        <v>1152</v>
      </c>
      <c r="E28" s="263" t="s">
        <v>1582</v>
      </c>
      <c r="F28" s="169" t="s">
        <v>549</v>
      </c>
      <c r="G28" s="170"/>
      <c r="H28" s="170"/>
      <c r="I28" s="170" t="s">
        <v>281</v>
      </c>
      <c r="J28" s="169" t="s">
        <v>191</v>
      </c>
      <c r="K28" s="170" t="str">
        <f>VLOOKUP(D28,[2]T3!$B$2:$D$328,3,FALSE)</f>
        <v>023176396</v>
      </c>
      <c r="L28" s="171" t="s">
        <v>75</v>
      </c>
      <c r="M28" s="171" t="s">
        <v>851</v>
      </c>
      <c r="N28" s="263" t="str">
        <f>VLOOKUP(D28,'[6]Bao cao So GDDT'!$D$14:$S$282,11,FALSE)</f>
        <v>Giảng viên GDNN LT (hạng III)</v>
      </c>
      <c r="O28" s="390" t="s">
        <v>1438</v>
      </c>
      <c r="P28" s="172" t="s">
        <v>692</v>
      </c>
      <c r="Q28" s="173">
        <v>5</v>
      </c>
      <c r="R28" s="174">
        <v>4.6500000000000004</v>
      </c>
      <c r="S28" s="176">
        <f t="shared" si="0"/>
        <v>1.47</v>
      </c>
      <c r="T28" s="370"/>
      <c r="U28" s="176">
        <f t="shared" si="1"/>
        <v>0</v>
      </c>
      <c r="V28" s="175">
        <f t="shared" si="2"/>
        <v>0</v>
      </c>
      <c r="W28" s="170">
        <v>0.45</v>
      </c>
      <c r="X28" s="179">
        <v>0.2</v>
      </c>
      <c r="Y28" s="216">
        <f t="shared" si="3"/>
        <v>1.02</v>
      </c>
      <c r="Z28" s="216">
        <f t="shared" si="4"/>
        <v>6.12</v>
      </c>
      <c r="AA28" s="180">
        <f t="shared" si="5"/>
        <v>14320800</v>
      </c>
      <c r="AB28" s="180"/>
      <c r="AC28" s="180">
        <f t="shared" si="6"/>
        <v>0</v>
      </c>
      <c r="AD28" s="180">
        <f t="shared" si="19"/>
        <v>0</v>
      </c>
      <c r="AE28" s="180">
        <f t="shared" si="8"/>
        <v>14320800</v>
      </c>
      <c r="AF28" s="178">
        <f t="shared" si="9"/>
        <v>1145664</v>
      </c>
      <c r="AG28" s="178">
        <f t="shared" si="10"/>
        <v>214812</v>
      </c>
      <c r="AH28" s="178">
        <f t="shared" si="11"/>
        <v>143208</v>
      </c>
      <c r="AI28" s="178"/>
      <c r="AJ28" s="178">
        <f t="shared" si="12"/>
        <v>1503684</v>
      </c>
      <c r="AK28" s="192"/>
      <c r="AL28" s="182">
        <f t="shared" si="13"/>
        <v>0</v>
      </c>
      <c r="AM28" s="182"/>
      <c r="AN28" s="182"/>
      <c r="AO28" s="183">
        <f t="shared" si="14"/>
        <v>5.1000000000000005</v>
      </c>
      <c r="AP28" s="443">
        <v>0.25</v>
      </c>
      <c r="AQ28" s="185">
        <f t="shared" si="15"/>
        <v>1.2749999999999999</v>
      </c>
      <c r="AR28" s="178">
        <f t="shared" si="16"/>
        <v>2983500</v>
      </c>
      <c r="AS28" s="178"/>
      <c r="AT28" s="178">
        <f t="shared" si="17"/>
        <v>15800616</v>
      </c>
      <c r="AU28" s="469">
        <f t="shared" si="18"/>
        <v>15</v>
      </c>
      <c r="AV28" s="195"/>
      <c r="AW28" s="198" t="s">
        <v>706</v>
      </c>
    </row>
    <row r="29" spans="1:59" s="191" customFormat="1" ht="32.25" customHeight="1" x14ac:dyDescent="0.25">
      <c r="A29" s="168">
        <f>_xlfn.AGGREGATE(4,7,A$13:A28)+1</f>
        <v>16</v>
      </c>
      <c r="B29" s="168" t="str">
        <f>VLOOKUP(D29,[1]LuongBC_T01!$B$9:$C$292,2,FALSE)</f>
        <v>0016100006501006</v>
      </c>
      <c r="C29" s="361" t="s">
        <v>869</v>
      </c>
      <c r="D29" s="169" t="s">
        <v>1171</v>
      </c>
      <c r="E29" s="263" t="s">
        <v>1416</v>
      </c>
      <c r="F29" s="169" t="s">
        <v>549</v>
      </c>
      <c r="G29" s="170"/>
      <c r="H29" s="170"/>
      <c r="I29" s="170" t="s">
        <v>283</v>
      </c>
      <c r="J29" s="169" t="s">
        <v>213</v>
      </c>
      <c r="K29" s="170" t="str">
        <f>VLOOKUP(D29,[2]T3!$B$2:$D$328,3,FALSE)</f>
        <v>020953956</v>
      </c>
      <c r="L29" s="171" t="s">
        <v>94</v>
      </c>
      <c r="M29" s="171" t="s">
        <v>869</v>
      </c>
      <c r="N29" s="263" t="str">
        <f>VLOOKUP(D29,'[6]Bao cao So GDDT'!$D$14:$S$282,11,FALSE)</f>
        <v>Giảng viên (hạng III)</v>
      </c>
      <c r="O29" s="390" t="s">
        <v>39</v>
      </c>
      <c r="P29" s="172" t="s">
        <v>692</v>
      </c>
      <c r="Q29" s="173">
        <v>8</v>
      </c>
      <c r="R29" s="174">
        <v>4.9800000000000004</v>
      </c>
      <c r="S29" s="176">
        <f t="shared" si="0"/>
        <v>0.29880000000000001</v>
      </c>
      <c r="T29" s="370">
        <v>6</v>
      </c>
      <c r="U29" s="176">
        <f t="shared" si="1"/>
        <v>0.29880000000000001</v>
      </c>
      <c r="V29" s="175">
        <f t="shared" si="2"/>
        <v>699192</v>
      </c>
      <c r="W29" s="200"/>
      <c r="X29" s="179">
        <f>VLOOKUP(D29,PCTN!D53:W320,20,FALSE)</f>
        <v>0</v>
      </c>
      <c r="Y29" s="216">
        <f t="shared" si="3"/>
        <v>0</v>
      </c>
      <c r="Z29" s="216">
        <f t="shared" si="4"/>
        <v>5.2788000000000004</v>
      </c>
      <c r="AA29" s="180">
        <f t="shared" si="5"/>
        <v>12352392</v>
      </c>
      <c r="AB29" s="180"/>
      <c r="AC29" s="180">
        <f t="shared" si="6"/>
        <v>0</v>
      </c>
      <c r="AD29" s="180">
        <f t="shared" si="19"/>
        <v>0</v>
      </c>
      <c r="AE29" s="180">
        <f t="shared" si="8"/>
        <v>12352392</v>
      </c>
      <c r="AF29" s="178">
        <f t="shared" si="9"/>
        <v>988191.36</v>
      </c>
      <c r="AG29" s="178">
        <f t="shared" si="10"/>
        <v>185285.88</v>
      </c>
      <c r="AH29" s="178">
        <f t="shared" si="11"/>
        <v>123523.92</v>
      </c>
      <c r="AI29" s="178"/>
      <c r="AJ29" s="178">
        <f t="shared" si="12"/>
        <v>1297001.1599999999</v>
      </c>
      <c r="AK29" s="181"/>
      <c r="AL29" s="182">
        <f t="shared" si="13"/>
        <v>0</v>
      </c>
      <c r="AM29" s="182"/>
      <c r="AN29" s="182"/>
      <c r="AO29" s="183">
        <f t="shared" ref="AO29:AO72" si="20">R29+U29+W29</f>
        <v>5.2788000000000004</v>
      </c>
      <c r="AP29" s="179"/>
      <c r="AQ29" s="185">
        <f t="shared" si="15"/>
        <v>0</v>
      </c>
      <c r="AR29" s="178">
        <f t="shared" si="16"/>
        <v>0</v>
      </c>
      <c r="AS29" s="178"/>
      <c r="AT29" s="178">
        <f t="shared" si="17"/>
        <v>11055391</v>
      </c>
      <c r="AU29" s="469">
        <f t="shared" si="18"/>
        <v>16</v>
      </c>
      <c r="AV29" s="186"/>
      <c r="AW29" s="187" t="s">
        <v>704</v>
      </c>
    </row>
    <row r="30" spans="1:59" s="189" customFormat="1" ht="29.25" customHeight="1" x14ac:dyDescent="0.25">
      <c r="A30" s="168">
        <f>_xlfn.AGGREGATE(4,7,A$13:A29)+1</f>
        <v>17</v>
      </c>
      <c r="B30" s="168" t="str">
        <f>VLOOKUP(D30,[1]LuongBC_T01!$B$9:$C$292,2,FALSE)</f>
        <v>0016100006639008</v>
      </c>
      <c r="C30" s="361" t="s">
        <v>840</v>
      </c>
      <c r="D30" s="169" t="s">
        <v>800</v>
      </c>
      <c r="E30" s="263" t="s">
        <v>1531</v>
      </c>
      <c r="F30" s="169"/>
      <c r="G30" s="170"/>
      <c r="H30" s="170"/>
      <c r="I30" s="170"/>
      <c r="J30" s="169"/>
      <c r="K30" s="168" t="s">
        <v>1349</v>
      </c>
      <c r="L30" s="171"/>
      <c r="M30" s="171" t="s">
        <v>840</v>
      </c>
      <c r="N30" s="263" t="str">
        <f>VLOOKUP(D30,'[6]Bao cao So GDDT'!$D$14:$S$282,11,FALSE)</f>
        <v>Giảng viên GDNN LT (hạng III)</v>
      </c>
      <c r="O30" s="390" t="s">
        <v>1438</v>
      </c>
      <c r="P30" s="172" t="s">
        <v>692</v>
      </c>
      <c r="Q30" s="173">
        <v>7</v>
      </c>
      <c r="R30" s="174">
        <v>4.9800000000000004</v>
      </c>
      <c r="S30" s="176">
        <f t="shared" si="0"/>
        <v>1.4274</v>
      </c>
      <c r="T30" s="377"/>
      <c r="U30" s="176">
        <f t="shared" si="1"/>
        <v>0</v>
      </c>
      <c r="V30" s="175">
        <f t="shared" si="2"/>
        <v>0</v>
      </c>
      <c r="W30" s="170">
        <v>0.45</v>
      </c>
      <c r="X30" s="179">
        <v>0.18</v>
      </c>
      <c r="Y30" s="216">
        <f t="shared" si="3"/>
        <v>0.97740000000000005</v>
      </c>
      <c r="Z30" s="216">
        <f t="shared" si="4"/>
        <v>6.4074</v>
      </c>
      <c r="AA30" s="180">
        <f t="shared" si="5"/>
        <v>14993316</v>
      </c>
      <c r="AB30" s="180"/>
      <c r="AC30" s="180">
        <f t="shared" si="6"/>
        <v>0</v>
      </c>
      <c r="AD30" s="180">
        <f t="shared" si="19"/>
        <v>0</v>
      </c>
      <c r="AE30" s="180">
        <f t="shared" si="8"/>
        <v>14993316</v>
      </c>
      <c r="AF30" s="178">
        <f t="shared" si="9"/>
        <v>1199465.28</v>
      </c>
      <c r="AG30" s="178">
        <f t="shared" si="10"/>
        <v>224899.74</v>
      </c>
      <c r="AH30" s="178">
        <f t="shared" si="11"/>
        <v>149933.16</v>
      </c>
      <c r="AI30" s="178"/>
      <c r="AJ30" s="178">
        <f t="shared" si="12"/>
        <v>1574298.18</v>
      </c>
      <c r="AK30" s="181"/>
      <c r="AL30" s="182">
        <f t="shared" si="13"/>
        <v>0</v>
      </c>
      <c r="AM30" s="182"/>
      <c r="AN30" s="182"/>
      <c r="AO30" s="183">
        <f t="shared" si="20"/>
        <v>5.4300000000000006</v>
      </c>
      <c r="AP30" s="443">
        <v>0.25</v>
      </c>
      <c r="AQ30" s="185">
        <f t="shared" si="15"/>
        <v>1.3574999999999999</v>
      </c>
      <c r="AR30" s="178">
        <f t="shared" si="16"/>
        <v>3176550</v>
      </c>
      <c r="AS30" s="178"/>
      <c r="AT30" s="178">
        <f t="shared" si="17"/>
        <v>16595568</v>
      </c>
      <c r="AU30" s="469">
        <f t="shared" si="18"/>
        <v>17</v>
      </c>
      <c r="AV30" s="195"/>
      <c r="AW30" s="198"/>
    </row>
    <row r="31" spans="1:59" s="191" customFormat="1" ht="33" customHeight="1" x14ac:dyDescent="0.25">
      <c r="A31" s="725">
        <f>_xlfn.AGGREGATE(4,7,A$13:A30)+1</f>
        <v>18</v>
      </c>
      <c r="B31" s="725" t="str">
        <f>VLOOKUP(D31,[1]LuongBC_T01!$B$9:$C$292,2,FALSE)</f>
        <v>0016100006574003</v>
      </c>
      <c r="C31" s="726" t="s">
        <v>1087</v>
      </c>
      <c r="D31" s="727" t="s">
        <v>767</v>
      </c>
      <c r="E31" s="728" t="s">
        <v>1629</v>
      </c>
      <c r="F31" s="727"/>
      <c r="G31" s="729" t="s">
        <v>25</v>
      </c>
      <c r="H31" s="729"/>
      <c r="I31" s="729"/>
      <c r="J31" s="727"/>
      <c r="K31" s="729" t="str">
        <f>VLOOKUP(D31,[2]T3!$B$2:$D$328,3,FALSE)</f>
        <v>022931960</v>
      </c>
      <c r="L31" s="1000" t="s">
        <v>790</v>
      </c>
      <c r="M31" s="1000" t="s">
        <v>1087</v>
      </c>
      <c r="N31" s="728" t="str">
        <f>VLOOKUP(D31,'[6]Bao cao So GDDT'!$D$14:$S$282,11,FALSE)</f>
        <v>Giảng viên GDNN LT (hạng III)</v>
      </c>
      <c r="O31" s="731" t="s">
        <v>1438</v>
      </c>
      <c r="P31" s="732" t="s">
        <v>692</v>
      </c>
      <c r="Q31" s="733">
        <v>7</v>
      </c>
      <c r="R31" s="734">
        <v>4.9800000000000004</v>
      </c>
      <c r="S31" s="735">
        <f t="shared" si="0"/>
        <v>1.4601</v>
      </c>
      <c r="T31" s="736">
        <v>6</v>
      </c>
      <c r="U31" s="735">
        <f t="shared" si="1"/>
        <v>0.29880000000000001</v>
      </c>
      <c r="V31" s="737">
        <f t="shared" si="2"/>
        <v>699192</v>
      </c>
      <c r="W31" s="750"/>
      <c r="X31" s="738">
        <v>0.22</v>
      </c>
      <c r="Y31" s="739">
        <f t="shared" si="3"/>
        <v>1.1613</v>
      </c>
      <c r="Z31" s="739">
        <f t="shared" si="4"/>
        <v>6.4401000000000002</v>
      </c>
      <c r="AA31" s="740">
        <f t="shared" si="5"/>
        <v>15069834</v>
      </c>
      <c r="AB31" s="740"/>
      <c r="AC31" s="740">
        <f t="shared" si="6"/>
        <v>0</v>
      </c>
      <c r="AD31" s="740">
        <f t="shared" si="19"/>
        <v>0</v>
      </c>
      <c r="AE31" s="740">
        <f t="shared" si="8"/>
        <v>15069834</v>
      </c>
      <c r="AF31" s="741">
        <f t="shared" si="9"/>
        <v>1205586.72</v>
      </c>
      <c r="AG31" s="741">
        <f t="shared" si="10"/>
        <v>226047.50999999998</v>
      </c>
      <c r="AH31" s="741">
        <f t="shared" si="11"/>
        <v>150698.34</v>
      </c>
      <c r="AI31" s="741"/>
      <c r="AJ31" s="741">
        <f t="shared" si="12"/>
        <v>1582332.57</v>
      </c>
      <c r="AK31" s="1001"/>
      <c r="AL31" s="743">
        <f t="shared" si="13"/>
        <v>0</v>
      </c>
      <c r="AM31" s="743"/>
      <c r="AN31" s="743"/>
      <c r="AO31" s="744">
        <f t="shared" si="20"/>
        <v>5.2788000000000004</v>
      </c>
      <c r="AP31" s="745">
        <v>0.25</v>
      </c>
      <c r="AQ31" s="746">
        <f t="shared" si="15"/>
        <v>1.3197000000000001</v>
      </c>
      <c r="AR31" s="741">
        <f t="shared" si="16"/>
        <v>3088098</v>
      </c>
      <c r="AS31" s="741"/>
      <c r="AT31" s="741">
        <f t="shared" si="17"/>
        <v>16575599</v>
      </c>
      <c r="AU31" s="747">
        <f t="shared" si="18"/>
        <v>18</v>
      </c>
      <c r="AV31" s="748"/>
      <c r="AW31" s="195" t="s">
        <v>768</v>
      </c>
    </row>
    <row r="32" spans="1:59" s="189" customFormat="1" ht="30.75" customHeight="1" x14ac:dyDescent="0.25">
      <c r="A32" s="168">
        <f>_xlfn.AGGREGATE(4,7,A$13:A31)+1</f>
        <v>19</v>
      </c>
      <c r="B32" s="168" t="str">
        <f>VLOOKUP(D32,[1]LuongBC_T01!$B$9:$C$292,2,FALSE)</f>
        <v>0016100006519002</v>
      </c>
      <c r="C32" s="361" t="s">
        <v>1079</v>
      </c>
      <c r="D32" s="169" t="s">
        <v>24</v>
      </c>
      <c r="E32" s="263" t="s">
        <v>1425</v>
      </c>
      <c r="F32" s="169" t="s">
        <v>549</v>
      </c>
      <c r="G32" s="170" t="s">
        <v>25</v>
      </c>
      <c r="H32" s="170"/>
      <c r="I32" s="170" t="s">
        <v>283</v>
      </c>
      <c r="J32" s="169" t="s">
        <v>237</v>
      </c>
      <c r="K32" s="170" t="str">
        <f>VLOOKUP(D32,[2]T3!$B$2:$D$328,3,FALSE)</f>
        <v>023331855</v>
      </c>
      <c r="L32" s="171" t="s">
        <v>293</v>
      </c>
      <c r="M32" s="171" t="s">
        <v>1079</v>
      </c>
      <c r="N32" s="263" t="str">
        <f>VLOOKUP(D32,'[6]Bao cao So GDDT'!$D$14:$S$282,11,FALSE)</f>
        <v>Giảng viên GDNN LT (hạng III)</v>
      </c>
      <c r="O32" s="665" t="s">
        <v>1438</v>
      </c>
      <c r="P32" s="172" t="s">
        <v>692</v>
      </c>
      <c r="Q32" s="173">
        <v>6</v>
      </c>
      <c r="R32" s="174">
        <v>4.9800000000000004</v>
      </c>
      <c r="S32" s="176">
        <f t="shared" si="0"/>
        <v>1.4817</v>
      </c>
      <c r="T32" s="370"/>
      <c r="U32" s="176">
        <f t="shared" si="1"/>
        <v>0</v>
      </c>
      <c r="V32" s="175">
        <f t="shared" si="2"/>
        <v>0</v>
      </c>
      <c r="W32" s="170">
        <v>0.45</v>
      </c>
      <c r="X32" s="179">
        <v>0.19</v>
      </c>
      <c r="Y32" s="216">
        <f t="shared" si="3"/>
        <v>1.0317000000000001</v>
      </c>
      <c r="Z32" s="216">
        <f t="shared" si="4"/>
        <v>6.4617000000000004</v>
      </c>
      <c r="AA32" s="180">
        <f t="shared" si="5"/>
        <v>15120378</v>
      </c>
      <c r="AB32" s="180"/>
      <c r="AC32" s="180">
        <f t="shared" si="6"/>
        <v>0</v>
      </c>
      <c r="AD32" s="180">
        <f t="shared" si="19"/>
        <v>0</v>
      </c>
      <c r="AE32" s="180">
        <f t="shared" si="8"/>
        <v>15120378</v>
      </c>
      <c r="AF32" s="178">
        <f t="shared" si="9"/>
        <v>1209630.24</v>
      </c>
      <c r="AG32" s="178">
        <f t="shared" si="10"/>
        <v>226805.66999999998</v>
      </c>
      <c r="AH32" s="178">
        <f t="shared" si="11"/>
        <v>151203.78</v>
      </c>
      <c r="AI32" s="178"/>
      <c r="AJ32" s="178">
        <f t="shared" si="12"/>
        <v>1587639.69</v>
      </c>
      <c r="AK32" s="181"/>
      <c r="AL32" s="182">
        <f t="shared" si="13"/>
        <v>0</v>
      </c>
      <c r="AM32" s="182"/>
      <c r="AN32" s="182"/>
      <c r="AO32" s="183">
        <f t="shared" si="20"/>
        <v>5.4300000000000006</v>
      </c>
      <c r="AP32" s="443">
        <v>0.25</v>
      </c>
      <c r="AQ32" s="185">
        <f t="shared" si="15"/>
        <v>1.3574999999999999</v>
      </c>
      <c r="AR32" s="178">
        <f t="shared" si="16"/>
        <v>3176550</v>
      </c>
      <c r="AS32" s="178"/>
      <c r="AT32" s="178">
        <f t="shared" si="17"/>
        <v>16709288</v>
      </c>
      <c r="AU32" s="469">
        <f t="shared" si="18"/>
        <v>19</v>
      </c>
      <c r="AV32" s="195"/>
      <c r="AW32" s="186" t="s">
        <v>731</v>
      </c>
    </row>
    <row r="33" spans="1:52" s="189" customFormat="1" ht="30.75" customHeight="1" x14ac:dyDescent="0.25">
      <c r="A33" s="168">
        <f>_xlfn.AGGREGATE(4,7,A$13:A32)+1</f>
        <v>20</v>
      </c>
      <c r="B33" s="168" t="str">
        <f>VLOOKUP(D33,[1]LuongBC_T01!$B$9:$C$292,2,FALSE)</f>
        <v>0016100006615001</v>
      </c>
      <c r="C33" s="361" t="s">
        <v>854</v>
      </c>
      <c r="D33" s="169" t="s">
        <v>1155</v>
      </c>
      <c r="E33" s="263" t="s">
        <v>1094</v>
      </c>
      <c r="F33" s="169" t="s">
        <v>549</v>
      </c>
      <c r="G33" s="170" t="s">
        <v>25</v>
      </c>
      <c r="H33" s="170" t="s">
        <v>283</v>
      </c>
      <c r="I33" s="170" t="s">
        <v>283</v>
      </c>
      <c r="J33" s="169" t="s">
        <v>212</v>
      </c>
      <c r="K33" s="170" t="str">
        <f>VLOOKUP(D33,[2]T3!$B$2:$D$328,3,FALSE)</f>
        <v>040174000144</v>
      </c>
      <c r="L33" s="171" t="s">
        <v>93</v>
      </c>
      <c r="M33" s="171" t="s">
        <v>854</v>
      </c>
      <c r="N33" s="263" t="str">
        <f>VLOOKUP(D33,'[6]Bao cao So GDDT'!$D$14:$S$282,11,FALSE)</f>
        <v>Giảng viên
(hạng III)</v>
      </c>
      <c r="O33" s="390" t="s">
        <v>807</v>
      </c>
      <c r="P33" s="172" t="s">
        <v>692</v>
      </c>
      <c r="Q33" s="173">
        <v>8</v>
      </c>
      <c r="R33" s="174">
        <v>4.9800000000000004</v>
      </c>
      <c r="S33" s="176">
        <f t="shared" si="0"/>
        <v>1.6808000000000001</v>
      </c>
      <c r="T33" s="370">
        <v>7</v>
      </c>
      <c r="U33" s="176">
        <f t="shared" si="1"/>
        <v>0.34860000000000002</v>
      </c>
      <c r="V33" s="175">
        <f t="shared" si="2"/>
        <v>815724</v>
      </c>
      <c r="W33" s="170"/>
      <c r="X33" s="179">
        <v>0.25</v>
      </c>
      <c r="Y33" s="216">
        <f t="shared" si="3"/>
        <v>1.3322000000000001</v>
      </c>
      <c r="Z33" s="216">
        <f t="shared" si="4"/>
        <v>6.6608000000000001</v>
      </c>
      <c r="AA33" s="180">
        <f t="shared" si="5"/>
        <v>15586272</v>
      </c>
      <c r="AB33" s="180"/>
      <c r="AC33" s="180">
        <f t="shared" si="6"/>
        <v>0</v>
      </c>
      <c r="AD33" s="180">
        <f t="shared" si="19"/>
        <v>0</v>
      </c>
      <c r="AE33" s="180">
        <f t="shared" si="8"/>
        <v>15586272</v>
      </c>
      <c r="AF33" s="178">
        <f t="shared" si="9"/>
        <v>1246901.76</v>
      </c>
      <c r="AG33" s="178">
        <f t="shared" si="10"/>
        <v>233794.08</v>
      </c>
      <c r="AH33" s="178">
        <f t="shared" si="11"/>
        <v>155862.72</v>
      </c>
      <c r="AI33" s="178"/>
      <c r="AJ33" s="178">
        <f t="shared" si="12"/>
        <v>1636558.56</v>
      </c>
      <c r="AK33" s="192"/>
      <c r="AL33" s="182">
        <f t="shared" si="13"/>
        <v>0</v>
      </c>
      <c r="AM33" s="182"/>
      <c r="AN33" s="182"/>
      <c r="AO33" s="183">
        <f t="shared" si="20"/>
        <v>5.3286000000000007</v>
      </c>
      <c r="AP33" s="443">
        <v>0.25</v>
      </c>
      <c r="AQ33" s="185">
        <f t="shared" si="15"/>
        <v>1.3322000000000001</v>
      </c>
      <c r="AR33" s="178">
        <f t="shared" si="16"/>
        <v>3117348</v>
      </c>
      <c r="AS33" s="178"/>
      <c r="AT33" s="178">
        <f t="shared" si="17"/>
        <v>17067061</v>
      </c>
      <c r="AU33" s="469">
        <f t="shared" si="18"/>
        <v>20</v>
      </c>
      <c r="AV33" s="195"/>
      <c r="AW33" s="187" t="s">
        <v>710</v>
      </c>
    </row>
    <row r="34" spans="1:52" s="189" customFormat="1" ht="30.75" customHeight="1" x14ac:dyDescent="0.25">
      <c r="A34" s="168">
        <f>_xlfn.AGGREGATE(4,7,A$13:A33)+1</f>
        <v>21</v>
      </c>
      <c r="B34" s="168" t="str">
        <f>VLOOKUP(D34,[1]LuongBC_T01!$B$9:$C$292,2,FALSE)</f>
        <v>0016100006688009</v>
      </c>
      <c r="C34" s="361" t="s">
        <v>882</v>
      </c>
      <c r="D34" s="169" t="s">
        <v>1179</v>
      </c>
      <c r="E34" s="263" t="s">
        <v>1094</v>
      </c>
      <c r="F34" s="169" t="s">
        <v>549</v>
      </c>
      <c r="G34" s="170"/>
      <c r="H34" s="170" t="s">
        <v>283</v>
      </c>
      <c r="I34" s="170" t="s">
        <v>283</v>
      </c>
      <c r="J34" s="169" t="s">
        <v>217</v>
      </c>
      <c r="K34" s="170" t="str">
        <f>VLOOKUP(D34,[2]T3!$B$2:$D$328,3,FALSE)</f>
        <v>023622113</v>
      </c>
      <c r="L34" s="171" t="s">
        <v>98</v>
      </c>
      <c r="M34" s="171" t="s">
        <v>882</v>
      </c>
      <c r="N34" s="263" t="str">
        <f>VLOOKUP(D34,'[6]Bao cao So GDDT'!$D$14:$S$282,11,FALSE)</f>
        <v>Giảng viên
(hạng III)</v>
      </c>
      <c r="O34" s="390" t="s">
        <v>807</v>
      </c>
      <c r="P34" s="172" t="s">
        <v>692</v>
      </c>
      <c r="Q34" s="173">
        <v>6</v>
      </c>
      <c r="R34" s="174">
        <v>4.6500000000000004</v>
      </c>
      <c r="S34" s="176">
        <f t="shared" si="0"/>
        <v>1.0229999999999999</v>
      </c>
      <c r="T34" s="370"/>
      <c r="U34" s="176">
        <f t="shared" si="1"/>
        <v>0</v>
      </c>
      <c r="V34" s="175">
        <f t="shared" si="2"/>
        <v>0</v>
      </c>
      <c r="W34" s="170"/>
      <c r="X34" s="179">
        <v>0.22</v>
      </c>
      <c r="Y34" s="216">
        <f t="shared" si="3"/>
        <v>1.0229999999999999</v>
      </c>
      <c r="Z34" s="216">
        <f t="shared" si="4"/>
        <v>5.673</v>
      </c>
      <c r="AA34" s="180">
        <f t="shared" si="5"/>
        <v>13274820</v>
      </c>
      <c r="AB34" s="180"/>
      <c r="AC34" s="180">
        <f t="shared" si="6"/>
        <v>0</v>
      </c>
      <c r="AD34" s="180">
        <f t="shared" si="19"/>
        <v>0</v>
      </c>
      <c r="AE34" s="180">
        <f t="shared" si="8"/>
        <v>13274820</v>
      </c>
      <c r="AF34" s="178">
        <f t="shared" si="9"/>
        <v>1061985.6000000001</v>
      </c>
      <c r="AG34" s="178">
        <f t="shared" si="10"/>
        <v>199122.3</v>
      </c>
      <c r="AH34" s="178">
        <f t="shared" si="11"/>
        <v>132748.20000000001</v>
      </c>
      <c r="AI34" s="178"/>
      <c r="AJ34" s="178">
        <f t="shared" si="12"/>
        <v>1393856.1</v>
      </c>
      <c r="AK34" s="192"/>
      <c r="AL34" s="182">
        <f t="shared" si="13"/>
        <v>0</v>
      </c>
      <c r="AM34" s="182"/>
      <c r="AN34" s="182"/>
      <c r="AO34" s="183">
        <f t="shared" si="20"/>
        <v>4.6500000000000004</v>
      </c>
      <c r="AP34" s="443">
        <v>0.25</v>
      </c>
      <c r="AQ34" s="185">
        <f t="shared" si="15"/>
        <v>1.1625000000000001</v>
      </c>
      <c r="AR34" s="178">
        <f t="shared" si="16"/>
        <v>2720250</v>
      </c>
      <c r="AS34" s="178"/>
      <c r="AT34" s="178">
        <f t="shared" si="17"/>
        <v>14601214</v>
      </c>
      <c r="AU34" s="469">
        <f t="shared" si="18"/>
        <v>21</v>
      </c>
      <c r="AV34" s="186"/>
      <c r="AW34" s="198" t="s">
        <v>710</v>
      </c>
    </row>
    <row r="35" spans="1:52" s="189" customFormat="1" ht="30.75" customHeight="1" x14ac:dyDescent="0.25">
      <c r="A35" s="168">
        <f>_xlfn.AGGREGATE(4,7,A$13:A34)+1</f>
        <v>22</v>
      </c>
      <c r="B35" s="168" t="str">
        <f>VLOOKUP(D35,[1]LuongBC_T01!$B$9:$C$292,2,FALSE)</f>
        <v>0016100006622008</v>
      </c>
      <c r="C35" s="361" t="s">
        <v>863</v>
      </c>
      <c r="D35" s="169" t="s">
        <v>1166</v>
      </c>
      <c r="E35" s="263" t="s">
        <v>1094</v>
      </c>
      <c r="F35" s="169" t="s">
        <v>549</v>
      </c>
      <c r="G35" s="170"/>
      <c r="H35" s="170" t="s">
        <v>283</v>
      </c>
      <c r="I35" s="170" t="s">
        <v>283</v>
      </c>
      <c r="J35" s="169" t="s">
        <v>211</v>
      </c>
      <c r="K35" s="170" t="str">
        <f>VLOOKUP(D35,[2]T3!$B$2:$D$328,3,FALSE)</f>
        <v>079076002757</v>
      </c>
      <c r="L35" s="171" t="s">
        <v>145</v>
      </c>
      <c r="M35" s="171" t="s">
        <v>863</v>
      </c>
      <c r="N35" s="263" t="str">
        <f>VLOOKUP(D35,'[6]Bao cao So GDDT'!$D$14:$S$282,11,FALSE)</f>
        <v>Giảng viên
(hạng III)</v>
      </c>
      <c r="O35" s="390" t="s">
        <v>807</v>
      </c>
      <c r="P35" s="172" t="s">
        <v>692</v>
      </c>
      <c r="Q35" s="173">
        <v>8</v>
      </c>
      <c r="R35" s="174">
        <v>4.9800000000000004</v>
      </c>
      <c r="S35" s="176">
        <f t="shared" si="0"/>
        <v>1.8052999999999999</v>
      </c>
      <c r="T35" s="370">
        <v>9</v>
      </c>
      <c r="U35" s="176">
        <f t="shared" si="1"/>
        <v>0.44819999999999999</v>
      </c>
      <c r="V35" s="175">
        <f t="shared" si="2"/>
        <v>1048788.0000000002</v>
      </c>
      <c r="W35" s="170"/>
      <c r="X35" s="179">
        <v>0.25</v>
      </c>
      <c r="Y35" s="216">
        <f t="shared" si="3"/>
        <v>1.3571</v>
      </c>
      <c r="Z35" s="216">
        <f t="shared" si="4"/>
        <v>6.7853000000000003</v>
      </c>
      <c r="AA35" s="180">
        <f t="shared" si="5"/>
        <v>15877602</v>
      </c>
      <c r="AB35" s="180"/>
      <c r="AC35" s="180">
        <f t="shared" si="6"/>
        <v>0</v>
      </c>
      <c r="AD35" s="180">
        <f t="shared" si="19"/>
        <v>0</v>
      </c>
      <c r="AE35" s="180">
        <f t="shared" si="8"/>
        <v>15877602</v>
      </c>
      <c r="AF35" s="178">
        <f t="shared" si="9"/>
        <v>1270208.1599999999</v>
      </c>
      <c r="AG35" s="178">
        <f t="shared" si="10"/>
        <v>238164.03</v>
      </c>
      <c r="AH35" s="178">
        <f t="shared" si="11"/>
        <v>158776.01999999999</v>
      </c>
      <c r="AI35" s="178"/>
      <c r="AJ35" s="178">
        <f t="shared" si="12"/>
        <v>1667148.21</v>
      </c>
      <c r="AK35" s="192"/>
      <c r="AL35" s="182">
        <f t="shared" si="13"/>
        <v>0</v>
      </c>
      <c r="AM35" s="182"/>
      <c r="AN35" s="182"/>
      <c r="AO35" s="183">
        <f t="shared" si="20"/>
        <v>5.4282000000000004</v>
      </c>
      <c r="AP35" s="443">
        <v>0.25</v>
      </c>
      <c r="AQ35" s="185">
        <f t="shared" si="15"/>
        <v>1.3571</v>
      </c>
      <c r="AR35" s="178">
        <f t="shared" si="16"/>
        <v>3175614</v>
      </c>
      <c r="AS35" s="178"/>
      <c r="AT35" s="178">
        <f t="shared" si="17"/>
        <v>17386068</v>
      </c>
      <c r="AU35" s="469">
        <f t="shared" si="18"/>
        <v>22</v>
      </c>
      <c r="AV35" s="195"/>
      <c r="AW35" s="198" t="s">
        <v>710</v>
      </c>
      <c r="AY35" s="669">
        <f>185*500000</f>
        <v>92500000</v>
      </c>
    </row>
    <row r="36" spans="1:52" s="191" customFormat="1" ht="30.75" customHeight="1" x14ac:dyDescent="0.25">
      <c r="A36" s="168">
        <f>_xlfn.AGGREGATE(4,7,A$13:A35)+1</f>
        <v>23</v>
      </c>
      <c r="B36" s="168" t="str">
        <f>VLOOKUP(D36,[1]LuongBC_T01!$B$9:$C$292,2,FALSE)</f>
        <v>0016100006810009</v>
      </c>
      <c r="C36" s="361" t="s">
        <v>855</v>
      </c>
      <c r="D36" s="169" t="s">
        <v>1157</v>
      </c>
      <c r="E36" s="263" t="s">
        <v>1287</v>
      </c>
      <c r="F36" s="169" t="s">
        <v>550</v>
      </c>
      <c r="G36" s="170" t="s">
        <v>25</v>
      </c>
      <c r="H36" s="170" t="s">
        <v>283</v>
      </c>
      <c r="I36" s="170" t="s">
        <v>282</v>
      </c>
      <c r="J36" s="169" t="s">
        <v>198</v>
      </c>
      <c r="K36" s="170" t="str">
        <f>VLOOKUP(D36,[2]T3!$B$2:$D$328,3,FALSE)</f>
        <v>040176000521</v>
      </c>
      <c r="L36" s="171" t="s">
        <v>166</v>
      </c>
      <c r="M36" s="171" t="s">
        <v>855</v>
      </c>
      <c r="N36" s="263" t="str">
        <f>VLOOKUP(D36,'[6]Bao cao So GDDT'!$D$14:$S$282,11,FALSE)</f>
        <v>Giảng viên
(hạng III)</v>
      </c>
      <c r="O36" s="390" t="s">
        <v>807</v>
      </c>
      <c r="P36" s="172" t="s">
        <v>692</v>
      </c>
      <c r="Q36" s="173">
        <v>6</v>
      </c>
      <c r="R36" s="174">
        <v>4.9800000000000004</v>
      </c>
      <c r="S36" s="176">
        <f t="shared" si="0"/>
        <v>1.5226000000000002</v>
      </c>
      <c r="T36" s="370"/>
      <c r="U36" s="176">
        <f t="shared" si="1"/>
        <v>0</v>
      </c>
      <c r="V36" s="175">
        <f t="shared" si="2"/>
        <v>0</v>
      </c>
      <c r="W36" s="177">
        <v>0.35</v>
      </c>
      <c r="X36" s="179">
        <v>0.22</v>
      </c>
      <c r="Y36" s="216">
        <f t="shared" si="3"/>
        <v>1.1726000000000001</v>
      </c>
      <c r="Z36" s="216">
        <f t="shared" si="4"/>
        <v>6.5026000000000002</v>
      </c>
      <c r="AA36" s="180">
        <f t="shared" si="5"/>
        <v>15216084</v>
      </c>
      <c r="AB36" s="180"/>
      <c r="AC36" s="180">
        <f t="shared" si="6"/>
        <v>0</v>
      </c>
      <c r="AD36" s="180">
        <v>0</v>
      </c>
      <c r="AE36" s="180">
        <f t="shared" si="8"/>
        <v>15216084</v>
      </c>
      <c r="AF36" s="178">
        <f t="shared" si="9"/>
        <v>1217286.72</v>
      </c>
      <c r="AG36" s="178">
        <f t="shared" si="10"/>
        <v>228241.25999999998</v>
      </c>
      <c r="AH36" s="178">
        <f t="shared" si="11"/>
        <v>152160.84</v>
      </c>
      <c r="AI36" s="178"/>
      <c r="AJ36" s="178">
        <f t="shared" si="12"/>
        <v>1597688.82</v>
      </c>
      <c r="AK36" s="192"/>
      <c r="AL36" s="182">
        <f t="shared" si="13"/>
        <v>0</v>
      </c>
      <c r="AM36" s="182"/>
      <c r="AN36" s="182"/>
      <c r="AO36" s="183">
        <f t="shared" si="20"/>
        <v>5.33</v>
      </c>
      <c r="AP36" s="443">
        <v>0.25</v>
      </c>
      <c r="AQ36" s="185">
        <f t="shared" si="15"/>
        <v>1.3325</v>
      </c>
      <c r="AR36" s="178">
        <f t="shared" si="16"/>
        <v>3118050</v>
      </c>
      <c r="AS36" s="178"/>
      <c r="AT36" s="178">
        <f t="shared" si="17"/>
        <v>16736445</v>
      </c>
      <c r="AU36" s="469">
        <f t="shared" si="18"/>
        <v>23</v>
      </c>
      <c r="AV36" s="195"/>
      <c r="AW36" s="198" t="s">
        <v>710</v>
      </c>
    </row>
    <row r="37" spans="1:52" s="189" customFormat="1" ht="37.5" customHeight="1" x14ac:dyDescent="0.25">
      <c r="A37" s="168">
        <f>_xlfn.AGGREGATE(4,7,A$13:A36)+1</f>
        <v>24</v>
      </c>
      <c r="B37" s="168" t="str">
        <f>VLOOKUP(D37,[1]LuongBC_T01!$B$9:$C$292,2,FALSE)</f>
        <v>0016100006753005</v>
      </c>
      <c r="C37" s="361" t="s">
        <v>873</v>
      </c>
      <c r="D37" s="169" t="s">
        <v>1174</v>
      </c>
      <c r="E37" s="263" t="s">
        <v>1094</v>
      </c>
      <c r="F37" s="169" t="s">
        <v>550</v>
      </c>
      <c r="G37" s="170" t="s">
        <v>25</v>
      </c>
      <c r="H37" s="170" t="s">
        <v>283</v>
      </c>
      <c r="I37" s="170" t="s">
        <v>283</v>
      </c>
      <c r="J37" s="169" t="s">
        <v>226</v>
      </c>
      <c r="K37" s="170" t="str">
        <f>VLOOKUP(D37,[2]T3!$B$2:$D$328,3,FALSE)</f>
        <v>023837190</v>
      </c>
      <c r="L37" s="171" t="s">
        <v>95</v>
      </c>
      <c r="M37" s="171" t="s">
        <v>873</v>
      </c>
      <c r="N37" s="263" t="str">
        <f>VLOOKUP(D37,'[6]Bao cao So GDDT'!$D$14:$S$282,11,FALSE)</f>
        <v>Giảng viên
(hạng III)</v>
      </c>
      <c r="O37" s="390" t="s">
        <v>807</v>
      </c>
      <c r="P37" s="172" t="s">
        <v>692</v>
      </c>
      <c r="Q37" s="173">
        <v>8</v>
      </c>
      <c r="R37" s="174">
        <v>4.9800000000000004</v>
      </c>
      <c r="S37" s="176">
        <f t="shared" si="0"/>
        <v>1.5128999999999999</v>
      </c>
      <c r="T37" s="370">
        <v>6</v>
      </c>
      <c r="U37" s="176">
        <f t="shared" si="1"/>
        <v>0.29880000000000001</v>
      </c>
      <c r="V37" s="175">
        <f t="shared" si="2"/>
        <v>699192</v>
      </c>
      <c r="W37" s="170"/>
      <c r="X37" s="179">
        <v>0.23</v>
      </c>
      <c r="Y37" s="216">
        <f t="shared" si="3"/>
        <v>1.2141</v>
      </c>
      <c r="Z37" s="216">
        <f t="shared" si="4"/>
        <v>6.4928999999999997</v>
      </c>
      <c r="AA37" s="180">
        <f t="shared" si="5"/>
        <v>15193386</v>
      </c>
      <c r="AB37" s="180"/>
      <c r="AC37" s="180">
        <f t="shared" si="6"/>
        <v>0</v>
      </c>
      <c r="AD37" s="180">
        <v>0</v>
      </c>
      <c r="AE37" s="180">
        <f t="shared" si="8"/>
        <v>15193386</v>
      </c>
      <c r="AF37" s="178">
        <f t="shared" si="9"/>
        <v>1215470.8800000001</v>
      </c>
      <c r="AG37" s="178">
        <f t="shared" si="10"/>
        <v>227900.78999999998</v>
      </c>
      <c r="AH37" s="178">
        <f t="shared" si="11"/>
        <v>151933.86000000002</v>
      </c>
      <c r="AI37" s="178"/>
      <c r="AJ37" s="178">
        <f t="shared" si="12"/>
        <v>1595305.5300000003</v>
      </c>
      <c r="AK37" s="192"/>
      <c r="AL37" s="182">
        <f t="shared" si="13"/>
        <v>0</v>
      </c>
      <c r="AM37" s="182"/>
      <c r="AN37" s="182"/>
      <c r="AO37" s="183">
        <f t="shared" si="20"/>
        <v>5.2788000000000004</v>
      </c>
      <c r="AP37" s="443">
        <v>0.25</v>
      </c>
      <c r="AQ37" s="185">
        <f t="shared" si="15"/>
        <v>1.3197000000000001</v>
      </c>
      <c r="AR37" s="178">
        <f t="shared" si="16"/>
        <v>3088098</v>
      </c>
      <c r="AS37" s="178"/>
      <c r="AT37" s="178">
        <f t="shared" si="17"/>
        <v>16686178</v>
      </c>
      <c r="AU37" s="469">
        <f t="shared" si="18"/>
        <v>24</v>
      </c>
      <c r="AV37" s="195"/>
      <c r="AW37" s="187" t="s">
        <v>710</v>
      </c>
    </row>
    <row r="38" spans="1:52" s="191" customFormat="1" ht="30.75" customHeight="1" x14ac:dyDescent="0.25">
      <c r="A38" s="168">
        <f>_xlfn.AGGREGATE(4,7,A$13:A37)+1</f>
        <v>25</v>
      </c>
      <c r="B38" s="168" t="str">
        <f>VLOOKUP(D38,[1]LuongBC_T01!$B$9:$C$292,2,FALSE)</f>
        <v>0016100006735007</v>
      </c>
      <c r="C38" s="361" t="s">
        <v>880</v>
      </c>
      <c r="D38" s="169" t="s">
        <v>47</v>
      </c>
      <c r="E38" s="263" t="s">
        <v>1617</v>
      </c>
      <c r="F38" s="169" t="s">
        <v>550</v>
      </c>
      <c r="G38" s="170" t="s">
        <v>25</v>
      </c>
      <c r="H38" s="170" t="s">
        <v>283</v>
      </c>
      <c r="I38" s="170" t="s">
        <v>282</v>
      </c>
      <c r="J38" s="169" t="s">
        <v>202</v>
      </c>
      <c r="K38" s="168" t="s">
        <v>1367</v>
      </c>
      <c r="L38" s="171" t="s">
        <v>86</v>
      </c>
      <c r="M38" s="171" t="s">
        <v>880</v>
      </c>
      <c r="N38" s="263" t="str">
        <f>VLOOKUP(D38,'[6]Bao cao So GDDT'!$D$14:$S$282,11,FALSE)</f>
        <v>Giảng viên GDNN LT (hạng III)</v>
      </c>
      <c r="O38" s="390" t="s">
        <v>1438</v>
      </c>
      <c r="P38" s="172" t="s">
        <v>692</v>
      </c>
      <c r="Q38" s="173">
        <v>6</v>
      </c>
      <c r="R38" s="174">
        <v>4.6500000000000004</v>
      </c>
      <c r="S38" s="176">
        <f t="shared" si="0"/>
        <v>0.97650000000000003</v>
      </c>
      <c r="T38" s="370"/>
      <c r="U38" s="176">
        <f t="shared" si="1"/>
        <v>0</v>
      </c>
      <c r="V38" s="175">
        <f t="shared" si="2"/>
        <v>0</v>
      </c>
      <c r="W38" s="509"/>
      <c r="X38" s="179">
        <v>0.21</v>
      </c>
      <c r="Y38" s="216">
        <f t="shared" si="3"/>
        <v>0.97650000000000003</v>
      </c>
      <c r="Z38" s="216">
        <f t="shared" si="4"/>
        <v>5.6265000000000001</v>
      </c>
      <c r="AA38" s="180">
        <f t="shared" si="5"/>
        <v>13166010</v>
      </c>
      <c r="AB38" s="180"/>
      <c r="AC38" s="180">
        <f t="shared" si="6"/>
        <v>0</v>
      </c>
      <c r="AD38" s="180">
        <f t="shared" ref="AD38:AD72" si="21">AA38/24*AB38*75%</f>
        <v>0</v>
      </c>
      <c r="AE38" s="180">
        <f t="shared" si="8"/>
        <v>13166010</v>
      </c>
      <c r="AF38" s="178">
        <f t="shared" si="9"/>
        <v>1053280.8</v>
      </c>
      <c r="AG38" s="178">
        <f t="shared" si="10"/>
        <v>197490.15</v>
      </c>
      <c r="AH38" s="178">
        <f t="shared" si="11"/>
        <v>131660.1</v>
      </c>
      <c r="AI38" s="178"/>
      <c r="AJ38" s="178">
        <f t="shared" si="12"/>
        <v>1382431.05</v>
      </c>
      <c r="AK38" s="192"/>
      <c r="AL38" s="182">
        <f t="shared" si="13"/>
        <v>0</v>
      </c>
      <c r="AM38" s="182"/>
      <c r="AN38" s="182"/>
      <c r="AO38" s="183">
        <f t="shared" si="20"/>
        <v>4.6500000000000004</v>
      </c>
      <c r="AP38" s="443">
        <v>0.25</v>
      </c>
      <c r="AQ38" s="185">
        <f t="shared" si="15"/>
        <v>1.1625000000000001</v>
      </c>
      <c r="AR38" s="178">
        <f t="shared" si="16"/>
        <v>2720250</v>
      </c>
      <c r="AS38" s="178"/>
      <c r="AT38" s="178">
        <f t="shared" si="17"/>
        <v>14503829</v>
      </c>
      <c r="AU38" s="469">
        <f t="shared" si="18"/>
        <v>25</v>
      </c>
      <c r="AV38" s="195"/>
      <c r="AW38" s="187" t="s">
        <v>710</v>
      </c>
    </row>
    <row r="39" spans="1:52" s="191" customFormat="1" ht="30.75" customHeight="1" x14ac:dyDescent="0.25">
      <c r="A39" s="168">
        <f>_xlfn.AGGREGATE(4,7,A$13:A38)+1</f>
        <v>26</v>
      </c>
      <c r="B39" s="168" t="str">
        <f>VLOOKUP(D39,[1]LuongBC_T01!$B$9:$C$292,2,FALSE)</f>
        <v>0016100006801007</v>
      </c>
      <c r="C39" s="361" t="s">
        <v>885</v>
      </c>
      <c r="D39" s="169" t="s">
        <v>1182</v>
      </c>
      <c r="E39" s="263" t="s">
        <v>1617</v>
      </c>
      <c r="F39" s="169" t="s">
        <v>550</v>
      </c>
      <c r="G39" s="170" t="s">
        <v>25</v>
      </c>
      <c r="H39" s="170" t="s">
        <v>283</v>
      </c>
      <c r="I39" s="170" t="s">
        <v>283</v>
      </c>
      <c r="J39" s="169" t="s">
        <v>221</v>
      </c>
      <c r="K39" s="170" t="str">
        <f>VLOOKUP(D39,[2]T3!$B$2:$D$328,3,FALSE)</f>
        <v>023334538</v>
      </c>
      <c r="L39" s="171" t="s">
        <v>101</v>
      </c>
      <c r="M39" s="171" t="s">
        <v>885</v>
      </c>
      <c r="N39" s="263" t="str">
        <f>VLOOKUP(D39,'[6]Bao cao So GDDT'!$D$14:$S$282,11,FALSE)</f>
        <v>Giảng viên GDNN LT (hạng III)</v>
      </c>
      <c r="O39" s="390" t="s">
        <v>1438</v>
      </c>
      <c r="P39" s="172" t="s">
        <v>692</v>
      </c>
      <c r="Q39" s="173">
        <v>6</v>
      </c>
      <c r="R39" s="174">
        <v>4.6500000000000004</v>
      </c>
      <c r="S39" s="176">
        <f t="shared" si="0"/>
        <v>1.0229999999999999</v>
      </c>
      <c r="T39" s="370"/>
      <c r="U39" s="176">
        <f t="shared" si="1"/>
        <v>0</v>
      </c>
      <c r="V39" s="175">
        <f t="shared" si="2"/>
        <v>0</v>
      </c>
      <c r="W39" s="200"/>
      <c r="X39" s="179">
        <v>0.22</v>
      </c>
      <c r="Y39" s="216">
        <f t="shared" si="3"/>
        <v>1.0229999999999999</v>
      </c>
      <c r="Z39" s="216">
        <f t="shared" si="4"/>
        <v>5.673</v>
      </c>
      <c r="AA39" s="180">
        <f t="shared" si="5"/>
        <v>13274820</v>
      </c>
      <c r="AB39" s="180"/>
      <c r="AC39" s="180">
        <f t="shared" si="6"/>
        <v>0</v>
      </c>
      <c r="AD39" s="180">
        <f t="shared" si="21"/>
        <v>0</v>
      </c>
      <c r="AE39" s="180">
        <f t="shared" si="8"/>
        <v>13274820</v>
      </c>
      <c r="AF39" s="178">
        <f t="shared" si="9"/>
        <v>1061985.6000000001</v>
      </c>
      <c r="AG39" s="178">
        <f t="shared" si="10"/>
        <v>199122.3</v>
      </c>
      <c r="AH39" s="178">
        <f t="shared" si="11"/>
        <v>132748.20000000001</v>
      </c>
      <c r="AI39" s="178"/>
      <c r="AJ39" s="178">
        <f t="shared" si="12"/>
        <v>1393856.1</v>
      </c>
      <c r="AK39" s="181"/>
      <c r="AL39" s="182">
        <f t="shared" si="13"/>
        <v>0</v>
      </c>
      <c r="AM39" s="182"/>
      <c r="AN39" s="182"/>
      <c r="AO39" s="183">
        <f t="shared" si="20"/>
        <v>4.6500000000000004</v>
      </c>
      <c r="AP39" s="443">
        <v>0.25</v>
      </c>
      <c r="AQ39" s="185">
        <f t="shared" si="15"/>
        <v>1.1625000000000001</v>
      </c>
      <c r="AR39" s="178">
        <f t="shared" si="16"/>
        <v>2720250</v>
      </c>
      <c r="AS39" s="178"/>
      <c r="AT39" s="178">
        <f t="shared" si="17"/>
        <v>14601214</v>
      </c>
      <c r="AU39" s="469">
        <f t="shared" si="18"/>
        <v>26</v>
      </c>
      <c r="AV39" s="186"/>
      <c r="AW39" s="187" t="s">
        <v>710</v>
      </c>
    </row>
    <row r="40" spans="1:52" s="189" customFormat="1" ht="30.75" customHeight="1" x14ac:dyDescent="0.25">
      <c r="A40" s="168">
        <f>_xlfn.AGGREGATE(4,7,A$13:A39)+1</f>
        <v>27</v>
      </c>
      <c r="B40" s="168" t="str">
        <f>VLOOKUP(D40,[1]LuongBC_T01!$B$9:$C$292,2,FALSE)</f>
        <v>0016100006618008</v>
      </c>
      <c r="C40" s="361" t="s">
        <v>883</v>
      </c>
      <c r="D40" s="169" t="s">
        <v>1181</v>
      </c>
      <c r="E40" s="263" t="s">
        <v>1617</v>
      </c>
      <c r="F40" s="169" t="s">
        <v>549</v>
      </c>
      <c r="G40" s="170" t="s">
        <v>25</v>
      </c>
      <c r="H40" s="170" t="s">
        <v>283</v>
      </c>
      <c r="I40" s="170" t="s">
        <v>283</v>
      </c>
      <c r="J40" s="169" t="s">
        <v>220</v>
      </c>
      <c r="K40" s="170" t="str">
        <f>VLOOKUP(D40,[2]T3!$B$2:$D$328,3,FALSE)</f>
        <v>022848142</v>
      </c>
      <c r="L40" s="171" t="s">
        <v>100</v>
      </c>
      <c r="M40" s="171" t="s">
        <v>883</v>
      </c>
      <c r="N40" s="263" t="str">
        <f>VLOOKUP(D40,'[6]Bao cao So GDDT'!$D$14:$S$282,11,FALSE)</f>
        <v>Giảng viên GDNN LT (hạng III)</v>
      </c>
      <c r="O40" s="390" t="s">
        <v>1438</v>
      </c>
      <c r="P40" s="172" t="s">
        <v>692</v>
      </c>
      <c r="Q40" s="173">
        <v>6</v>
      </c>
      <c r="R40" s="174">
        <v>4.6500000000000004</v>
      </c>
      <c r="S40" s="176">
        <f t="shared" si="0"/>
        <v>1.0229999999999999</v>
      </c>
      <c r="T40" s="370"/>
      <c r="U40" s="176">
        <f t="shared" si="1"/>
        <v>0</v>
      </c>
      <c r="V40" s="175">
        <f t="shared" si="2"/>
        <v>0</v>
      </c>
      <c r="W40" s="170"/>
      <c r="X40" s="179">
        <v>0.22</v>
      </c>
      <c r="Y40" s="216">
        <f t="shared" si="3"/>
        <v>1.0229999999999999</v>
      </c>
      <c r="Z40" s="216">
        <f t="shared" si="4"/>
        <v>5.673</v>
      </c>
      <c r="AA40" s="180">
        <f t="shared" si="5"/>
        <v>13274820</v>
      </c>
      <c r="AB40" s="180"/>
      <c r="AC40" s="180">
        <f t="shared" si="6"/>
        <v>0</v>
      </c>
      <c r="AD40" s="180">
        <f t="shared" si="21"/>
        <v>0</v>
      </c>
      <c r="AE40" s="180">
        <f t="shared" si="8"/>
        <v>13274820</v>
      </c>
      <c r="AF40" s="178">
        <f t="shared" si="9"/>
        <v>1061985.6000000001</v>
      </c>
      <c r="AG40" s="178">
        <f t="shared" si="10"/>
        <v>199122.3</v>
      </c>
      <c r="AH40" s="178">
        <f t="shared" si="11"/>
        <v>132748.20000000001</v>
      </c>
      <c r="AI40" s="178"/>
      <c r="AJ40" s="178">
        <f t="shared" si="12"/>
        <v>1393856.1</v>
      </c>
      <c r="AK40" s="192"/>
      <c r="AL40" s="182">
        <f t="shared" si="13"/>
        <v>0</v>
      </c>
      <c r="AM40" s="182"/>
      <c r="AN40" s="182"/>
      <c r="AO40" s="183">
        <f t="shared" si="20"/>
        <v>4.6500000000000004</v>
      </c>
      <c r="AP40" s="443">
        <v>0.25</v>
      </c>
      <c r="AQ40" s="185">
        <f t="shared" si="15"/>
        <v>1.1625000000000001</v>
      </c>
      <c r="AR40" s="178">
        <f t="shared" si="16"/>
        <v>2720250</v>
      </c>
      <c r="AS40" s="178"/>
      <c r="AT40" s="178">
        <f t="shared" si="17"/>
        <v>14601214</v>
      </c>
      <c r="AU40" s="469">
        <f t="shared" si="18"/>
        <v>27</v>
      </c>
      <c r="AV40" s="186"/>
      <c r="AW40" s="198" t="s">
        <v>710</v>
      </c>
    </row>
    <row r="41" spans="1:52" s="189" customFormat="1" ht="30.75" customHeight="1" x14ac:dyDescent="0.25">
      <c r="A41" s="168">
        <f>_xlfn.AGGREGATE(4,7,A$13:A40)+1</f>
        <v>28</v>
      </c>
      <c r="B41" s="168" t="str">
        <f>VLOOKUP(D41,[1]LuongBC_T01!$B$9:$C$292,2,FALSE)</f>
        <v>0016100006704004</v>
      </c>
      <c r="C41" s="361" t="s">
        <v>876</v>
      </c>
      <c r="D41" s="169" t="s">
        <v>287</v>
      </c>
      <c r="E41" s="263" t="s">
        <v>1617</v>
      </c>
      <c r="F41" s="169" t="s">
        <v>549</v>
      </c>
      <c r="G41" s="170" t="s">
        <v>25</v>
      </c>
      <c r="H41" s="170" t="s">
        <v>283</v>
      </c>
      <c r="I41" s="170" t="s">
        <v>283</v>
      </c>
      <c r="J41" s="169" t="s">
        <v>288</v>
      </c>
      <c r="K41" s="170" t="str">
        <f>VLOOKUP(D41,[2]T3!$B$2:$D$328,3,FALSE)</f>
        <v>024917765</v>
      </c>
      <c r="L41" s="171" t="s">
        <v>289</v>
      </c>
      <c r="M41" s="171" t="s">
        <v>876</v>
      </c>
      <c r="N41" s="263" t="str">
        <f>VLOOKUP(D41,'[6]Bao cao So GDDT'!$D$14:$S$282,11,FALSE)</f>
        <v>Giảng viên GDNN LT (hạng III)</v>
      </c>
      <c r="O41" s="390" t="s">
        <v>1438</v>
      </c>
      <c r="P41" s="172" t="s">
        <v>692</v>
      </c>
      <c r="Q41" s="173">
        <v>7</v>
      </c>
      <c r="R41" s="174">
        <v>4.9800000000000004</v>
      </c>
      <c r="S41" s="176">
        <f t="shared" si="0"/>
        <v>1.2450000000000001</v>
      </c>
      <c r="T41" s="377"/>
      <c r="U41" s="176">
        <f t="shared" si="1"/>
        <v>0</v>
      </c>
      <c r="V41" s="175">
        <f t="shared" si="2"/>
        <v>0</v>
      </c>
      <c r="W41" s="200"/>
      <c r="X41" s="179">
        <v>0.25</v>
      </c>
      <c r="Y41" s="216">
        <f t="shared" si="3"/>
        <v>1.2450000000000001</v>
      </c>
      <c r="Z41" s="216">
        <f t="shared" si="4"/>
        <v>6.2249999999999996</v>
      </c>
      <c r="AA41" s="180">
        <f t="shared" si="5"/>
        <v>14566500</v>
      </c>
      <c r="AB41" s="180"/>
      <c r="AC41" s="180">
        <f t="shared" si="6"/>
        <v>0</v>
      </c>
      <c r="AD41" s="180">
        <f t="shared" si="21"/>
        <v>0</v>
      </c>
      <c r="AE41" s="180">
        <f t="shared" si="8"/>
        <v>14566500</v>
      </c>
      <c r="AF41" s="178">
        <f t="shared" si="9"/>
        <v>1165320</v>
      </c>
      <c r="AG41" s="178">
        <f t="shared" si="10"/>
        <v>218497.5</v>
      </c>
      <c r="AH41" s="178">
        <f t="shared" si="11"/>
        <v>145665</v>
      </c>
      <c r="AI41" s="178"/>
      <c r="AJ41" s="178">
        <f t="shared" si="12"/>
        <v>1529482.5</v>
      </c>
      <c r="AK41" s="181"/>
      <c r="AL41" s="182">
        <f t="shared" si="13"/>
        <v>0</v>
      </c>
      <c r="AM41" s="182"/>
      <c r="AN41" s="182"/>
      <c r="AO41" s="183">
        <f t="shared" si="20"/>
        <v>4.9800000000000004</v>
      </c>
      <c r="AP41" s="443">
        <v>0.25</v>
      </c>
      <c r="AQ41" s="185">
        <f t="shared" si="15"/>
        <v>1.2450000000000001</v>
      </c>
      <c r="AR41" s="178">
        <f t="shared" si="16"/>
        <v>2913300</v>
      </c>
      <c r="AS41" s="178"/>
      <c r="AT41" s="178">
        <f t="shared" si="17"/>
        <v>15950318</v>
      </c>
      <c r="AU41" s="469">
        <f t="shared" si="18"/>
        <v>28</v>
      </c>
      <c r="AV41" s="186"/>
      <c r="AW41" s="198" t="s">
        <v>710</v>
      </c>
      <c r="AZ41" s="909"/>
    </row>
    <row r="42" spans="1:52" s="191" customFormat="1" ht="33" customHeight="1" x14ac:dyDescent="0.25">
      <c r="A42" s="168">
        <f>_xlfn.AGGREGATE(4,7,A$13:A41)+1</f>
        <v>29</v>
      </c>
      <c r="B42" s="168" t="str">
        <f>VLOOKUP(D42,[1]LuongBC_T01!$B$9:$C$292,2,FALSE)</f>
        <v>0016100006731001</v>
      </c>
      <c r="C42" s="361" t="s">
        <v>881</v>
      </c>
      <c r="D42" s="867" t="s">
        <v>1178</v>
      </c>
      <c r="E42" s="263" t="s">
        <v>1251</v>
      </c>
      <c r="F42" s="169" t="s">
        <v>549</v>
      </c>
      <c r="G42" s="200" t="s">
        <v>25</v>
      </c>
      <c r="H42" s="170" t="s">
        <v>283</v>
      </c>
      <c r="I42" s="200" t="s">
        <v>283</v>
      </c>
      <c r="J42" s="220" t="s">
        <v>216</v>
      </c>
      <c r="K42" s="170" t="str">
        <f>VLOOKUP(D42,[2]T3!$B$2:$D$328,3,FALSE)</f>
        <v>024106611</v>
      </c>
      <c r="L42" s="241" t="s">
        <v>167</v>
      </c>
      <c r="M42" s="241" t="s">
        <v>881</v>
      </c>
      <c r="N42" s="263" t="str">
        <f>VLOOKUP(D42,'[6]Bao cao So GDDT'!$D$14:$S$282,11,FALSE)</f>
        <v>Giảng viên GDNN LT (hạng III)</v>
      </c>
      <c r="O42" s="390" t="s">
        <v>1438</v>
      </c>
      <c r="P42" s="172" t="s">
        <v>692</v>
      </c>
      <c r="Q42" s="173">
        <v>6</v>
      </c>
      <c r="R42" s="174">
        <v>4.6500000000000004</v>
      </c>
      <c r="S42" s="176">
        <f t="shared" si="0"/>
        <v>1.0229999999999999</v>
      </c>
      <c r="T42" s="377"/>
      <c r="U42" s="176">
        <f t="shared" si="1"/>
        <v>0</v>
      </c>
      <c r="V42" s="175">
        <f t="shared" si="2"/>
        <v>0</v>
      </c>
      <c r="W42" s="200"/>
      <c r="X42" s="179">
        <v>0.22</v>
      </c>
      <c r="Y42" s="216">
        <f t="shared" si="3"/>
        <v>1.0229999999999999</v>
      </c>
      <c r="Z42" s="216">
        <f t="shared" si="4"/>
        <v>5.673</v>
      </c>
      <c r="AA42" s="180">
        <f t="shared" si="5"/>
        <v>13274820</v>
      </c>
      <c r="AB42" s="180"/>
      <c r="AC42" s="180">
        <f t="shared" si="6"/>
        <v>0</v>
      </c>
      <c r="AD42" s="180">
        <f t="shared" si="21"/>
        <v>0</v>
      </c>
      <c r="AE42" s="180">
        <f t="shared" si="8"/>
        <v>13274820</v>
      </c>
      <c r="AF42" s="178">
        <f t="shared" si="9"/>
        <v>1061985.6000000001</v>
      </c>
      <c r="AG42" s="178">
        <f t="shared" si="10"/>
        <v>199122.3</v>
      </c>
      <c r="AH42" s="178">
        <f t="shared" si="11"/>
        <v>132748.20000000001</v>
      </c>
      <c r="AI42" s="178"/>
      <c r="AJ42" s="178">
        <f t="shared" si="12"/>
        <v>1393856.1</v>
      </c>
      <c r="AK42" s="181"/>
      <c r="AL42" s="182">
        <f t="shared" si="13"/>
        <v>0</v>
      </c>
      <c r="AM42" s="182"/>
      <c r="AN42" s="182"/>
      <c r="AO42" s="183">
        <f t="shared" si="20"/>
        <v>4.6500000000000004</v>
      </c>
      <c r="AP42" s="443">
        <v>0.45</v>
      </c>
      <c r="AQ42" s="185">
        <f t="shared" si="15"/>
        <v>2.0924999999999998</v>
      </c>
      <c r="AR42" s="178">
        <f t="shared" si="16"/>
        <v>4896450</v>
      </c>
      <c r="AS42" s="178"/>
      <c r="AT42" s="178">
        <f t="shared" si="17"/>
        <v>16777414</v>
      </c>
      <c r="AU42" s="469">
        <f t="shared" si="18"/>
        <v>29</v>
      </c>
      <c r="AV42" s="186"/>
      <c r="AW42" s="186" t="s">
        <v>710</v>
      </c>
    </row>
    <row r="43" spans="1:52" s="189" customFormat="1" ht="33" customHeight="1" x14ac:dyDescent="0.25">
      <c r="A43" s="168">
        <f>_xlfn.AGGREGATE(4,7,A$13:A42)+1</f>
        <v>30</v>
      </c>
      <c r="B43" s="168" t="str">
        <f>VLOOKUP(D43,[1]LuongBC_T01!$B$9:$C$292,2,FALSE)</f>
        <v>0016100006588004</v>
      </c>
      <c r="C43" s="361" t="s">
        <v>879</v>
      </c>
      <c r="D43" s="169" t="s">
        <v>1177</v>
      </c>
      <c r="E43" s="263" t="s">
        <v>1251</v>
      </c>
      <c r="F43" s="169" t="s">
        <v>549</v>
      </c>
      <c r="G43" s="170"/>
      <c r="H43" s="170" t="s">
        <v>283</v>
      </c>
      <c r="I43" s="170" t="s">
        <v>282</v>
      </c>
      <c r="J43" s="169" t="s">
        <v>201</v>
      </c>
      <c r="K43" s="170" t="str">
        <f>VLOOKUP(D43,[2]T3!$B$2:$D$328,3,FALSE)</f>
        <v>021513654</v>
      </c>
      <c r="L43" s="171" t="s">
        <v>85</v>
      </c>
      <c r="M43" s="171" t="s">
        <v>879</v>
      </c>
      <c r="N43" s="263" t="str">
        <f>VLOOKUP(D43,'[6]Bao cao So GDDT'!$D$14:$S$282,11,FALSE)</f>
        <v>Giảng viên GDNN LT (hạng III)</v>
      </c>
      <c r="O43" s="390" t="s">
        <v>1438</v>
      </c>
      <c r="P43" s="172" t="s">
        <v>692</v>
      </c>
      <c r="Q43" s="173">
        <v>5</v>
      </c>
      <c r="R43" s="174">
        <v>4.6500000000000004</v>
      </c>
      <c r="S43" s="176">
        <f t="shared" si="0"/>
        <v>0.93</v>
      </c>
      <c r="T43" s="370"/>
      <c r="U43" s="176">
        <f t="shared" si="1"/>
        <v>0</v>
      </c>
      <c r="V43" s="175">
        <f t="shared" si="2"/>
        <v>0</v>
      </c>
      <c r="W43" s="170"/>
      <c r="X43" s="179">
        <v>0.2</v>
      </c>
      <c r="Y43" s="216">
        <f t="shared" si="3"/>
        <v>0.93</v>
      </c>
      <c r="Z43" s="216">
        <f t="shared" si="4"/>
        <v>5.58</v>
      </c>
      <c r="AA43" s="180">
        <f t="shared" si="5"/>
        <v>13057200</v>
      </c>
      <c r="AB43" s="180"/>
      <c r="AC43" s="180">
        <f t="shared" si="6"/>
        <v>0</v>
      </c>
      <c r="AD43" s="180">
        <f t="shared" si="21"/>
        <v>0</v>
      </c>
      <c r="AE43" s="180">
        <f t="shared" si="8"/>
        <v>13057200</v>
      </c>
      <c r="AF43" s="178">
        <f t="shared" si="9"/>
        <v>1044576</v>
      </c>
      <c r="AG43" s="178">
        <f t="shared" si="10"/>
        <v>195858</v>
      </c>
      <c r="AH43" s="178">
        <f t="shared" si="11"/>
        <v>130572</v>
      </c>
      <c r="AI43" s="178"/>
      <c r="AJ43" s="178">
        <f t="shared" si="12"/>
        <v>1371006</v>
      </c>
      <c r="AK43" s="181"/>
      <c r="AL43" s="182">
        <f t="shared" si="13"/>
        <v>0</v>
      </c>
      <c r="AM43" s="182"/>
      <c r="AN43" s="182"/>
      <c r="AO43" s="183">
        <f t="shared" si="20"/>
        <v>4.6500000000000004</v>
      </c>
      <c r="AP43" s="443">
        <v>0.45</v>
      </c>
      <c r="AQ43" s="185">
        <f t="shared" si="15"/>
        <v>2.0924999999999998</v>
      </c>
      <c r="AR43" s="178">
        <f t="shared" si="16"/>
        <v>4896450</v>
      </c>
      <c r="AS43" s="178"/>
      <c r="AT43" s="178">
        <f t="shared" si="17"/>
        <v>16582644</v>
      </c>
      <c r="AU43" s="469">
        <f t="shared" si="18"/>
        <v>30</v>
      </c>
      <c r="AV43" s="195"/>
      <c r="AW43" s="187" t="s">
        <v>710</v>
      </c>
    </row>
    <row r="44" spans="1:52" s="189" customFormat="1" ht="29.25" customHeight="1" x14ac:dyDescent="0.25">
      <c r="A44" s="681">
        <f>_xlfn.AGGREGATE(4,7,A$13:A43)+1</f>
        <v>31</v>
      </c>
      <c r="B44" s="681" t="str">
        <f>VLOOKUP(D44,[1]LuongBC_T01!$B$9:$C$292,2,FALSE)</f>
        <v>0016100006760001</v>
      </c>
      <c r="C44" s="762" t="s">
        <v>867</v>
      </c>
      <c r="D44" s="682" t="s">
        <v>1169</v>
      </c>
      <c r="E44" s="683" t="s">
        <v>1374</v>
      </c>
      <c r="F44" s="682" t="s">
        <v>550</v>
      </c>
      <c r="G44" s="684" t="s">
        <v>25</v>
      </c>
      <c r="H44" s="684" t="s">
        <v>283</v>
      </c>
      <c r="I44" s="684" t="s">
        <v>282</v>
      </c>
      <c r="J44" s="682" t="s">
        <v>195</v>
      </c>
      <c r="K44" s="684" t="str">
        <f>VLOOKUP(D44,[2]T3!$B$2:$D$328,3,FALSE)</f>
        <v>023044182</v>
      </c>
      <c r="L44" s="699" t="s">
        <v>79</v>
      </c>
      <c r="M44" s="699" t="s">
        <v>867</v>
      </c>
      <c r="N44" s="683" t="str">
        <f>VLOOKUP(D44,'[6]Bao cao So GDDT'!$D$14:$S$282,11,FALSE)</f>
        <v>Giảng viên GDNN LT (hạng III)</v>
      </c>
      <c r="O44" s="685" t="s">
        <v>1438</v>
      </c>
      <c r="P44" s="686" t="s">
        <v>692</v>
      </c>
      <c r="Q44" s="687">
        <v>8</v>
      </c>
      <c r="R44" s="688">
        <v>4.9800000000000004</v>
      </c>
      <c r="S44" s="689">
        <f t="shared" si="0"/>
        <v>1.6808000000000001</v>
      </c>
      <c r="T44" s="690">
        <v>7</v>
      </c>
      <c r="U44" s="689">
        <f t="shared" si="1"/>
        <v>0.34860000000000002</v>
      </c>
      <c r="V44" s="691">
        <f t="shared" si="2"/>
        <v>815724</v>
      </c>
      <c r="W44" s="684"/>
      <c r="X44" s="692">
        <v>0.25</v>
      </c>
      <c r="Y44" s="693">
        <f t="shared" si="3"/>
        <v>1.3322000000000001</v>
      </c>
      <c r="Z44" s="693">
        <f t="shared" si="4"/>
        <v>6.6608000000000001</v>
      </c>
      <c r="AA44" s="694">
        <f t="shared" si="5"/>
        <v>15586272</v>
      </c>
      <c r="AB44" s="694"/>
      <c r="AC44" s="694">
        <f t="shared" si="6"/>
        <v>0</v>
      </c>
      <c r="AD44" s="694">
        <f t="shared" si="21"/>
        <v>0</v>
      </c>
      <c r="AE44" s="694">
        <f t="shared" si="8"/>
        <v>15586272</v>
      </c>
      <c r="AF44" s="695">
        <f t="shared" si="9"/>
        <v>1246901.76</v>
      </c>
      <c r="AG44" s="695">
        <f t="shared" si="10"/>
        <v>233794.08</v>
      </c>
      <c r="AH44" s="695">
        <f t="shared" si="11"/>
        <v>155862.72</v>
      </c>
      <c r="AI44" s="695"/>
      <c r="AJ44" s="695">
        <f t="shared" si="12"/>
        <v>1636558.56</v>
      </c>
      <c r="AK44" s="761"/>
      <c r="AL44" s="696">
        <f t="shared" si="13"/>
        <v>0</v>
      </c>
      <c r="AM44" s="696"/>
      <c r="AN44" s="696"/>
      <c r="AO44" s="763">
        <f t="shared" si="20"/>
        <v>5.3286000000000007</v>
      </c>
      <c r="AP44" s="764">
        <v>0.25</v>
      </c>
      <c r="AQ44" s="765">
        <f t="shared" si="15"/>
        <v>1.3322000000000001</v>
      </c>
      <c r="AR44" s="695">
        <f t="shared" si="16"/>
        <v>3117348</v>
      </c>
      <c r="AS44" s="695"/>
      <c r="AT44" s="695">
        <f t="shared" si="17"/>
        <v>17067061</v>
      </c>
      <c r="AU44" s="697">
        <f t="shared" si="18"/>
        <v>31</v>
      </c>
      <c r="AV44" s="1007"/>
      <c r="AW44" s="218" t="s">
        <v>709</v>
      </c>
      <c r="AY44" s="669">
        <f>22*50000</f>
        <v>1100000</v>
      </c>
    </row>
    <row r="45" spans="1:52" s="189" customFormat="1" ht="38.25" customHeight="1" x14ac:dyDescent="0.25">
      <c r="A45" s="168">
        <f>_xlfn.AGGREGATE(4,7,A$13:A44)+1</f>
        <v>32</v>
      </c>
      <c r="B45" s="168" t="str">
        <f>VLOOKUP(D45,[1]LuongBC_T01!$B$9:$C$292,2,FALSE)</f>
        <v>0016100006763008</v>
      </c>
      <c r="C45" s="361" t="s">
        <v>868</v>
      </c>
      <c r="D45" s="169" t="s">
        <v>1170</v>
      </c>
      <c r="E45" s="263" t="s">
        <v>1374</v>
      </c>
      <c r="F45" s="169" t="s">
        <v>549</v>
      </c>
      <c r="G45" s="170" t="s">
        <v>25</v>
      </c>
      <c r="H45" s="170" t="s">
        <v>283</v>
      </c>
      <c r="I45" s="170" t="s">
        <v>282</v>
      </c>
      <c r="J45" s="169" t="s">
        <v>196</v>
      </c>
      <c r="K45" s="170" t="str">
        <f>VLOOKUP(D45,[2]T3!$B$2:$D$328,3,FALSE)</f>
        <v>022813516</v>
      </c>
      <c r="L45" s="171" t="s">
        <v>80</v>
      </c>
      <c r="M45" s="171" t="s">
        <v>868</v>
      </c>
      <c r="N45" s="263" t="str">
        <f>VLOOKUP(D45,'[6]Bao cao So GDDT'!$D$14:$S$282,11,FALSE)</f>
        <v>Giảng viên GDNN LT (hạng III)</v>
      </c>
      <c r="O45" s="390" t="s">
        <v>1438</v>
      </c>
      <c r="P45" s="172" t="s">
        <v>692</v>
      </c>
      <c r="Q45" s="173">
        <v>8</v>
      </c>
      <c r="R45" s="174">
        <v>4.9800000000000004</v>
      </c>
      <c r="S45" s="176">
        <f t="shared" si="0"/>
        <v>1.6892</v>
      </c>
      <c r="T45" s="370">
        <v>8</v>
      </c>
      <c r="U45" s="176">
        <f t="shared" si="1"/>
        <v>0.39839999999999998</v>
      </c>
      <c r="V45" s="175">
        <f t="shared" si="2"/>
        <v>932256.00000000012</v>
      </c>
      <c r="W45" s="170"/>
      <c r="X45" s="179">
        <v>0.24</v>
      </c>
      <c r="Y45" s="216">
        <f t="shared" si="3"/>
        <v>1.2907999999999999</v>
      </c>
      <c r="Z45" s="216">
        <f t="shared" si="4"/>
        <v>6.6692</v>
      </c>
      <c r="AA45" s="180">
        <f t="shared" si="5"/>
        <v>15605928</v>
      </c>
      <c r="AB45" s="180"/>
      <c r="AC45" s="180">
        <f t="shared" si="6"/>
        <v>0</v>
      </c>
      <c r="AD45" s="180">
        <f t="shared" si="21"/>
        <v>0</v>
      </c>
      <c r="AE45" s="180">
        <f t="shared" si="8"/>
        <v>15605928</v>
      </c>
      <c r="AF45" s="178">
        <f t="shared" si="9"/>
        <v>1248474.24</v>
      </c>
      <c r="AG45" s="178">
        <f t="shared" si="10"/>
        <v>234088.91999999998</v>
      </c>
      <c r="AH45" s="178">
        <f t="shared" si="11"/>
        <v>156059.28</v>
      </c>
      <c r="AI45" s="178"/>
      <c r="AJ45" s="178">
        <f t="shared" si="12"/>
        <v>1638622.44</v>
      </c>
      <c r="AK45" s="192"/>
      <c r="AL45" s="182">
        <f t="shared" si="13"/>
        <v>0</v>
      </c>
      <c r="AM45" s="182"/>
      <c r="AN45" s="182"/>
      <c r="AO45" s="183">
        <f t="shared" si="20"/>
        <v>5.3784000000000001</v>
      </c>
      <c r="AP45" s="443">
        <v>0.25</v>
      </c>
      <c r="AQ45" s="185">
        <f t="shared" si="15"/>
        <v>1.3446</v>
      </c>
      <c r="AR45" s="178">
        <f t="shared" si="16"/>
        <v>3146364</v>
      </c>
      <c r="AS45" s="178"/>
      <c r="AT45" s="178">
        <f t="shared" si="17"/>
        <v>17113670</v>
      </c>
      <c r="AU45" s="469">
        <f t="shared" si="18"/>
        <v>32</v>
      </c>
      <c r="AV45" s="186"/>
      <c r="AW45" s="198" t="s">
        <v>709</v>
      </c>
      <c r="AY45" s="669">
        <f>SUM(AY35:AY44)</f>
        <v>93600000</v>
      </c>
    </row>
    <row r="46" spans="1:52" s="189" customFormat="1" ht="31.5" customHeight="1" x14ac:dyDescent="0.25">
      <c r="A46" s="168">
        <f>_xlfn.AGGREGATE(4,7,A$13:A45)+1</f>
        <v>33</v>
      </c>
      <c r="B46" s="168" t="str">
        <f>VLOOKUP(D46,[1]LuongBC_T01!$B$9:$C$292,2,FALSE)</f>
        <v>0016100006815008</v>
      </c>
      <c r="C46" s="361" t="s">
        <v>858</v>
      </c>
      <c r="D46" s="169" t="s">
        <v>1160</v>
      </c>
      <c r="E46" s="263" t="s">
        <v>1374</v>
      </c>
      <c r="F46" s="169" t="s">
        <v>549</v>
      </c>
      <c r="G46" s="170"/>
      <c r="H46" s="170" t="s">
        <v>283</v>
      </c>
      <c r="I46" s="170" t="s">
        <v>283</v>
      </c>
      <c r="J46" s="169" t="s">
        <v>205</v>
      </c>
      <c r="K46" s="170" t="str">
        <f>VLOOKUP(D46,[2]T3!$B$2:$D$328,3,FALSE)</f>
        <v>021314535</v>
      </c>
      <c r="L46" s="171" t="s">
        <v>525</v>
      </c>
      <c r="M46" s="171" t="s">
        <v>858</v>
      </c>
      <c r="N46" s="263" t="str">
        <f>VLOOKUP(D46,'[6]Bao cao So GDDT'!$D$14:$S$282,11,FALSE)</f>
        <v>Giảng viên GDNN LT (hạng III)</v>
      </c>
      <c r="O46" s="390" t="s">
        <v>1438</v>
      </c>
      <c r="P46" s="172" t="s">
        <v>692</v>
      </c>
      <c r="Q46" s="173">
        <v>9</v>
      </c>
      <c r="R46" s="174">
        <v>4.9800000000000004</v>
      </c>
      <c r="S46" s="176">
        <f t="shared" si="0"/>
        <v>2.8186999999999998</v>
      </c>
      <c r="T46" s="370">
        <v>16</v>
      </c>
      <c r="U46" s="176">
        <f t="shared" si="1"/>
        <v>0.79679999999999995</v>
      </c>
      <c r="V46" s="175">
        <f t="shared" si="2"/>
        <v>1864512.0000000002</v>
      </c>
      <c r="W46" s="170"/>
      <c r="X46" s="179">
        <v>0.35</v>
      </c>
      <c r="Y46" s="216">
        <f t="shared" si="3"/>
        <v>2.0219</v>
      </c>
      <c r="Z46" s="216">
        <f t="shared" si="4"/>
        <v>7.7987000000000002</v>
      </c>
      <c r="AA46" s="180">
        <f t="shared" si="5"/>
        <v>18248958</v>
      </c>
      <c r="AB46" s="180"/>
      <c r="AC46" s="180">
        <f t="shared" si="6"/>
        <v>0</v>
      </c>
      <c r="AD46" s="180">
        <f t="shared" si="21"/>
        <v>0</v>
      </c>
      <c r="AE46" s="180">
        <f t="shared" si="8"/>
        <v>18248958</v>
      </c>
      <c r="AF46" s="178">
        <f t="shared" si="9"/>
        <v>1459916.6400000001</v>
      </c>
      <c r="AG46" s="178">
        <f t="shared" si="10"/>
        <v>273734.37</v>
      </c>
      <c r="AH46" s="178">
        <f t="shared" si="11"/>
        <v>182489.58000000002</v>
      </c>
      <c r="AI46" s="178"/>
      <c r="AJ46" s="178">
        <f t="shared" si="12"/>
        <v>1916140.5900000003</v>
      </c>
      <c r="AK46" s="192"/>
      <c r="AL46" s="182">
        <f t="shared" si="13"/>
        <v>0</v>
      </c>
      <c r="AM46" s="182"/>
      <c r="AN46" s="182"/>
      <c r="AO46" s="183">
        <f t="shared" si="20"/>
        <v>5.7768000000000006</v>
      </c>
      <c r="AP46" s="443">
        <v>0.25</v>
      </c>
      <c r="AQ46" s="185">
        <f t="shared" si="15"/>
        <v>1.4441999999999999</v>
      </c>
      <c r="AR46" s="178">
        <f t="shared" si="16"/>
        <v>3379428</v>
      </c>
      <c r="AS46" s="178"/>
      <c r="AT46" s="178">
        <f t="shared" si="17"/>
        <v>19712245</v>
      </c>
      <c r="AU46" s="469">
        <f t="shared" si="18"/>
        <v>33</v>
      </c>
      <c r="AV46" s="195"/>
      <c r="AW46" s="187" t="s">
        <v>709</v>
      </c>
    </row>
    <row r="47" spans="1:52" s="189" customFormat="1" ht="31.5" customHeight="1" x14ac:dyDescent="0.25">
      <c r="A47" s="168">
        <f>_xlfn.AGGREGATE(4,7,A$13:A46)+1</f>
        <v>34</v>
      </c>
      <c r="B47" s="168" t="str">
        <f>VLOOKUP(D47,[1]LuongBC_T01!$B$9:$C$292,2,FALSE)</f>
        <v>0016100006758007</v>
      </c>
      <c r="C47" s="361" t="s">
        <v>865</v>
      </c>
      <c r="D47" s="169" t="s">
        <v>1168</v>
      </c>
      <c r="E47" s="263" t="s">
        <v>1374</v>
      </c>
      <c r="F47" s="169" t="s">
        <v>549</v>
      </c>
      <c r="G47" s="170"/>
      <c r="H47" s="170" t="s">
        <v>283</v>
      </c>
      <c r="I47" s="170" t="s">
        <v>282</v>
      </c>
      <c r="J47" s="169" t="s">
        <v>197</v>
      </c>
      <c r="K47" s="170" t="str">
        <f>VLOOKUP(D47,[2]T3!$B$2:$D$328,3,FALSE)</f>
        <v>022355188</v>
      </c>
      <c r="L47" s="171" t="s">
        <v>81</v>
      </c>
      <c r="M47" s="171" t="s">
        <v>865</v>
      </c>
      <c r="N47" s="263" t="str">
        <f>VLOOKUP(D47,'[6]Bao cao So GDDT'!$D$14:$S$282,11,FALSE)</f>
        <v>Giảng viên GDNN LT (hạng III)</v>
      </c>
      <c r="O47" s="390" t="s">
        <v>1438</v>
      </c>
      <c r="P47" s="172" t="s">
        <v>692</v>
      </c>
      <c r="Q47" s="173">
        <v>8</v>
      </c>
      <c r="R47" s="174">
        <v>4.9800000000000004</v>
      </c>
      <c r="S47" s="176">
        <f t="shared" si="0"/>
        <v>1.6808000000000001</v>
      </c>
      <c r="T47" s="370">
        <v>7</v>
      </c>
      <c r="U47" s="176">
        <f t="shared" si="1"/>
        <v>0.34860000000000002</v>
      </c>
      <c r="V47" s="175">
        <f t="shared" si="2"/>
        <v>815724</v>
      </c>
      <c r="W47" s="170"/>
      <c r="X47" s="179">
        <v>0.25</v>
      </c>
      <c r="Y47" s="216">
        <f t="shared" si="3"/>
        <v>1.3322000000000001</v>
      </c>
      <c r="Z47" s="216">
        <f t="shared" si="4"/>
        <v>6.6608000000000001</v>
      </c>
      <c r="AA47" s="180">
        <f t="shared" si="5"/>
        <v>15586272</v>
      </c>
      <c r="AB47" s="180"/>
      <c r="AC47" s="180">
        <f t="shared" si="6"/>
        <v>0</v>
      </c>
      <c r="AD47" s="180">
        <f t="shared" si="21"/>
        <v>0</v>
      </c>
      <c r="AE47" s="180">
        <f t="shared" si="8"/>
        <v>15586272</v>
      </c>
      <c r="AF47" s="178">
        <f t="shared" si="9"/>
        <v>1246901.76</v>
      </c>
      <c r="AG47" s="178">
        <f t="shared" si="10"/>
        <v>233794.08</v>
      </c>
      <c r="AH47" s="178">
        <f t="shared" si="11"/>
        <v>155862.72</v>
      </c>
      <c r="AI47" s="178"/>
      <c r="AJ47" s="178">
        <f t="shared" si="12"/>
        <v>1636558.56</v>
      </c>
      <c r="AK47" s="192"/>
      <c r="AL47" s="182">
        <f t="shared" si="13"/>
        <v>0</v>
      </c>
      <c r="AM47" s="182"/>
      <c r="AN47" s="182"/>
      <c r="AO47" s="183">
        <f t="shared" si="20"/>
        <v>5.3286000000000007</v>
      </c>
      <c r="AP47" s="443">
        <v>0.25</v>
      </c>
      <c r="AQ47" s="185">
        <f t="shared" si="15"/>
        <v>1.3322000000000001</v>
      </c>
      <c r="AR47" s="178">
        <f t="shared" si="16"/>
        <v>3117348</v>
      </c>
      <c r="AS47" s="178"/>
      <c r="AT47" s="178">
        <f t="shared" si="17"/>
        <v>17067061</v>
      </c>
      <c r="AU47" s="469">
        <f t="shared" si="18"/>
        <v>34</v>
      </c>
      <c r="AV47" s="186"/>
      <c r="AW47" s="219" t="s">
        <v>709</v>
      </c>
      <c r="AY47" s="669">
        <f>56*100000</f>
        <v>5600000</v>
      </c>
    </row>
    <row r="48" spans="1:52" s="191" customFormat="1" ht="29.25" customHeight="1" x14ac:dyDescent="0.25">
      <c r="A48" s="168">
        <f>_xlfn.AGGREGATE(4,7,A$13:A47)+1</f>
        <v>35</v>
      </c>
      <c r="B48" s="168" t="str">
        <f>VLOOKUP(D48,[1]LuongBC_T01!$B$9:$C$292,2,FALSE)</f>
        <v>0016100006811005</v>
      </c>
      <c r="C48" s="361" t="s">
        <v>871</v>
      </c>
      <c r="D48" s="169" t="s">
        <v>1172</v>
      </c>
      <c r="E48" s="263" t="s">
        <v>1374</v>
      </c>
      <c r="F48" s="169" t="s">
        <v>549</v>
      </c>
      <c r="G48" s="170" t="s">
        <v>25</v>
      </c>
      <c r="H48" s="170" t="s">
        <v>283</v>
      </c>
      <c r="I48" s="170" t="s">
        <v>283</v>
      </c>
      <c r="J48" s="169" t="s">
        <v>235</v>
      </c>
      <c r="K48" s="170" t="str">
        <f>VLOOKUP(D48,[2]T3!$B$2:$D$328,3,FALSE)</f>
        <v>024283935</v>
      </c>
      <c r="L48" s="171" t="s">
        <v>144</v>
      </c>
      <c r="M48" s="171" t="s">
        <v>871</v>
      </c>
      <c r="N48" s="263" t="str">
        <f>VLOOKUP(D48,'[6]Bao cao So GDDT'!$D$14:$S$282,11,FALSE)</f>
        <v>Giảng viên GDNN LT (hạng III)</v>
      </c>
      <c r="O48" s="390" t="s">
        <v>1438</v>
      </c>
      <c r="P48" s="172" t="s">
        <v>692</v>
      </c>
      <c r="Q48" s="173">
        <v>8</v>
      </c>
      <c r="R48" s="174">
        <v>4.9800000000000004</v>
      </c>
      <c r="S48" s="176">
        <f t="shared" si="0"/>
        <v>1.5656999999999999</v>
      </c>
      <c r="T48" s="370">
        <v>6</v>
      </c>
      <c r="U48" s="176">
        <f t="shared" si="1"/>
        <v>0.29880000000000001</v>
      </c>
      <c r="V48" s="175">
        <f t="shared" si="2"/>
        <v>699192</v>
      </c>
      <c r="W48" s="200"/>
      <c r="X48" s="179">
        <v>0.24</v>
      </c>
      <c r="Y48" s="216">
        <f t="shared" si="3"/>
        <v>1.2668999999999999</v>
      </c>
      <c r="Z48" s="216">
        <f t="shared" si="4"/>
        <v>6.5457000000000001</v>
      </c>
      <c r="AA48" s="180">
        <f t="shared" si="5"/>
        <v>15316938</v>
      </c>
      <c r="AB48" s="180"/>
      <c r="AC48" s="180">
        <f t="shared" si="6"/>
        <v>0</v>
      </c>
      <c r="AD48" s="180">
        <f t="shared" si="21"/>
        <v>0</v>
      </c>
      <c r="AE48" s="180">
        <f t="shared" si="8"/>
        <v>15316938</v>
      </c>
      <c r="AF48" s="178">
        <f t="shared" si="9"/>
        <v>1225355.04</v>
      </c>
      <c r="AG48" s="178">
        <f t="shared" si="10"/>
        <v>229754.06999999998</v>
      </c>
      <c r="AH48" s="178">
        <f t="shared" si="11"/>
        <v>153169.38</v>
      </c>
      <c r="AI48" s="178"/>
      <c r="AJ48" s="178">
        <f t="shared" si="12"/>
        <v>1608278.4900000002</v>
      </c>
      <c r="AK48" s="181"/>
      <c r="AL48" s="182">
        <f t="shared" si="13"/>
        <v>0</v>
      </c>
      <c r="AM48" s="182"/>
      <c r="AN48" s="182"/>
      <c r="AO48" s="183">
        <f t="shared" si="20"/>
        <v>5.2788000000000004</v>
      </c>
      <c r="AP48" s="443">
        <v>0.25</v>
      </c>
      <c r="AQ48" s="185">
        <f t="shared" si="15"/>
        <v>1.3197000000000001</v>
      </c>
      <c r="AR48" s="178">
        <f t="shared" si="16"/>
        <v>3088098</v>
      </c>
      <c r="AS48" s="178"/>
      <c r="AT48" s="178">
        <f t="shared" si="17"/>
        <v>16796758</v>
      </c>
      <c r="AU48" s="469">
        <f t="shared" si="18"/>
        <v>35</v>
      </c>
      <c r="AV48" s="186"/>
      <c r="AW48" s="187" t="s">
        <v>709</v>
      </c>
    </row>
    <row r="49" spans="1:51" s="191" customFormat="1" ht="37.5" customHeight="1" x14ac:dyDescent="0.25">
      <c r="A49" s="168">
        <f>_xlfn.AGGREGATE(4,7,A$13:A48)+1</f>
        <v>36</v>
      </c>
      <c r="B49" s="168" t="str">
        <f>VLOOKUP(D49,[1]LuongBC_T01!$B$9:$C$292,2,FALSE)</f>
        <v>0016100006814004</v>
      </c>
      <c r="C49" s="361" t="s">
        <v>862</v>
      </c>
      <c r="D49" s="169" t="s">
        <v>1164</v>
      </c>
      <c r="E49" s="263" t="s">
        <v>1374</v>
      </c>
      <c r="F49" s="169" t="s">
        <v>549</v>
      </c>
      <c r="G49" s="170"/>
      <c r="H49" s="170"/>
      <c r="I49" s="170" t="s">
        <v>284</v>
      </c>
      <c r="J49" s="169" t="s">
        <v>208</v>
      </c>
      <c r="K49" s="170" t="str">
        <f>VLOOKUP(D49,[2]T3!$B$2:$D$328,3,FALSE)</f>
        <v>022102283</v>
      </c>
      <c r="L49" s="171" t="s">
        <v>159</v>
      </c>
      <c r="M49" s="171" t="s">
        <v>862</v>
      </c>
      <c r="N49" s="263" t="str">
        <f>VLOOKUP(D49,'[6]Bao cao So GDDT'!$D$14:$S$282,11,FALSE)</f>
        <v>Giảng viên GDNN LT (hạng III)</v>
      </c>
      <c r="O49" s="390" t="s">
        <v>1438</v>
      </c>
      <c r="P49" s="172" t="s">
        <v>692</v>
      </c>
      <c r="Q49" s="173">
        <v>8</v>
      </c>
      <c r="R49" s="174">
        <v>4.9800000000000004</v>
      </c>
      <c r="S49" s="176">
        <f t="shared" si="0"/>
        <v>1.3664999999999998</v>
      </c>
      <c r="T49" s="370">
        <v>8</v>
      </c>
      <c r="U49" s="176">
        <f t="shared" si="1"/>
        <v>0.39839999999999998</v>
      </c>
      <c r="V49" s="175">
        <f t="shared" si="2"/>
        <v>932256.00000000012</v>
      </c>
      <c r="W49" s="200"/>
      <c r="X49" s="179">
        <v>0.18</v>
      </c>
      <c r="Y49" s="216">
        <f t="shared" si="3"/>
        <v>0.96809999999999996</v>
      </c>
      <c r="Z49" s="216">
        <f t="shared" si="4"/>
        <v>6.3464999999999998</v>
      </c>
      <c r="AA49" s="180">
        <f t="shared" si="5"/>
        <v>14850810</v>
      </c>
      <c r="AB49" s="180"/>
      <c r="AC49" s="180">
        <f t="shared" si="6"/>
        <v>0</v>
      </c>
      <c r="AD49" s="180">
        <f t="shared" si="21"/>
        <v>0</v>
      </c>
      <c r="AE49" s="180">
        <f t="shared" si="8"/>
        <v>14850810</v>
      </c>
      <c r="AF49" s="178">
        <f t="shared" si="9"/>
        <v>1188064.8</v>
      </c>
      <c r="AG49" s="178">
        <f t="shared" si="10"/>
        <v>222762.15</v>
      </c>
      <c r="AH49" s="178">
        <f t="shared" si="11"/>
        <v>148508.1</v>
      </c>
      <c r="AI49" s="178"/>
      <c r="AJ49" s="178">
        <f t="shared" si="12"/>
        <v>1559335.05</v>
      </c>
      <c r="AK49" s="181"/>
      <c r="AL49" s="182">
        <f t="shared" si="13"/>
        <v>0</v>
      </c>
      <c r="AM49" s="182"/>
      <c r="AN49" s="182"/>
      <c r="AO49" s="183">
        <f t="shared" si="20"/>
        <v>5.3784000000000001</v>
      </c>
      <c r="AP49" s="246">
        <v>0.25</v>
      </c>
      <c r="AQ49" s="185">
        <f t="shared" si="15"/>
        <v>1.3446</v>
      </c>
      <c r="AR49" s="178">
        <f t="shared" si="16"/>
        <v>3146364</v>
      </c>
      <c r="AS49" s="178"/>
      <c r="AT49" s="178">
        <f t="shared" si="17"/>
        <v>16437839</v>
      </c>
      <c r="AU49" s="469">
        <f t="shared" si="18"/>
        <v>36</v>
      </c>
      <c r="AV49" s="186"/>
      <c r="AW49" s="198" t="s">
        <v>709</v>
      </c>
    </row>
    <row r="50" spans="1:51" s="189" customFormat="1" ht="33.75" customHeight="1" x14ac:dyDescent="0.25">
      <c r="A50" s="168">
        <f>_xlfn.AGGREGATE(4,7,A$13:A49)+1</f>
        <v>37</v>
      </c>
      <c r="B50" s="168" t="str">
        <f>VLOOKUP(D50,[1]LuongBC_T01!$B$9:$C$292,2,FALSE)</f>
        <v>0016100006614005</v>
      </c>
      <c r="C50" s="361" t="s">
        <v>898</v>
      </c>
      <c r="D50" s="169" t="s">
        <v>1194</v>
      </c>
      <c r="E50" s="263" t="s">
        <v>1374</v>
      </c>
      <c r="F50" s="169" t="s">
        <v>549</v>
      </c>
      <c r="G50" s="170"/>
      <c r="H50" s="170"/>
      <c r="I50" s="170" t="s">
        <v>283</v>
      </c>
      <c r="J50" s="169" t="s">
        <v>239</v>
      </c>
      <c r="K50" s="170" t="str">
        <f>VLOOKUP(D50,[2]T3!$B$2:$D$328,3,FALSE)</f>
        <v>038065000896</v>
      </c>
      <c r="L50" s="171" t="s">
        <v>151</v>
      </c>
      <c r="M50" s="171" t="s">
        <v>898</v>
      </c>
      <c r="N50" s="263" t="str">
        <f>VLOOKUP(D50,'[6]Bao cao So GDDT'!$D$14:$S$282,11,FALSE)</f>
        <v>Giảng viên GDNN LT (hạng III)</v>
      </c>
      <c r="O50" s="665" t="s">
        <v>1438</v>
      </c>
      <c r="P50" s="172" t="s">
        <v>692</v>
      </c>
      <c r="Q50" s="173">
        <v>9</v>
      </c>
      <c r="R50" s="174">
        <v>4.9800000000000004</v>
      </c>
      <c r="S50" s="176">
        <f t="shared" si="0"/>
        <v>2.4382000000000001</v>
      </c>
      <c r="T50" s="370">
        <v>12</v>
      </c>
      <c r="U50" s="176">
        <f t="shared" si="1"/>
        <v>0.59760000000000002</v>
      </c>
      <c r="V50" s="175">
        <f t="shared" si="2"/>
        <v>1398384</v>
      </c>
      <c r="W50" s="170"/>
      <c r="X50" s="179">
        <v>0.33</v>
      </c>
      <c r="Y50" s="216">
        <f t="shared" si="3"/>
        <v>1.8406</v>
      </c>
      <c r="Z50" s="216">
        <f t="shared" si="4"/>
        <v>7.4181999999999997</v>
      </c>
      <c r="AA50" s="180">
        <f t="shared" si="5"/>
        <v>17358588</v>
      </c>
      <c r="AB50" s="180"/>
      <c r="AC50" s="180">
        <f t="shared" si="6"/>
        <v>0</v>
      </c>
      <c r="AD50" s="180">
        <f t="shared" si="21"/>
        <v>0</v>
      </c>
      <c r="AE50" s="180">
        <f t="shared" si="8"/>
        <v>17358588</v>
      </c>
      <c r="AF50" s="178">
        <f t="shared" si="9"/>
        <v>1388687.04</v>
      </c>
      <c r="AG50" s="178">
        <f t="shared" si="10"/>
        <v>260378.81999999998</v>
      </c>
      <c r="AH50" s="178">
        <f t="shared" si="11"/>
        <v>173585.88</v>
      </c>
      <c r="AI50" s="178"/>
      <c r="AJ50" s="178">
        <f t="shared" si="12"/>
        <v>1822651.7400000002</v>
      </c>
      <c r="AK50" s="192"/>
      <c r="AL50" s="182">
        <f t="shared" si="13"/>
        <v>0</v>
      </c>
      <c r="AM50" s="182"/>
      <c r="AN50" s="182"/>
      <c r="AO50" s="183">
        <f t="shared" si="20"/>
        <v>5.5776000000000003</v>
      </c>
      <c r="AP50" s="246">
        <v>0.25</v>
      </c>
      <c r="AQ50" s="185">
        <f t="shared" si="15"/>
        <v>1.3944000000000001</v>
      </c>
      <c r="AR50" s="178">
        <f t="shared" si="16"/>
        <v>3262896</v>
      </c>
      <c r="AS50" s="178"/>
      <c r="AT50" s="178">
        <f t="shared" si="17"/>
        <v>18798832</v>
      </c>
      <c r="AU50" s="469">
        <f t="shared" si="18"/>
        <v>37</v>
      </c>
      <c r="AV50" s="195"/>
      <c r="AW50" s="198" t="s">
        <v>705</v>
      </c>
    </row>
    <row r="51" spans="1:51" s="189" customFormat="1" ht="33.75" customHeight="1" x14ac:dyDescent="0.25">
      <c r="A51" s="168">
        <f>_xlfn.AGGREGATE(4,7,A$13:A50)+1</f>
        <v>38</v>
      </c>
      <c r="B51" s="168" t="str">
        <f>VLOOKUP(D51,[1]LuongBC_T01!$B$9:$C$292,2,FALSE)</f>
        <v>0016100006592001</v>
      </c>
      <c r="C51" s="361" t="s">
        <v>849</v>
      </c>
      <c r="D51" s="169" t="s">
        <v>1151</v>
      </c>
      <c r="E51" s="263" t="s">
        <v>1592</v>
      </c>
      <c r="F51" s="169" t="s">
        <v>549</v>
      </c>
      <c r="G51" s="170"/>
      <c r="H51" s="170" t="s">
        <v>283</v>
      </c>
      <c r="I51" s="170" t="s">
        <v>282</v>
      </c>
      <c r="J51" s="169" t="s">
        <v>199</v>
      </c>
      <c r="K51" s="170" t="str">
        <f>VLOOKUP(D51,[2]T3!$B$2:$D$328,3,FALSE)</f>
        <v>024257826</v>
      </c>
      <c r="L51" s="171" t="s">
        <v>82</v>
      </c>
      <c r="M51" s="171" t="s">
        <v>849</v>
      </c>
      <c r="N51" s="263" t="str">
        <f>VLOOKUP(D51,'[6]Bao cao So GDDT'!$D$14:$S$282,11,FALSE)</f>
        <v>Giảng viên GDNN LT (hạng III)</v>
      </c>
      <c r="O51" s="390" t="s">
        <v>1438</v>
      </c>
      <c r="P51" s="172" t="s">
        <v>692</v>
      </c>
      <c r="Q51" s="173">
        <v>6</v>
      </c>
      <c r="R51" s="174">
        <v>4.6500000000000004</v>
      </c>
      <c r="S51" s="176">
        <f t="shared" si="0"/>
        <v>1.929</v>
      </c>
      <c r="T51" s="370"/>
      <c r="U51" s="176">
        <f t="shared" si="1"/>
        <v>0</v>
      </c>
      <c r="V51" s="175">
        <f t="shared" si="2"/>
        <v>0</v>
      </c>
      <c r="W51" s="170">
        <v>0.45</v>
      </c>
      <c r="X51" s="179">
        <v>0.28999999999999998</v>
      </c>
      <c r="Y51" s="216">
        <f t="shared" si="3"/>
        <v>1.4790000000000001</v>
      </c>
      <c r="Z51" s="216">
        <f t="shared" si="4"/>
        <v>6.5789999999999997</v>
      </c>
      <c r="AA51" s="180">
        <f t="shared" si="5"/>
        <v>15394860</v>
      </c>
      <c r="AB51" s="180"/>
      <c r="AC51" s="180">
        <f t="shared" si="6"/>
        <v>0</v>
      </c>
      <c r="AD51" s="180">
        <f t="shared" si="21"/>
        <v>0</v>
      </c>
      <c r="AE51" s="180">
        <f t="shared" si="8"/>
        <v>15394860</v>
      </c>
      <c r="AF51" s="178">
        <f t="shared" si="9"/>
        <v>1231588.8</v>
      </c>
      <c r="AG51" s="178">
        <f t="shared" si="10"/>
        <v>230922.9</v>
      </c>
      <c r="AH51" s="178">
        <f t="shared" si="11"/>
        <v>153948.6</v>
      </c>
      <c r="AI51" s="178"/>
      <c r="AJ51" s="178">
        <f t="shared" si="12"/>
        <v>1616460.3</v>
      </c>
      <c r="AK51" s="192"/>
      <c r="AL51" s="182">
        <f t="shared" si="13"/>
        <v>0</v>
      </c>
      <c r="AM51" s="182"/>
      <c r="AN51" s="182"/>
      <c r="AO51" s="183">
        <f t="shared" si="20"/>
        <v>5.1000000000000005</v>
      </c>
      <c r="AP51" s="443">
        <v>0.25</v>
      </c>
      <c r="AQ51" s="185">
        <f t="shared" si="15"/>
        <v>1.2749999999999999</v>
      </c>
      <c r="AR51" s="178">
        <f t="shared" si="16"/>
        <v>2983500</v>
      </c>
      <c r="AS51" s="178"/>
      <c r="AT51" s="178">
        <f t="shared" si="17"/>
        <v>16761900</v>
      </c>
      <c r="AU51" s="469">
        <f t="shared" si="18"/>
        <v>38</v>
      </c>
      <c r="AV51" s="195"/>
      <c r="AW51" s="198" t="s">
        <v>704</v>
      </c>
    </row>
    <row r="52" spans="1:51" s="191" customFormat="1" ht="33.75" customHeight="1" x14ac:dyDescent="0.25">
      <c r="A52" s="168">
        <f>_xlfn.AGGREGATE(4,7,A$13:A51)+1</f>
        <v>39</v>
      </c>
      <c r="B52" s="168" t="str">
        <f>VLOOKUP(D52,[1]LuongBC_T01!$B$9:$C$292,2,FALSE)</f>
        <v>0016100006660007</v>
      </c>
      <c r="C52" s="361" t="s">
        <v>844</v>
      </c>
      <c r="D52" s="169" t="s">
        <v>1146</v>
      </c>
      <c r="E52" s="263" t="s">
        <v>1396</v>
      </c>
      <c r="F52" s="169" t="s">
        <v>549</v>
      </c>
      <c r="G52" s="170"/>
      <c r="H52" s="170" t="s">
        <v>283</v>
      </c>
      <c r="I52" s="170" t="s">
        <v>281</v>
      </c>
      <c r="J52" s="169" t="s">
        <v>186</v>
      </c>
      <c r="K52" s="168" t="s">
        <v>1355</v>
      </c>
      <c r="L52" s="171" t="s">
        <v>73</v>
      </c>
      <c r="M52" s="171" t="s">
        <v>844</v>
      </c>
      <c r="N52" s="263" t="str">
        <f>VLOOKUP(D52,'[6]Bao cao So GDDT'!$D$14:$S$282,11,FALSE)</f>
        <v>Giảng viên GDNN LT (hạng III)</v>
      </c>
      <c r="O52" s="390" t="s">
        <v>1438</v>
      </c>
      <c r="P52" s="172" t="s">
        <v>692</v>
      </c>
      <c r="Q52" s="173">
        <v>9</v>
      </c>
      <c r="R52" s="174">
        <v>4.9800000000000004</v>
      </c>
      <c r="S52" s="176">
        <f t="shared" si="0"/>
        <v>3.3584000000000001</v>
      </c>
      <c r="T52" s="370">
        <v>17</v>
      </c>
      <c r="U52" s="176">
        <f t="shared" si="1"/>
        <v>0.84660000000000002</v>
      </c>
      <c r="V52" s="175">
        <f t="shared" si="2"/>
        <v>1981044.0000000002</v>
      </c>
      <c r="W52" s="170">
        <v>0.35</v>
      </c>
      <c r="X52" s="179">
        <v>0.35</v>
      </c>
      <c r="Y52" s="216">
        <f t="shared" si="3"/>
        <v>2.1617999999999999</v>
      </c>
      <c r="Z52" s="216">
        <f t="shared" si="4"/>
        <v>8.3384</v>
      </c>
      <c r="AA52" s="180">
        <f t="shared" si="5"/>
        <v>19511856</v>
      </c>
      <c r="AB52" s="180"/>
      <c r="AC52" s="180">
        <f t="shared" si="6"/>
        <v>0</v>
      </c>
      <c r="AD52" s="180">
        <f t="shared" si="21"/>
        <v>0</v>
      </c>
      <c r="AE52" s="180">
        <f t="shared" si="8"/>
        <v>19511856</v>
      </c>
      <c r="AF52" s="178">
        <f t="shared" si="9"/>
        <v>1560948.48</v>
      </c>
      <c r="AG52" s="178">
        <f t="shared" si="10"/>
        <v>292677.83999999997</v>
      </c>
      <c r="AH52" s="178">
        <f t="shared" si="11"/>
        <v>195118.56</v>
      </c>
      <c r="AI52" s="178"/>
      <c r="AJ52" s="178">
        <f t="shared" si="12"/>
        <v>2048744.88</v>
      </c>
      <c r="AK52" s="192"/>
      <c r="AL52" s="182">
        <f t="shared" si="13"/>
        <v>0</v>
      </c>
      <c r="AM52" s="182"/>
      <c r="AN52" s="182"/>
      <c r="AO52" s="183">
        <f t="shared" si="20"/>
        <v>6.1766000000000005</v>
      </c>
      <c r="AP52" s="443">
        <v>0.25</v>
      </c>
      <c r="AQ52" s="185">
        <f t="shared" si="15"/>
        <v>1.5442</v>
      </c>
      <c r="AR52" s="178">
        <f t="shared" si="16"/>
        <v>3613428</v>
      </c>
      <c r="AS52" s="178"/>
      <c r="AT52" s="178">
        <f t="shared" si="17"/>
        <v>21076539</v>
      </c>
      <c r="AU52" s="469">
        <f t="shared" si="18"/>
        <v>39</v>
      </c>
      <c r="AV52" s="195"/>
      <c r="AW52" s="198" t="s">
        <v>285</v>
      </c>
    </row>
    <row r="53" spans="1:51" s="189" customFormat="1" ht="34.5" customHeight="1" x14ac:dyDescent="0.25">
      <c r="A53" s="168">
        <f>_xlfn.AGGREGATE(4,7,A$13:A52)+1</f>
        <v>40</v>
      </c>
      <c r="B53" s="168" t="str">
        <f>VLOOKUP(D53,[1]LuongBC_T01!$B$9:$C$292,2,FALSE)</f>
        <v>0016100006617004</v>
      </c>
      <c r="C53" s="361" t="s">
        <v>853</v>
      </c>
      <c r="D53" s="169" t="s">
        <v>1154</v>
      </c>
      <c r="E53" s="263" t="s">
        <v>1396</v>
      </c>
      <c r="F53" s="169" t="s">
        <v>550</v>
      </c>
      <c r="G53" s="170"/>
      <c r="H53" s="170" t="s">
        <v>283</v>
      </c>
      <c r="I53" s="170" t="s">
        <v>282</v>
      </c>
      <c r="J53" s="169" t="s">
        <v>193</v>
      </c>
      <c r="K53" s="170" t="str">
        <f>VLOOKUP(D53,[2]T3!$B$2:$D$328,3,FALSE)</f>
        <v>023230246</v>
      </c>
      <c r="L53" s="171" t="s">
        <v>77</v>
      </c>
      <c r="M53" s="171" t="s">
        <v>853</v>
      </c>
      <c r="N53" s="263" t="str">
        <f>VLOOKUP(D53,'[6]Bao cao So GDDT'!$D$14:$S$282,11,FALSE)</f>
        <v>Giảng viên GDNN LT (hạng III)</v>
      </c>
      <c r="O53" s="390" t="s">
        <v>1438</v>
      </c>
      <c r="P53" s="172" t="s">
        <v>692</v>
      </c>
      <c r="Q53" s="173">
        <v>9</v>
      </c>
      <c r="R53" s="174">
        <v>4.9800000000000004</v>
      </c>
      <c r="S53" s="176">
        <f t="shared" si="0"/>
        <v>2.3005</v>
      </c>
      <c r="T53" s="370">
        <v>9</v>
      </c>
      <c r="U53" s="176">
        <f t="shared" si="1"/>
        <v>0.44819999999999999</v>
      </c>
      <c r="V53" s="175">
        <f t="shared" si="2"/>
        <v>1048788.0000000002</v>
      </c>
      <c r="W53" s="170">
        <v>0.35</v>
      </c>
      <c r="X53" s="179">
        <v>0.26</v>
      </c>
      <c r="Y53" s="216">
        <f t="shared" si="3"/>
        <v>1.5023</v>
      </c>
      <c r="Z53" s="216">
        <f t="shared" si="4"/>
        <v>7.2805</v>
      </c>
      <c r="AA53" s="180">
        <f t="shared" si="5"/>
        <v>17036370</v>
      </c>
      <c r="AB53" s="180"/>
      <c r="AC53" s="180">
        <f t="shared" si="6"/>
        <v>0</v>
      </c>
      <c r="AD53" s="180">
        <f t="shared" si="21"/>
        <v>0</v>
      </c>
      <c r="AE53" s="180">
        <f t="shared" si="8"/>
        <v>17036370</v>
      </c>
      <c r="AF53" s="178">
        <f t="shared" si="9"/>
        <v>1362909.6</v>
      </c>
      <c r="AG53" s="178">
        <f t="shared" si="10"/>
        <v>255545.55</v>
      </c>
      <c r="AH53" s="178">
        <f t="shared" si="11"/>
        <v>170363.7</v>
      </c>
      <c r="AI53" s="178"/>
      <c r="AJ53" s="178">
        <f t="shared" si="12"/>
        <v>1788818.85</v>
      </c>
      <c r="AK53" s="192"/>
      <c r="AL53" s="182">
        <f t="shared" si="13"/>
        <v>0</v>
      </c>
      <c r="AM53" s="182"/>
      <c r="AN53" s="182"/>
      <c r="AO53" s="183">
        <f t="shared" si="20"/>
        <v>5.7782</v>
      </c>
      <c r="AP53" s="443">
        <v>0.25</v>
      </c>
      <c r="AQ53" s="185">
        <f t="shared" si="15"/>
        <v>1.4446000000000001</v>
      </c>
      <c r="AR53" s="178">
        <f t="shared" si="16"/>
        <v>3380364</v>
      </c>
      <c r="AS53" s="178"/>
      <c r="AT53" s="178">
        <f t="shared" si="17"/>
        <v>18627915</v>
      </c>
      <c r="AU53" s="469">
        <f t="shared" si="18"/>
        <v>40</v>
      </c>
      <c r="AV53" s="195"/>
      <c r="AW53" s="198" t="s">
        <v>704</v>
      </c>
    </row>
    <row r="54" spans="1:51" s="189" customFormat="1" ht="29.25" customHeight="1" x14ac:dyDescent="0.25">
      <c r="A54" s="168">
        <f>_xlfn.AGGREGATE(4,7,A$13:A53)+1</f>
        <v>41</v>
      </c>
      <c r="B54" s="168" t="str">
        <f>VLOOKUP(D54,[1]LuongBC_T01!$B$9:$C$292,2,FALSE)</f>
        <v>0016100006530006</v>
      </c>
      <c r="C54" s="361" t="s">
        <v>866</v>
      </c>
      <c r="D54" s="169" t="s">
        <v>1167</v>
      </c>
      <c r="E54" s="263" t="s">
        <v>1376</v>
      </c>
      <c r="F54" s="169" t="s">
        <v>549</v>
      </c>
      <c r="G54" s="170"/>
      <c r="H54" s="170" t="s">
        <v>283</v>
      </c>
      <c r="I54" s="170" t="s">
        <v>281</v>
      </c>
      <c r="J54" s="169" t="s">
        <v>188</v>
      </c>
      <c r="K54" s="168" t="s">
        <v>1344</v>
      </c>
      <c r="L54" s="171" t="s">
        <v>74</v>
      </c>
      <c r="M54" s="171" t="s">
        <v>866</v>
      </c>
      <c r="N54" s="263" t="str">
        <f>VLOOKUP(D54,'[6]Bao cao So GDDT'!$D$14:$S$282,11,FALSE)</f>
        <v>Giảng viên GDNN LT (hạng III)</v>
      </c>
      <c r="O54" s="390" t="s">
        <v>1438</v>
      </c>
      <c r="P54" s="172" t="s">
        <v>692</v>
      </c>
      <c r="Q54" s="173">
        <v>8</v>
      </c>
      <c r="R54" s="174">
        <v>4.9800000000000004</v>
      </c>
      <c r="S54" s="176">
        <f t="shared" si="0"/>
        <v>1.6274999999999999</v>
      </c>
      <c r="T54" s="370">
        <v>7</v>
      </c>
      <c r="U54" s="176">
        <f t="shared" si="1"/>
        <v>0.34860000000000002</v>
      </c>
      <c r="V54" s="175">
        <f t="shared" si="2"/>
        <v>815724</v>
      </c>
      <c r="W54" s="170"/>
      <c r="X54" s="179">
        <v>0.24</v>
      </c>
      <c r="Y54" s="216">
        <f t="shared" si="3"/>
        <v>1.2788999999999999</v>
      </c>
      <c r="Z54" s="216">
        <f t="shared" si="4"/>
        <v>6.6074999999999999</v>
      </c>
      <c r="AA54" s="180">
        <f t="shared" si="5"/>
        <v>15461550</v>
      </c>
      <c r="AB54" s="180"/>
      <c r="AC54" s="180">
        <f t="shared" si="6"/>
        <v>0</v>
      </c>
      <c r="AD54" s="180">
        <f t="shared" si="21"/>
        <v>0</v>
      </c>
      <c r="AE54" s="180">
        <f t="shared" si="8"/>
        <v>15461550</v>
      </c>
      <c r="AF54" s="178">
        <f t="shared" si="9"/>
        <v>1236924</v>
      </c>
      <c r="AG54" s="178">
        <f t="shared" si="10"/>
        <v>231923.25</v>
      </c>
      <c r="AH54" s="178">
        <f t="shared" si="11"/>
        <v>154615.5</v>
      </c>
      <c r="AI54" s="178"/>
      <c r="AJ54" s="178">
        <f t="shared" si="12"/>
        <v>1623462.75</v>
      </c>
      <c r="AK54" s="181"/>
      <c r="AL54" s="182">
        <f t="shared" si="13"/>
        <v>0</v>
      </c>
      <c r="AM54" s="182"/>
      <c r="AN54" s="182"/>
      <c r="AO54" s="183">
        <f t="shared" si="20"/>
        <v>5.3286000000000007</v>
      </c>
      <c r="AP54" s="443">
        <v>0.25</v>
      </c>
      <c r="AQ54" s="185">
        <f t="shared" si="15"/>
        <v>1.3322000000000001</v>
      </c>
      <c r="AR54" s="178">
        <f t="shared" si="16"/>
        <v>3117348</v>
      </c>
      <c r="AS54" s="178"/>
      <c r="AT54" s="178">
        <f t="shared" si="17"/>
        <v>16955435</v>
      </c>
      <c r="AU54" s="469">
        <f t="shared" si="18"/>
        <v>41</v>
      </c>
      <c r="AV54" s="186"/>
      <c r="AW54" s="218" t="s">
        <v>704</v>
      </c>
      <c r="AY54" s="669">
        <f>44*200000</f>
        <v>8800000</v>
      </c>
    </row>
    <row r="55" spans="1:51" s="189" customFormat="1" ht="30" customHeight="1" x14ac:dyDescent="0.25">
      <c r="A55" s="168">
        <f>_xlfn.AGGREGATE(4,7,A$13:A54)+1</f>
        <v>42</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263" t="str">
        <f>VLOOKUP(D55,'[6]Bao cao So GDDT'!$D$14:$S$282,11,FALSE)</f>
        <v>Giảng viên GDNN LT (hạng III)</v>
      </c>
      <c r="O55" s="390" t="s">
        <v>1438</v>
      </c>
      <c r="P55" s="172" t="s">
        <v>692</v>
      </c>
      <c r="Q55" s="173">
        <v>8</v>
      </c>
      <c r="R55" s="174">
        <v>4.9800000000000004</v>
      </c>
      <c r="S55" s="176">
        <f t="shared" si="0"/>
        <v>1.6808000000000001</v>
      </c>
      <c r="T55" s="370">
        <v>7</v>
      </c>
      <c r="U55" s="176">
        <f t="shared" si="1"/>
        <v>0.34860000000000002</v>
      </c>
      <c r="V55" s="175">
        <f t="shared" si="2"/>
        <v>815724</v>
      </c>
      <c r="W55" s="170"/>
      <c r="X55" s="179">
        <v>0.25</v>
      </c>
      <c r="Y55" s="216">
        <f t="shared" si="3"/>
        <v>1.3322000000000001</v>
      </c>
      <c r="Z55" s="216">
        <f t="shared" si="4"/>
        <v>6.6608000000000001</v>
      </c>
      <c r="AA55" s="180">
        <f t="shared" si="5"/>
        <v>15586272</v>
      </c>
      <c r="AB55" s="180"/>
      <c r="AC55" s="180">
        <f t="shared" si="6"/>
        <v>0</v>
      </c>
      <c r="AD55" s="180">
        <f t="shared" si="21"/>
        <v>0</v>
      </c>
      <c r="AE55" s="180">
        <f t="shared" si="8"/>
        <v>15586272</v>
      </c>
      <c r="AF55" s="178">
        <f t="shared" si="9"/>
        <v>1246901.76</v>
      </c>
      <c r="AG55" s="178">
        <f t="shared" si="10"/>
        <v>233794.08</v>
      </c>
      <c r="AH55" s="178">
        <f t="shared" si="11"/>
        <v>155862.72</v>
      </c>
      <c r="AI55" s="178"/>
      <c r="AJ55" s="178">
        <f t="shared" si="12"/>
        <v>1636558.56</v>
      </c>
      <c r="AK55" s="192"/>
      <c r="AL55" s="182">
        <f t="shared" si="13"/>
        <v>0</v>
      </c>
      <c r="AM55" s="182"/>
      <c r="AN55" s="182"/>
      <c r="AO55" s="183">
        <f t="shared" si="20"/>
        <v>5.3286000000000007</v>
      </c>
      <c r="AP55" s="443">
        <v>0.25</v>
      </c>
      <c r="AQ55" s="185">
        <f t="shared" si="15"/>
        <v>1.3322000000000001</v>
      </c>
      <c r="AR55" s="178">
        <f t="shared" si="16"/>
        <v>3117348</v>
      </c>
      <c r="AS55" s="178"/>
      <c r="AT55" s="178">
        <f t="shared" si="17"/>
        <v>17067061</v>
      </c>
      <c r="AU55" s="469">
        <f t="shared" si="18"/>
        <v>42</v>
      </c>
      <c r="AV55" s="186"/>
      <c r="AW55" s="187" t="s">
        <v>704</v>
      </c>
    </row>
    <row r="56" spans="1:51" s="189" customFormat="1" ht="30" customHeight="1" x14ac:dyDescent="0.25">
      <c r="A56" s="168">
        <f>_xlfn.AGGREGATE(4,7,A$13:A55)+1</f>
        <v>43</v>
      </c>
      <c r="B56" s="168" t="str">
        <f>VLOOKUP(D56,[1]LuongBC_T01!$B$9:$C$292,2,FALSE)</f>
        <v>0016100006504005</v>
      </c>
      <c r="C56" s="361" t="s">
        <v>875</v>
      </c>
      <c r="D56" s="169" t="s">
        <v>1175</v>
      </c>
      <c r="E56" s="263" t="s">
        <v>1392</v>
      </c>
      <c r="F56" s="169" t="s">
        <v>550</v>
      </c>
      <c r="G56" s="170"/>
      <c r="H56" s="170" t="s">
        <v>283</v>
      </c>
      <c r="I56" s="170" t="s">
        <v>283</v>
      </c>
      <c r="J56" s="169" t="s">
        <v>215</v>
      </c>
      <c r="K56" s="170" t="str">
        <f>VLOOKUP(D56,[2]T3!$B$2:$D$328,3,FALSE)</f>
        <v>023624194</v>
      </c>
      <c r="L56" s="171" t="s">
        <v>97</v>
      </c>
      <c r="M56" s="171" t="s">
        <v>875</v>
      </c>
      <c r="N56" s="263" t="str">
        <f>VLOOKUP(D56,'[6]Bao cao So GDDT'!$D$14:$S$282,11,FALSE)</f>
        <v>Giảng viên GDNN LT (hạng III)</v>
      </c>
      <c r="O56" s="390" t="s">
        <v>1438</v>
      </c>
      <c r="P56" s="172" t="s">
        <v>692</v>
      </c>
      <c r="Q56" s="173">
        <v>6</v>
      </c>
      <c r="R56" s="174">
        <v>4.9800000000000004</v>
      </c>
      <c r="S56" s="176">
        <f t="shared" si="0"/>
        <v>1.0955999999999999</v>
      </c>
      <c r="T56" s="370"/>
      <c r="U56" s="176">
        <f t="shared" si="1"/>
        <v>0</v>
      </c>
      <c r="V56" s="175">
        <f t="shared" si="2"/>
        <v>0</v>
      </c>
      <c r="W56" s="170"/>
      <c r="X56" s="179">
        <v>0.22</v>
      </c>
      <c r="Y56" s="216">
        <f t="shared" si="3"/>
        <v>1.0955999999999999</v>
      </c>
      <c r="Z56" s="216">
        <f t="shared" si="4"/>
        <v>6.0755999999999997</v>
      </c>
      <c r="AA56" s="180">
        <f t="shared" si="5"/>
        <v>14216904</v>
      </c>
      <c r="AB56" s="180"/>
      <c r="AC56" s="180">
        <f t="shared" si="6"/>
        <v>0</v>
      </c>
      <c r="AD56" s="180">
        <f t="shared" si="21"/>
        <v>0</v>
      </c>
      <c r="AE56" s="180">
        <f t="shared" si="8"/>
        <v>14216904</v>
      </c>
      <c r="AF56" s="178">
        <f t="shared" si="9"/>
        <v>1137352.32</v>
      </c>
      <c r="AG56" s="178">
        <f t="shared" si="10"/>
        <v>213253.56</v>
      </c>
      <c r="AH56" s="178">
        <f t="shared" si="11"/>
        <v>142169.04</v>
      </c>
      <c r="AI56" s="178"/>
      <c r="AJ56" s="178">
        <f t="shared" si="12"/>
        <v>1492774.9200000002</v>
      </c>
      <c r="AK56" s="192"/>
      <c r="AL56" s="182">
        <f t="shared" si="13"/>
        <v>0</v>
      </c>
      <c r="AM56" s="182"/>
      <c r="AN56" s="182"/>
      <c r="AO56" s="183">
        <f t="shared" si="20"/>
        <v>4.9800000000000004</v>
      </c>
      <c r="AP56" s="443">
        <v>0.25</v>
      </c>
      <c r="AQ56" s="185">
        <f t="shared" si="15"/>
        <v>1.2450000000000001</v>
      </c>
      <c r="AR56" s="178">
        <f t="shared" si="16"/>
        <v>2913300</v>
      </c>
      <c r="AS56" s="178"/>
      <c r="AT56" s="178">
        <f t="shared" si="17"/>
        <v>15637429</v>
      </c>
      <c r="AU56" s="469">
        <f t="shared" si="18"/>
        <v>43</v>
      </c>
      <c r="AV56" s="195"/>
      <c r="AW56" s="219" t="s">
        <v>704</v>
      </c>
    </row>
    <row r="57" spans="1:51" s="189" customFormat="1" ht="30" customHeight="1" x14ac:dyDescent="0.25">
      <c r="A57" s="168">
        <f>_xlfn.AGGREGATE(4,7,A$13:A56)+1</f>
        <v>44</v>
      </c>
      <c r="B57" s="168" t="str">
        <f>VLOOKUP(D57,[1]LuongBC_T01!$B$9:$C$292,2,FALSE)</f>
        <v>0016100006596007</v>
      </c>
      <c r="C57" s="361" t="s">
        <v>897</v>
      </c>
      <c r="D57" s="169" t="s">
        <v>1192</v>
      </c>
      <c r="E57" s="263" t="s">
        <v>1392</v>
      </c>
      <c r="F57" s="169" t="s">
        <v>549</v>
      </c>
      <c r="G57" s="170"/>
      <c r="H57" s="170" t="s">
        <v>283</v>
      </c>
      <c r="I57" s="170" t="s">
        <v>283</v>
      </c>
      <c r="J57" s="169" t="s">
        <v>234</v>
      </c>
      <c r="K57" s="170" t="str">
        <f>VLOOKUP(D57,[2]T3!$B$2:$D$328,3,FALSE)</f>
        <v>021710558</v>
      </c>
      <c r="L57" s="171" t="s">
        <v>110</v>
      </c>
      <c r="M57" s="171" t="s">
        <v>897</v>
      </c>
      <c r="N57" s="263" t="str">
        <f>VLOOKUP(D57,'[6]Bao cao So GDDT'!$D$14:$S$282,11,FALSE)</f>
        <v>Giảng viên GDNN LT (hạng III)</v>
      </c>
      <c r="O57" s="390" t="s">
        <v>1438</v>
      </c>
      <c r="P57" s="172" t="s">
        <v>692</v>
      </c>
      <c r="Q57" s="173">
        <v>5</v>
      </c>
      <c r="R57" s="174">
        <v>4.32</v>
      </c>
      <c r="S57" s="176">
        <f t="shared" si="0"/>
        <v>0.86399999999999999</v>
      </c>
      <c r="T57" s="370"/>
      <c r="U57" s="176">
        <f t="shared" si="1"/>
        <v>0</v>
      </c>
      <c r="V57" s="175">
        <f t="shared" si="2"/>
        <v>0</v>
      </c>
      <c r="W57" s="170"/>
      <c r="X57" s="179">
        <v>0.2</v>
      </c>
      <c r="Y57" s="216">
        <f t="shared" si="3"/>
        <v>0.86399999999999999</v>
      </c>
      <c r="Z57" s="216">
        <f t="shared" si="4"/>
        <v>5.1840000000000002</v>
      </c>
      <c r="AA57" s="180">
        <f t="shared" si="5"/>
        <v>12130560</v>
      </c>
      <c r="AB57" s="180"/>
      <c r="AC57" s="180">
        <f t="shared" si="6"/>
        <v>0</v>
      </c>
      <c r="AD57" s="180">
        <f t="shared" si="21"/>
        <v>0</v>
      </c>
      <c r="AE57" s="180">
        <f t="shared" si="8"/>
        <v>12130560</v>
      </c>
      <c r="AF57" s="178">
        <f t="shared" si="9"/>
        <v>970444.80000000005</v>
      </c>
      <c r="AG57" s="178">
        <f t="shared" si="10"/>
        <v>181958.39999999999</v>
      </c>
      <c r="AH57" s="178">
        <f t="shared" si="11"/>
        <v>121305.60000000001</v>
      </c>
      <c r="AI57" s="178"/>
      <c r="AJ57" s="178">
        <f t="shared" si="12"/>
        <v>1273708.8</v>
      </c>
      <c r="AK57" s="192"/>
      <c r="AL57" s="182">
        <f t="shared" si="13"/>
        <v>0</v>
      </c>
      <c r="AM57" s="182"/>
      <c r="AN57" s="182"/>
      <c r="AO57" s="183">
        <f t="shared" si="20"/>
        <v>4.32</v>
      </c>
      <c r="AP57" s="443">
        <v>0.25</v>
      </c>
      <c r="AQ57" s="185">
        <f t="shared" si="15"/>
        <v>1.08</v>
      </c>
      <c r="AR57" s="178">
        <f t="shared" si="16"/>
        <v>2527200</v>
      </c>
      <c r="AS57" s="178"/>
      <c r="AT57" s="178">
        <f t="shared" si="17"/>
        <v>13384051</v>
      </c>
      <c r="AU57" s="469">
        <f t="shared" si="18"/>
        <v>44</v>
      </c>
      <c r="AV57" s="195"/>
      <c r="AW57" s="198" t="s">
        <v>704</v>
      </c>
    </row>
    <row r="58" spans="1:51" s="189" customFormat="1" ht="30" customHeight="1" x14ac:dyDescent="0.25">
      <c r="A58" s="168">
        <f>_xlfn.AGGREGATE(4,7,A$13:A57)+1</f>
        <v>45</v>
      </c>
      <c r="B58" s="168" t="str">
        <f>VLOOKUP(D58,[1]LuongBC_T01!$B$9:$C$292,2,FALSE)</f>
        <v>0016100006595008</v>
      </c>
      <c r="C58" s="361" t="s">
        <v>888</v>
      </c>
      <c r="D58" s="169" t="s">
        <v>740</v>
      </c>
      <c r="E58" s="263" t="s">
        <v>1392</v>
      </c>
      <c r="F58" s="169" t="s">
        <v>549</v>
      </c>
      <c r="G58" s="170"/>
      <c r="H58" s="170" t="s">
        <v>283</v>
      </c>
      <c r="I58" s="170" t="s">
        <v>283</v>
      </c>
      <c r="J58" s="169" t="s">
        <v>228</v>
      </c>
      <c r="K58" s="170" t="str">
        <f>VLOOKUP(D58,[2]T3!$B$2:$D$328,3,FALSE)</f>
        <v>023172993</v>
      </c>
      <c r="L58" s="171" t="s">
        <v>105</v>
      </c>
      <c r="M58" s="171" t="s">
        <v>888</v>
      </c>
      <c r="N58" s="263" t="str">
        <f>VLOOKUP(D58,'[6]Bao cao So GDDT'!$D$14:$S$282,11,FALSE)</f>
        <v>Giảng viên GDNN LT (hạng III)</v>
      </c>
      <c r="O58" s="390" t="s">
        <v>1438</v>
      </c>
      <c r="P58" s="172" t="s">
        <v>692</v>
      </c>
      <c r="Q58" s="173">
        <v>5</v>
      </c>
      <c r="R58" s="174">
        <v>4.6500000000000004</v>
      </c>
      <c r="S58" s="176">
        <f t="shared" si="0"/>
        <v>0.97650000000000003</v>
      </c>
      <c r="T58" s="370"/>
      <c r="U58" s="176">
        <f t="shared" si="1"/>
        <v>0</v>
      </c>
      <c r="V58" s="175">
        <f t="shared" si="2"/>
        <v>0</v>
      </c>
      <c r="W58" s="170"/>
      <c r="X58" s="179">
        <v>0.21</v>
      </c>
      <c r="Y58" s="216">
        <f t="shared" si="3"/>
        <v>0.97650000000000003</v>
      </c>
      <c r="Z58" s="216">
        <f t="shared" si="4"/>
        <v>5.6265000000000001</v>
      </c>
      <c r="AA58" s="180">
        <f t="shared" si="5"/>
        <v>13166010</v>
      </c>
      <c r="AB58" s="180"/>
      <c r="AC58" s="180">
        <f t="shared" si="6"/>
        <v>0</v>
      </c>
      <c r="AD58" s="180">
        <f t="shared" si="21"/>
        <v>0</v>
      </c>
      <c r="AE58" s="180">
        <f t="shared" si="8"/>
        <v>13166010</v>
      </c>
      <c r="AF58" s="178">
        <f t="shared" si="9"/>
        <v>1053280.8</v>
      </c>
      <c r="AG58" s="178">
        <f t="shared" si="10"/>
        <v>197490.15</v>
      </c>
      <c r="AH58" s="178">
        <f t="shared" si="11"/>
        <v>131660.1</v>
      </c>
      <c r="AI58" s="178"/>
      <c r="AJ58" s="178">
        <f t="shared" si="12"/>
        <v>1382431.05</v>
      </c>
      <c r="AK58" s="192"/>
      <c r="AL58" s="182">
        <f t="shared" si="13"/>
        <v>0</v>
      </c>
      <c r="AM58" s="182"/>
      <c r="AN58" s="182"/>
      <c r="AO58" s="183">
        <f t="shared" si="20"/>
        <v>4.6500000000000004</v>
      </c>
      <c r="AP58" s="443">
        <v>0.25</v>
      </c>
      <c r="AQ58" s="185">
        <f t="shared" si="15"/>
        <v>1.1625000000000001</v>
      </c>
      <c r="AR58" s="178">
        <f t="shared" si="16"/>
        <v>2720250</v>
      </c>
      <c r="AS58" s="178"/>
      <c r="AT58" s="178">
        <f t="shared" si="17"/>
        <v>14503829</v>
      </c>
      <c r="AU58" s="469">
        <f t="shared" si="18"/>
        <v>45</v>
      </c>
      <c r="AV58" s="186"/>
      <c r="AW58" s="198" t="s">
        <v>704</v>
      </c>
    </row>
    <row r="59" spans="1:51" s="189" customFormat="1" ht="30" customHeight="1" x14ac:dyDescent="0.25">
      <c r="A59" s="168">
        <f>_xlfn.AGGREGATE(4,7,A$13:A58)+1</f>
        <v>46</v>
      </c>
      <c r="B59" s="168" t="str">
        <f>VLOOKUP(D59,[1]LuongBC_T01!$B$9:$C$292,2,FALSE)</f>
        <v>0016100006529008</v>
      </c>
      <c r="C59" s="361" t="s">
        <v>896</v>
      </c>
      <c r="D59" s="169" t="s">
        <v>1193</v>
      </c>
      <c r="E59" s="263" t="s">
        <v>1392</v>
      </c>
      <c r="F59" s="169" t="s">
        <v>549</v>
      </c>
      <c r="G59" s="170"/>
      <c r="H59" s="170" t="s">
        <v>283</v>
      </c>
      <c r="I59" s="170" t="s">
        <v>283</v>
      </c>
      <c r="J59" s="169" t="s">
        <v>236</v>
      </c>
      <c r="K59" s="170" t="str">
        <f>VLOOKUP(D59,[2]T3!$B$2:$D$328,3,FALSE)</f>
        <v>023205612</v>
      </c>
      <c r="L59" s="171" t="s">
        <v>111</v>
      </c>
      <c r="M59" s="171" t="s">
        <v>896</v>
      </c>
      <c r="N59" s="263" t="str">
        <f>VLOOKUP(D59,'[6]Bao cao So GDDT'!$D$14:$S$282,11,FALSE)</f>
        <v>Giảng viên GDNN LT (hạng III)</v>
      </c>
      <c r="O59" s="390" t="s">
        <v>1438</v>
      </c>
      <c r="P59" s="172" t="s">
        <v>692</v>
      </c>
      <c r="Q59" s="173">
        <v>5</v>
      </c>
      <c r="R59" s="174">
        <v>4.32</v>
      </c>
      <c r="S59" s="176">
        <f t="shared" si="0"/>
        <v>0.86399999999999999</v>
      </c>
      <c r="T59" s="370"/>
      <c r="U59" s="176">
        <f t="shared" si="1"/>
        <v>0</v>
      </c>
      <c r="V59" s="175">
        <f t="shared" si="2"/>
        <v>0</v>
      </c>
      <c r="W59" s="170"/>
      <c r="X59" s="179">
        <v>0.2</v>
      </c>
      <c r="Y59" s="216">
        <f t="shared" si="3"/>
        <v>0.86399999999999999</v>
      </c>
      <c r="Z59" s="216">
        <f t="shared" si="4"/>
        <v>5.1840000000000002</v>
      </c>
      <c r="AA59" s="180">
        <f t="shared" si="5"/>
        <v>12130560</v>
      </c>
      <c r="AB59" s="180"/>
      <c r="AC59" s="180">
        <f t="shared" si="6"/>
        <v>0</v>
      </c>
      <c r="AD59" s="180">
        <f t="shared" si="21"/>
        <v>0</v>
      </c>
      <c r="AE59" s="180">
        <f t="shared" si="8"/>
        <v>12130560</v>
      </c>
      <c r="AF59" s="178">
        <f t="shared" si="9"/>
        <v>970444.80000000005</v>
      </c>
      <c r="AG59" s="178">
        <f t="shared" si="10"/>
        <v>181958.39999999999</v>
      </c>
      <c r="AH59" s="178">
        <f t="shared" si="11"/>
        <v>121305.60000000001</v>
      </c>
      <c r="AI59" s="178"/>
      <c r="AJ59" s="178">
        <f t="shared" si="12"/>
        <v>1273708.8</v>
      </c>
      <c r="AK59" s="192"/>
      <c r="AL59" s="182">
        <f t="shared" si="13"/>
        <v>0</v>
      </c>
      <c r="AM59" s="182"/>
      <c r="AN59" s="182"/>
      <c r="AO59" s="183">
        <f t="shared" si="20"/>
        <v>4.32</v>
      </c>
      <c r="AP59" s="443">
        <v>0.25</v>
      </c>
      <c r="AQ59" s="185">
        <f t="shared" si="15"/>
        <v>1.08</v>
      </c>
      <c r="AR59" s="178">
        <f t="shared" si="16"/>
        <v>2527200</v>
      </c>
      <c r="AS59" s="178"/>
      <c r="AT59" s="178">
        <f t="shared" si="17"/>
        <v>13384051</v>
      </c>
      <c r="AU59" s="469">
        <f t="shared" si="18"/>
        <v>46</v>
      </c>
      <c r="AV59" s="186"/>
      <c r="AW59" s="198" t="s">
        <v>704</v>
      </c>
    </row>
    <row r="60" spans="1:51" s="189" customFormat="1" ht="30" customHeight="1" x14ac:dyDescent="0.25">
      <c r="A60" s="168">
        <f>_xlfn.AGGREGATE(4,7,A$13:A59)+1</f>
        <v>47</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263" t="str">
        <f>VLOOKUP(D60,'[6]Bao cao So GDDT'!$D$14:$S$282,11,FALSE)</f>
        <v>Giảng viên GDNN LT (hạng III)</v>
      </c>
      <c r="O60" s="390" t="s">
        <v>1438</v>
      </c>
      <c r="P60" s="172" t="s">
        <v>692</v>
      </c>
      <c r="Q60" s="173">
        <v>6</v>
      </c>
      <c r="R60" s="174">
        <v>4.6500000000000004</v>
      </c>
      <c r="S60" s="176">
        <f t="shared" si="0"/>
        <v>1.0229999999999999</v>
      </c>
      <c r="T60" s="370"/>
      <c r="U60" s="176">
        <f t="shared" si="1"/>
        <v>0</v>
      </c>
      <c r="V60" s="175">
        <f t="shared" si="2"/>
        <v>0</v>
      </c>
      <c r="W60" s="170"/>
      <c r="X60" s="179">
        <v>0.22</v>
      </c>
      <c r="Y60" s="216">
        <f t="shared" si="3"/>
        <v>1.0229999999999999</v>
      </c>
      <c r="Z60" s="216">
        <f t="shared" si="4"/>
        <v>5.673</v>
      </c>
      <c r="AA60" s="180">
        <f t="shared" si="5"/>
        <v>13274820</v>
      </c>
      <c r="AB60" s="180"/>
      <c r="AC60" s="180">
        <f t="shared" si="6"/>
        <v>0</v>
      </c>
      <c r="AD60" s="180">
        <f t="shared" si="21"/>
        <v>0</v>
      </c>
      <c r="AE60" s="180">
        <f t="shared" si="8"/>
        <v>13274820</v>
      </c>
      <c r="AF60" s="178">
        <f t="shared" si="9"/>
        <v>1061985.6000000001</v>
      </c>
      <c r="AG60" s="178">
        <f t="shared" si="10"/>
        <v>199122.3</v>
      </c>
      <c r="AH60" s="178">
        <f t="shared" si="11"/>
        <v>132748.20000000001</v>
      </c>
      <c r="AI60" s="178"/>
      <c r="AJ60" s="178">
        <f t="shared" si="12"/>
        <v>1393856.1</v>
      </c>
      <c r="AK60" s="192"/>
      <c r="AL60" s="182">
        <f t="shared" si="13"/>
        <v>0</v>
      </c>
      <c r="AM60" s="182"/>
      <c r="AN60" s="182"/>
      <c r="AO60" s="183">
        <f t="shared" si="20"/>
        <v>4.6500000000000004</v>
      </c>
      <c r="AP60" s="443">
        <v>0.25</v>
      </c>
      <c r="AQ60" s="185">
        <f t="shared" si="15"/>
        <v>1.1625000000000001</v>
      </c>
      <c r="AR60" s="178">
        <f t="shared" si="16"/>
        <v>2720250</v>
      </c>
      <c r="AS60" s="178"/>
      <c r="AT60" s="178">
        <f t="shared" si="17"/>
        <v>14601214</v>
      </c>
      <c r="AU60" s="469">
        <f t="shared" si="18"/>
        <v>47</v>
      </c>
      <c r="AV60" s="186"/>
      <c r="AW60" s="186" t="s">
        <v>704</v>
      </c>
    </row>
    <row r="61" spans="1:51" s="189" customFormat="1" ht="31.5" customHeight="1" x14ac:dyDescent="0.25">
      <c r="A61" s="168">
        <f>_xlfn.AGGREGATE(4,7,A$13:A60)+1</f>
        <v>48</v>
      </c>
      <c r="B61" s="168" t="str">
        <f>VLOOKUP(D61,[1]LuongBC_T01!$B$9:$C$292,2,FALSE)</f>
        <v>0016100006644001</v>
      </c>
      <c r="C61" s="361" t="s">
        <v>860</v>
      </c>
      <c r="D61" s="169" t="s">
        <v>1163</v>
      </c>
      <c r="E61" s="263" t="s">
        <v>1392</v>
      </c>
      <c r="F61" s="169" t="s">
        <v>549</v>
      </c>
      <c r="G61" s="170"/>
      <c r="H61" s="170" t="s">
        <v>283</v>
      </c>
      <c r="I61" s="170" t="s">
        <v>283</v>
      </c>
      <c r="J61" s="169" t="s">
        <v>224</v>
      </c>
      <c r="K61" s="170" t="str">
        <f>VLOOKUP(D61,[2]T3!$B$2:$D$328,3,FALSE)</f>
        <v>022228240</v>
      </c>
      <c r="L61" s="171" t="s">
        <v>89</v>
      </c>
      <c r="M61" s="171" t="s">
        <v>860</v>
      </c>
      <c r="N61" s="263" t="str">
        <f>VLOOKUP(D61,'[6]Bao cao So GDDT'!$D$14:$S$282,11,FALSE)</f>
        <v>Giảng viên GDNN LT (hạng III)</v>
      </c>
      <c r="O61" s="390" t="s">
        <v>1438</v>
      </c>
      <c r="P61" s="172" t="s">
        <v>692</v>
      </c>
      <c r="Q61" s="173">
        <v>9</v>
      </c>
      <c r="R61" s="174">
        <v>4.9800000000000004</v>
      </c>
      <c r="S61" s="176">
        <f t="shared" si="0"/>
        <v>2.4382000000000001</v>
      </c>
      <c r="T61" s="370">
        <v>12</v>
      </c>
      <c r="U61" s="176">
        <f t="shared" si="1"/>
        <v>0.59760000000000002</v>
      </c>
      <c r="V61" s="175">
        <f t="shared" si="2"/>
        <v>1398384</v>
      </c>
      <c r="W61" s="170"/>
      <c r="X61" s="179">
        <v>0.33</v>
      </c>
      <c r="Y61" s="216">
        <f t="shared" si="3"/>
        <v>1.8406</v>
      </c>
      <c r="Z61" s="216">
        <f t="shared" si="4"/>
        <v>7.4181999999999997</v>
      </c>
      <c r="AA61" s="180">
        <f t="shared" si="5"/>
        <v>17358588</v>
      </c>
      <c r="AB61" s="180"/>
      <c r="AC61" s="180">
        <f t="shared" si="6"/>
        <v>0</v>
      </c>
      <c r="AD61" s="180">
        <f t="shared" si="21"/>
        <v>0</v>
      </c>
      <c r="AE61" s="180">
        <f t="shared" si="8"/>
        <v>17358588</v>
      </c>
      <c r="AF61" s="178">
        <f t="shared" si="9"/>
        <v>1388687.04</v>
      </c>
      <c r="AG61" s="178">
        <f t="shared" si="10"/>
        <v>260378.81999999998</v>
      </c>
      <c r="AH61" s="178">
        <f t="shared" si="11"/>
        <v>173585.88</v>
      </c>
      <c r="AI61" s="178"/>
      <c r="AJ61" s="178">
        <f t="shared" si="12"/>
        <v>1822651.7400000002</v>
      </c>
      <c r="AK61" s="192"/>
      <c r="AL61" s="182">
        <f t="shared" si="13"/>
        <v>0</v>
      </c>
      <c r="AM61" s="182"/>
      <c r="AN61" s="182"/>
      <c r="AO61" s="183">
        <f t="shared" si="20"/>
        <v>5.5776000000000003</v>
      </c>
      <c r="AP61" s="443">
        <v>0.25</v>
      </c>
      <c r="AQ61" s="185">
        <f t="shared" si="15"/>
        <v>1.3944000000000001</v>
      </c>
      <c r="AR61" s="178">
        <f t="shared" si="16"/>
        <v>3262896</v>
      </c>
      <c r="AS61" s="178"/>
      <c r="AT61" s="178">
        <f t="shared" si="17"/>
        <v>18798832</v>
      </c>
      <c r="AU61" s="469">
        <f t="shared" si="18"/>
        <v>48</v>
      </c>
      <c r="AV61" s="195"/>
      <c r="AW61" s="198" t="s">
        <v>704</v>
      </c>
    </row>
    <row r="62" spans="1:51" s="191" customFormat="1" ht="28.5" customHeight="1" x14ac:dyDescent="0.25">
      <c r="A62" s="168">
        <f>_xlfn.AGGREGATE(4,7,A$13:A61)+1</f>
        <v>49</v>
      </c>
      <c r="B62" s="168" t="str">
        <f>VLOOKUP(D62,[1]LuongBC_T01!$B$9:$C$292,2,FALSE)</f>
        <v>0016100006531002</v>
      </c>
      <c r="C62" s="361" t="s">
        <v>864</v>
      </c>
      <c r="D62" s="169" t="s">
        <v>1165</v>
      </c>
      <c r="E62" s="263" t="s">
        <v>1376</v>
      </c>
      <c r="F62" s="169" t="s">
        <v>549</v>
      </c>
      <c r="G62" s="170"/>
      <c r="H62" s="170" t="s">
        <v>283</v>
      </c>
      <c r="I62" s="170" t="s">
        <v>282</v>
      </c>
      <c r="J62" s="169" t="s">
        <v>194</v>
      </c>
      <c r="K62" s="168" t="s">
        <v>1345</v>
      </c>
      <c r="L62" s="171" t="s">
        <v>78</v>
      </c>
      <c r="M62" s="171" t="s">
        <v>864</v>
      </c>
      <c r="N62" s="263" t="str">
        <f>VLOOKUP(D62,'[6]Bao cao So GDDT'!$D$14:$S$282,11,FALSE)</f>
        <v>Giảng viên GDNN LT (hạng III)</v>
      </c>
      <c r="O62" s="390" t="s">
        <v>1438</v>
      </c>
      <c r="P62" s="172" t="s">
        <v>692</v>
      </c>
      <c r="Q62" s="173">
        <v>9</v>
      </c>
      <c r="R62" s="174">
        <v>4.9800000000000004</v>
      </c>
      <c r="S62" s="176">
        <f t="shared" si="0"/>
        <v>1.8594999999999999</v>
      </c>
      <c r="T62" s="370">
        <v>9</v>
      </c>
      <c r="U62" s="176">
        <f t="shared" si="1"/>
        <v>0.44819999999999999</v>
      </c>
      <c r="V62" s="175">
        <f t="shared" si="2"/>
        <v>1048788.0000000002</v>
      </c>
      <c r="W62" s="170"/>
      <c r="X62" s="179">
        <v>0.26</v>
      </c>
      <c r="Y62" s="216">
        <f t="shared" si="3"/>
        <v>1.4113</v>
      </c>
      <c r="Z62" s="216">
        <f t="shared" si="4"/>
        <v>6.8395000000000001</v>
      </c>
      <c r="AA62" s="180">
        <f t="shared" si="5"/>
        <v>16004430</v>
      </c>
      <c r="AB62" s="180"/>
      <c r="AC62" s="180">
        <f t="shared" si="6"/>
        <v>0</v>
      </c>
      <c r="AD62" s="180">
        <f t="shared" si="21"/>
        <v>0</v>
      </c>
      <c r="AE62" s="180">
        <f t="shared" si="8"/>
        <v>16004430</v>
      </c>
      <c r="AF62" s="178">
        <f t="shared" si="9"/>
        <v>1280354.4000000001</v>
      </c>
      <c r="AG62" s="178">
        <f t="shared" si="10"/>
        <v>240066.44999999998</v>
      </c>
      <c r="AH62" s="178">
        <f t="shared" si="11"/>
        <v>160044.30000000002</v>
      </c>
      <c r="AI62" s="178"/>
      <c r="AJ62" s="178">
        <f t="shared" si="12"/>
        <v>1680465.1500000001</v>
      </c>
      <c r="AK62" s="192"/>
      <c r="AL62" s="182">
        <f t="shared" si="13"/>
        <v>0</v>
      </c>
      <c r="AM62" s="182"/>
      <c r="AN62" s="182"/>
      <c r="AO62" s="183">
        <f t="shared" si="20"/>
        <v>5.4282000000000004</v>
      </c>
      <c r="AP62" s="443">
        <v>0.25</v>
      </c>
      <c r="AQ62" s="185">
        <f t="shared" si="15"/>
        <v>1.3571</v>
      </c>
      <c r="AR62" s="178">
        <f t="shared" si="16"/>
        <v>3175614</v>
      </c>
      <c r="AS62" s="178"/>
      <c r="AT62" s="178">
        <f t="shared" si="17"/>
        <v>17499579</v>
      </c>
      <c r="AU62" s="469">
        <f t="shared" si="18"/>
        <v>49</v>
      </c>
      <c r="AV62" s="195"/>
      <c r="AW62" s="187" t="s">
        <v>704</v>
      </c>
    </row>
    <row r="63" spans="1:51" s="189" customFormat="1" ht="33" customHeight="1" x14ac:dyDescent="0.25">
      <c r="A63" s="168">
        <f>_xlfn.AGGREGATE(4,7,A$13:A62)+1</f>
        <v>50</v>
      </c>
      <c r="B63" s="168" t="str">
        <f>VLOOKUP(D63,[1]LuongBC_T01!$B$9:$C$292,2,FALSE)</f>
        <v>0016100006582006</v>
      </c>
      <c r="C63" s="361" t="s">
        <v>887</v>
      </c>
      <c r="D63" s="169" t="s">
        <v>1184</v>
      </c>
      <c r="E63" s="263" t="s">
        <v>1376</v>
      </c>
      <c r="F63" s="169" t="s">
        <v>549</v>
      </c>
      <c r="G63" s="170" t="s">
        <v>25</v>
      </c>
      <c r="H63" s="170" t="s">
        <v>283</v>
      </c>
      <c r="I63" s="170" t="s">
        <v>283</v>
      </c>
      <c r="J63" s="169" t="s">
        <v>222</v>
      </c>
      <c r="K63" s="170" t="str">
        <f>VLOOKUP(D63,[2]T3!$B$2:$D$328,3,FALSE)</f>
        <v>023273100</v>
      </c>
      <c r="L63" s="171" t="s">
        <v>102</v>
      </c>
      <c r="M63" s="171" t="s">
        <v>887</v>
      </c>
      <c r="N63" s="263" t="str">
        <f>VLOOKUP(D63,'[6]Bao cao So GDDT'!$D$14:$S$282,11,FALSE)</f>
        <v>Giảng viên GDNN LT (hạng III)</v>
      </c>
      <c r="O63" s="390" t="s">
        <v>1438</v>
      </c>
      <c r="P63" s="172" t="s">
        <v>692</v>
      </c>
      <c r="Q63" s="173">
        <v>5</v>
      </c>
      <c r="R63" s="174">
        <v>4.6500000000000004</v>
      </c>
      <c r="S63" s="176">
        <f t="shared" si="0"/>
        <v>0.97650000000000003</v>
      </c>
      <c r="T63" s="370"/>
      <c r="U63" s="176">
        <f t="shared" si="1"/>
        <v>0</v>
      </c>
      <c r="V63" s="175">
        <f t="shared" si="2"/>
        <v>0</v>
      </c>
      <c r="W63" s="170"/>
      <c r="X63" s="179">
        <v>0.21</v>
      </c>
      <c r="Y63" s="216">
        <f t="shared" si="3"/>
        <v>0.97650000000000003</v>
      </c>
      <c r="Z63" s="216">
        <f t="shared" si="4"/>
        <v>5.6265000000000001</v>
      </c>
      <c r="AA63" s="180">
        <f t="shared" si="5"/>
        <v>13166010</v>
      </c>
      <c r="AB63" s="180"/>
      <c r="AC63" s="180">
        <f t="shared" si="6"/>
        <v>0</v>
      </c>
      <c r="AD63" s="180">
        <f t="shared" si="21"/>
        <v>0</v>
      </c>
      <c r="AE63" s="180">
        <f t="shared" si="8"/>
        <v>13166010</v>
      </c>
      <c r="AF63" s="178">
        <f t="shared" si="9"/>
        <v>1053280.8</v>
      </c>
      <c r="AG63" s="178">
        <f t="shared" si="10"/>
        <v>197490.15</v>
      </c>
      <c r="AH63" s="178">
        <f t="shared" si="11"/>
        <v>131660.1</v>
      </c>
      <c r="AI63" s="178"/>
      <c r="AJ63" s="178">
        <f t="shared" si="12"/>
        <v>1382431.05</v>
      </c>
      <c r="AK63" s="192"/>
      <c r="AL63" s="182">
        <f t="shared" si="13"/>
        <v>0</v>
      </c>
      <c r="AM63" s="182"/>
      <c r="AN63" s="182"/>
      <c r="AO63" s="183">
        <f t="shared" si="20"/>
        <v>4.6500000000000004</v>
      </c>
      <c r="AP63" s="443">
        <v>0.25</v>
      </c>
      <c r="AQ63" s="185">
        <f t="shared" si="15"/>
        <v>1.1625000000000001</v>
      </c>
      <c r="AR63" s="178">
        <f t="shared" si="16"/>
        <v>2720250</v>
      </c>
      <c r="AS63" s="178"/>
      <c r="AT63" s="178">
        <f t="shared" si="17"/>
        <v>14503829</v>
      </c>
      <c r="AU63" s="469">
        <f t="shared" si="18"/>
        <v>50</v>
      </c>
      <c r="AV63" s="186"/>
      <c r="AW63" s="198" t="s">
        <v>704</v>
      </c>
    </row>
    <row r="64" spans="1:51" s="189" customFormat="1" ht="30" customHeight="1" x14ac:dyDescent="0.25">
      <c r="A64" s="168">
        <f>_xlfn.AGGREGATE(4,7,A$13:A63)+1</f>
        <v>51</v>
      </c>
      <c r="B64" s="168" t="str">
        <f>VLOOKUP(D64,[1]LuongBC_T01!$B$9:$C$292,2,FALSE)</f>
        <v>0016100006583002</v>
      </c>
      <c r="C64" s="361" t="s">
        <v>878</v>
      </c>
      <c r="D64" s="169" t="s">
        <v>42</v>
      </c>
      <c r="E64" s="263" t="s">
        <v>1392</v>
      </c>
      <c r="F64" s="169" t="s">
        <v>549</v>
      </c>
      <c r="G64" s="170" t="s">
        <v>25</v>
      </c>
      <c r="H64" s="170" t="s">
        <v>283</v>
      </c>
      <c r="I64" s="170" t="s">
        <v>283</v>
      </c>
      <c r="J64" s="169" t="s">
        <v>223</v>
      </c>
      <c r="K64" s="170" t="str">
        <f>VLOOKUP(D64,[2]T3!$B$2:$D$328,3,FALSE)</f>
        <v>023179583</v>
      </c>
      <c r="L64" s="171" t="s">
        <v>103</v>
      </c>
      <c r="M64" s="171" t="s">
        <v>878</v>
      </c>
      <c r="N64" s="263" t="str">
        <f>VLOOKUP(D64,'[6]Bao cao So GDDT'!$D$14:$S$282,11,FALSE)</f>
        <v>Giảng viên GDNN LT (hạng III)</v>
      </c>
      <c r="O64" s="390" t="s">
        <v>1438</v>
      </c>
      <c r="P64" s="172" t="s">
        <v>692</v>
      </c>
      <c r="Q64" s="173">
        <v>5</v>
      </c>
      <c r="R64" s="174">
        <v>4.6500000000000004</v>
      </c>
      <c r="S64" s="176">
        <f t="shared" si="0"/>
        <v>0.97650000000000003</v>
      </c>
      <c r="T64" s="370"/>
      <c r="U64" s="176">
        <f t="shared" si="1"/>
        <v>0</v>
      </c>
      <c r="V64" s="175">
        <f t="shared" si="2"/>
        <v>0</v>
      </c>
      <c r="W64" s="170"/>
      <c r="X64" s="179">
        <v>0.21</v>
      </c>
      <c r="Y64" s="216">
        <f t="shared" si="3"/>
        <v>0.97650000000000003</v>
      </c>
      <c r="Z64" s="216">
        <f t="shared" si="4"/>
        <v>5.6265000000000001</v>
      </c>
      <c r="AA64" s="180">
        <f t="shared" si="5"/>
        <v>13166010</v>
      </c>
      <c r="AB64" s="180"/>
      <c r="AC64" s="180">
        <f t="shared" si="6"/>
        <v>0</v>
      </c>
      <c r="AD64" s="180">
        <f t="shared" si="21"/>
        <v>0</v>
      </c>
      <c r="AE64" s="180">
        <f t="shared" si="8"/>
        <v>13166010</v>
      </c>
      <c r="AF64" s="178">
        <f t="shared" si="9"/>
        <v>1053280.8</v>
      </c>
      <c r="AG64" s="178">
        <f t="shared" si="10"/>
        <v>197490.15</v>
      </c>
      <c r="AH64" s="178">
        <f t="shared" si="11"/>
        <v>131660.1</v>
      </c>
      <c r="AI64" s="178"/>
      <c r="AJ64" s="178">
        <f t="shared" si="12"/>
        <v>1382431.05</v>
      </c>
      <c r="AK64" s="192"/>
      <c r="AL64" s="182">
        <f t="shared" si="13"/>
        <v>0</v>
      </c>
      <c r="AM64" s="182"/>
      <c r="AN64" s="182"/>
      <c r="AO64" s="183">
        <f t="shared" si="20"/>
        <v>4.6500000000000004</v>
      </c>
      <c r="AP64" s="443">
        <v>0.25</v>
      </c>
      <c r="AQ64" s="185">
        <f t="shared" si="15"/>
        <v>1.1625000000000001</v>
      </c>
      <c r="AR64" s="178">
        <f t="shared" si="16"/>
        <v>2720250</v>
      </c>
      <c r="AS64" s="178"/>
      <c r="AT64" s="178">
        <f t="shared" si="17"/>
        <v>14503829</v>
      </c>
      <c r="AU64" s="469">
        <f t="shared" si="18"/>
        <v>51</v>
      </c>
      <c r="AV64" s="186"/>
      <c r="AW64" s="187" t="s">
        <v>704</v>
      </c>
    </row>
    <row r="65" spans="1:59" s="191" customFormat="1" ht="30.75" customHeight="1" x14ac:dyDescent="0.25">
      <c r="A65" s="168">
        <f>_xlfn.AGGREGATE(4,7,A$13:A64)+1</f>
        <v>52</v>
      </c>
      <c r="B65" s="168" t="str">
        <f>VLOOKUP(D65,[1]LuongBC_T01!$B$9:$C$292,2,FALSE)</f>
        <v>0016100006642009</v>
      </c>
      <c r="C65" s="361" t="s">
        <v>889</v>
      </c>
      <c r="D65" s="169" t="s">
        <v>1185</v>
      </c>
      <c r="E65" s="263" t="s">
        <v>1376</v>
      </c>
      <c r="F65" s="169" t="s">
        <v>549</v>
      </c>
      <c r="G65" s="170" t="s">
        <v>25</v>
      </c>
      <c r="H65" s="170" t="s">
        <v>283</v>
      </c>
      <c r="I65" s="170" t="s">
        <v>283</v>
      </c>
      <c r="J65" s="169" t="s">
        <v>227</v>
      </c>
      <c r="K65" s="170" t="str">
        <f>VLOOKUP(D65,[2]T3!$B$2:$D$328,3,FALSE)</f>
        <v>023070412</v>
      </c>
      <c r="L65" s="171" t="s">
        <v>104</v>
      </c>
      <c r="M65" s="171" t="s">
        <v>889</v>
      </c>
      <c r="N65" s="263" t="str">
        <f>VLOOKUP(D65,'[6]Bao cao So GDDT'!$D$14:$S$282,11,FALSE)</f>
        <v>Giảng viên GDNN LT (hạng III)</v>
      </c>
      <c r="O65" s="390" t="s">
        <v>1438</v>
      </c>
      <c r="P65" s="172" t="s">
        <v>692</v>
      </c>
      <c r="Q65" s="173">
        <v>6</v>
      </c>
      <c r="R65" s="174">
        <v>4.6500000000000004</v>
      </c>
      <c r="S65" s="176">
        <f t="shared" si="0"/>
        <v>0.93</v>
      </c>
      <c r="T65" s="370"/>
      <c r="U65" s="176">
        <f t="shared" si="1"/>
        <v>0</v>
      </c>
      <c r="V65" s="175">
        <f t="shared" si="2"/>
        <v>0</v>
      </c>
      <c r="W65" s="200"/>
      <c r="X65" s="179">
        <v>0.2</v>
      </c>
      <c r="Y65" s="216">
        <f t="shared" si="3"/>
        <v>0.93</v>
      </c>
      <c r="Z65" s="216">
        <f t="shared" si="4"/>
        <v>5.58</v>
      </c>
      <c r="AA65" s="180">
        <f t="shared" si="5"/>
        <v>13057200</v>
      </c>
      <c r="AB65" s="180"/>
      <c r="AC65" s="180">
        <f t="shared" si="6"/>
        <v>0</v>
      </c>
      <c r="AD65" s="180">
        <f t="shared" si="21"/>
        <v>0</v>
      </c>
      <c r="AE65" s="180">
        <f t="shared" si="8"/>
        <v>13057200</v>
      </c>
      <c r="AF65" s="178">
        <f t="shared" si="9"/>
        <v>1044576</v>
      </c>
      <c r="AG65" s="178">
        <f t="shared" si="10"/>
        <v>195858</v>
      </c>
      <c r="AH65" s="178">
        <f t="shared" si="11"/>
        <v>130572</v>
      </c>
      <c r="AI65" s="178"/>
      <c r="AJ65" s="178">
        <f t="shared" si="12"/>
        <v>1371006</v>
      </c>
      <c r="AK65" s="181"/>
      <c r="AL65" s="182">
        <f t="shared" si="13"/>
        <v>0</v>
      </c>
      <c r="AM65" s="182"/>
      <c r="AN65" s="182"/>
      <c r="AO65" s="183">
        <f t="shared" si="20"/>
        <v>4.6500000000000004</v>
      </c>
      <c r="AP65" s="443">
        <v>0.25</v>
      </c>
      <c r="AQ65" s="185">
        <f t="shared" si="15"/>
        <v>1.1625000000000001</v>
      </c>
      <c r="AR65" s="178">
        <f t="shared" si="16"/>
        <v>2720250</v>
      </c>
      <c r="AS65" s="178"/>
      <c r="AT65" s="178">
        <f t="shared" si="17"/>
        <v>14406444</v>
      </c>
      <c r="AU65" s="469">
        <f t="shared" si="18"/>
        <v>52</v>
      </c>
      <c r="AV65" s="195"/>
      <c r="AW65" s="187" t="s">
        <v>704</v>
      </c>
    </row>
    <row r="66" spans="1:59" s="189" customFormat="1" ht="30" customHeight="1" x14ac:dyDescent="0.25">
      <c r="A66" s="168">
        <f>_xlfn.AGGREGATE(4,7,A$13:A65)+1</f>
        <v>53</v>
      </c>
      <c r="B66" s="168" t="str">
        <f>VLOOKUP(D66,[1]LuongBC_T01!$B$9:$C$292,2,FALSE)</f>
        <v>0016100006609001</v>
      </c>
      <c r="C66" s="361" t="s">
        <v>894</v>
      </c>
      <c r="D66" s="169" t="s">
        <v>1190</v>
      </c>
      <c r="E66" s="263" t="s">
        <v>1392</v>
      </c>
      <c r="F66" s="169" t="s">
        <v>549</v>
      </c>
      <c r="G66" s="170" t="s">
        <v>25</v>
      </c>
      <c r="H66" s="170" t="s">
        <v>283</v>
      </c>
      <c r="I66" s="170" t="s">
        <v>283</v>
      </c>
      <c r="J66" s="169" t="s">
        <v>231</v>
      </c>
      <c r="K66" s="170" t="str">
        <f>VLOOKUP(D66,[2]T3!$B$2:$D$328,3,FALSE)</f>
        <v>025602565</v>
      </c>
      <c r="L66" s="171" t="s">
        <v>107</v>
      </c>
      <c r="M66" s="171" t="s">
        <v>894</v>
      </c>
      <c r="N66" s="263" t="str">
        <f>VLOOKUP(D66,'[6]Bao cao So GDDT'!$D$14:$S$282,11,FALSE)</f>
        <v>Giảng viên GDNN LT (hạng III)</v>
      </c>
      <c r="O66" s="390" t="s">
        <v>1438</v>
      </c>
      <c r="P66" s="172" t="s">
        <v>692</v>
      </c>
      <c r="Q66" s="173">
        <v>5</v>
      </c>
      <c r="R66" s="174">
        <v>4.6500000000000004</v>
      </c>
      <c r="S66" s="176">
        <f t="shared" si="0"/>
        <v>0.93</v>
      </c>
      <c r="T66" s="370"/>
      <c r="U66" s="176">
        <f t="shared" si="1"/>
        <v>0</v>
      </c>
      <c r="V66" s="175">
        <f t="shared" si="2"/>
        <v>0</v>
      </c>
      <c r="W66" s="170"/>
      <c r="X66" s="179">
        <v>0.2</v>
      </c>
      <c r="Y66" s="216">
        <f t="shared" si="3"/>
        <v>0.93</v>
      </c>
      <c r="Z66" s="216">
        <f t="shared" si="4"/>
        <v>5.58</v>
      </c>
      <c r="AA66" s="180">
        <f t="shared" si="5"/>
        <v>13057200</v>
      </c>
      <c r="AB66" s="180"/>
      <c r="AC66" s="180">
        <f t="shared" si="6"/>
        <v>0</v>
      </c>
      <c r="AD66" s="180">
        <f t="shared" si="21"/>
        <v>0</v>
      </c>
      <c r="AE66" s="180">
        <f t="shared" si="8"/>
        <v>13057200</v>
      </c>
      <c r="AF66" s="178">
        <f t="shared" si="9"/>
        <v>1044576</v>
      </c>
      <c r="AG66" s="178">
        <f t="shared" si="10"/>
        <v>195858</v>
      </c>
      <c r="AH66" s="178">
        <f t="shared" si="11"/>
        <v>130572</v>
      </c>
      <c r="AI66" s="178"/>
      <c r="AJ66" s="178">
        <f t="shared" si="12"/>
        <v>1371006</v>
      </c>
      <c r="AK66" s="192"/>
      <c r="AL66" s="182">
        <f t="shared" si="13"/>
        <v>0</v>
      </c>
      <c r="AM66" s="182"/>
      <c r="AN66" s="182"/>
      <c r="AO66" s="183">
        <f t="shared" si="20"/>
        <v>4.6500000000000004</v>
      </c>
      <c r="AP66" s="443">
        <v>0.25</v>
      </c>
      <c r="AQ66" s="185">
        <f t="shared" si="15"/>
        <v>1.1625000000000001</v>
      </c>
      <c r="AR66" s="178">
        <f t="shared" si="16"/>
        <v>2720250</v>
      </c>
      <c r="AS66" s="178"/>
      <c r="AT66" s="178">
        <f t="shared" si="17"/>
        <v>14406444</v>
      </c>
      <c r="AU66" s="469">
        <f t="shared" si="18"/>
        <v>53</v>
      </c>
      <c r="AV66" s="186"/>
      <c r="AW66" s="198" t="s">
        <v>704</v>
      </c>
    </row>
    <row r="67" spans="1:59" s="189" customFormat="1" ht="30" customHeight="1" x14ac:dyDescent="0.25">
      <c r="A67" s="168">
        <f>_xlfn.AGGREGATE(4,7,A$13:A66)+1</f>
        <v>54</v>
      </c>
      <c r="B67" s="168" t="str">
        <f>VLOOKUP(D67,[1]LuongBC_T01!$B$9:$C$292,2,FALSE)</f>
        <v>0016100006503009</v>
      </c>
      <c r="C67" s="361" t="s">
        <v>893</v>
      </c>
      <c r="D67" s="169" t="s">
        <v>1189</v>
      </c>
      <c r="E67" s="263" t="s">
        <v>1392</v>
      </c>
      <c r="F67" s="169" t="s">
        <v>549</v>
      </c>
      <c r="G67" s="170"/>
      <c r="H67" s="170" t="s">
        <v>283</v>
      </c>
      <c r="I67" s="170" t="s">
        <v>282</v>
      </c>
      <c r="J67" s="169" t="s">
        <v>203</v>
      </c>
      <c r="K67" s="170" t="str">
        <f>VLOOKUP(D67,[2]T3!$B$2:$D$328,3,FALSE)</f>
        <v>022765460</v>
      </c>
      <c r="L67" s="171" t="s">
        <v>87</v>
      </c>
      <c r="M67" s="171" t="s">
        <v>893</v>
      </c>
      <c r="N67" s="263" t="str">
        <f>VLOOKUP(D67,'[6]Bao cao So GDDT'!$D$14:$S$282,11,FALSE)</f>
        <v>Giảng viên GDNN LT (hạng III)</v>
      </c>
      <c r="O67" s="390" t="s">
        <v>1438</v>
      </c>
      <c r="P67" s="172" t="s">
        <v>692</v>
      </c>
      <c r="Q67" s="173">
        <v>5</v>
      </c>
      <c r="R67" s="174">
        <v>4.6500000000000004</v>
      </c>
      <c r="S67" s="176">
        <f t="shared" si="0"/>
        <v>0.93</v>
      </c>
      <c r="T67" s="370"/>
      <c r="U67" s="176">
        <f t="shared" si="1"/>
        <v>0</v>
      </c>
      <c r="V67" s="175">
        <f t="shared" si="2"/>
        <v>0</v>
      </c>
      <c r="W67" s="170"/>
      <c r="X67" s="179">
        <v>0.2</v>
      </c>
      <c r="Y67" s="216">
        <f t="shared" si="3"/>
        <v>0.93</v>
      </c>
      <c r="Z67" s="216">
        <f t="shared" si="4"/>
        <v>5.58</v>
      </c>
      <c r="AA67" s="180">
        <f t="shared" si="5"/>
        <v>13057200</v>
      </c>
      <c r="AB67" s="180"/>
      <c r="AC67" s="180">
        <f t="shared" si="6"/>
        <v>0</v>
      </c>
      <c r="AD67" s="180">
        <f t="shared" si="21"/>
        <v>0</v>
      </c>
      <c r="AE67" s="180">
        <f t="shared" si="8"/>
        <v>13057200</v>
      </c>
      <c r="AF67" s="178">
        <f t="shared" si="9"/>
        <v>1044576</v>
      </c>
      <c r="AG67" s="178">
        <f t="shared" si="10"/>
        <v>195858</v>
      </c>
      <c r="AH67" s="178">
        <f t="shared" si="11"/>
        <v>130572</v>
      </c>
      <c r="AI67" s="178"/>
      <c r="AJ67" s="178">
        <f t="shared" si="12"/>
        <v>1371006</v>
      </c>
      <c r="AK67" s="192"/>
      <c r="AL67" s="182">
        <f t="shared" si="13"/>
        <v>0</v>
      </c>
      <c r="AM67" s="182"/>
      <c r="AN67" s="182"/>
      <c r="AO67" s="183">
        <f t="shared" si="20"/>
        <v>4.6500000000000004</v>
      </c>
      <c r="AP67" s="443">
        <v>0.25</v>
      </c>
      <c r="AQ67" s="185">
        <f t="shared" si="15"/>
        <v>1.1625000000000001</v>
      </c>
      <c r="AR67" s="178">
        <f t="shared" si="16"/>
        <v>2720250</v>
      </c>
      <c r="AS67" s="178"/>
      <c r="AT67" s="178">
        <f t="shared" si="17"/>
        <v>14406444</v>
      </c>
      <c r="AU67" s="469">
        <f t="shared" si="18"/>
        <v>54</v>
      </c>
      <c r="AV67" s="186"/>
      <c r="AW67" s="187" t="s">
        <v>704</v>
      </c>
    </row>
    <row r="68" spans="1:59" s="189" customFormat="1" ht="30" customHeight="1" x14ac:dyDescent="0.25">
      <c r="A68" s="168">
        <f>_xlfn.AGGREGATE(4,7,A$13:A67)+1</f>
        <v>55</v>
      </c>
      <c r="B68" s="168" t="str">
        <f>VLOOKUP(D68,[1]LuongBC_T01!$B$9:$C$292,2,FALSE)</f>
        <v>0016100006641002</v>
      </c>
      <c r="C68" s="361" t="s">
        <v>895</v>
      </c>
      <c r="D68" s="169" t="s">
        <v>1191</v>
      </c>
      <c r="E68" s="263" t="s">
        <v>1392</v>
      </c>
      <c r="F68" s="169" t="s">
        <v>549</v>
      </c>
      <c r="G68" s="170" t="s">
        <v>25</v>
      </c>
      <c r="H68" s="170" t="s">
        <v>283</v>
      </c>
      <c r="I68" s="170" t="s">
        <v>283</v>
      </c>
      <c r="J68" s="169" t="s">
        <v>233</v>
      </c>
      <c r="K68" s="170" t="str">
        <f>VLOOKUP(D68,[2]T3!$B$2:$D$328,3,FALSE)</f>
        <v>024346476</v>
      </c>
      <c r="L68" s="171" t="s">
        <v>109</v>
      </c>
      <c r="M68" s="171" t="s">
        <v>895</v>
      </c>
      <c r="N68" s="263" t="str">
        <f>VLOOKUP(D68,'[6]Bao cao So GDDT'!$D$14:$S$282,11,FALSE)</f>
        <v>Giảng viên GDNN LT (hạng III)</v>
      </c>
      <c r="O68" s="390" t="s">
        <v>1438</v>
      </c>
      <c r="P68" s="172" t="s">
        <v>692</v>
      </c>
      <c r="Q68" s="173">
        <v>5</v>
      </c>
      <c r="R68" s="174">
        <v>4.6500000000000004</v>
      </c>
      <c r="S68" s="176">
        <f t="shared" si="0"/>
        <v>0.93</v>
      </c>
      <c r="T68" s="370"/>
      <c r="U68" s="176">
        <f t="shared" si="1"/>
        <v>0</v>
      </c>
      <c r="V68" s="175">
        <f t="shared" si="2"/>
        <v>0</v>
      </c>
      <c r="W68" s="170"/>
      <c r="X68" s="179">
        <v>0.2</v>
      </c>
      <c r="Y68" s="216">
        <f t="shared" si="3"/>
        <v>0.93</v>
      </c>
      <c r="Z68" s="216">
        <f t="shared" si="4"/>
        <v>5.58</v>
      </c>
      <c r="AA68" s="180">
        <f t="shared" si="5"/>
        <v>13057200</v>
      </c>
      <c r="AB68" s="180"/>
      <c r="AC68" s="180">
        <f t="shared" si="6"/>
        <v>0</v>
      </c>
      <c r="AD68" s="180">
        <f t="shared" si="21"/>
        <v>0</v>
      </c>
      <c r="AE68" s="180">
        <f t="shared" si="8"/>
        <v>13057200</v>
      </c>
      <c r="AF68" s="178">
        <f t="shared" si="9"/>
        <v>1044576</v>
      </c>
      <c r="AG68" s="178">
        <f t="shared" si="10"/>
        <v>195858</v>
      </c>
      <c r="AH68" s="178">
        <f t="shared" si="11"/>
        <v>130572</v>
      </c>
      <c r="AI68" s="178"/>
      <c r="AJ68" s="178">
        <f t="shared" si="12"/>
        <v>1371006</v>
      </c>
      <c r="AK68" s="192"/>
      <c r="AL68" s="182">
        <f t="shared" si="13"/>
        <v>0</v>
      </c>
      <c r="AM68" s="182"/>
      <c r="AN68" s="182"/>
      <c r="AO68" s="183">
        <f t="shared" si="20"/>
        <v>4.6500000000000004</v>
      </c>
      <c r="AP68" s="443">
        <v>0.25</v>
      </c>
      <c r="AQ68" s="185">
        <f t="shared" si="15"/>
        <v>1.1625000000000001</v>
      </c>
      <c r="AR68" s="178">
        <f t="shared" si="16"/>
        <v>2720250</v>
      </c>
      <c r="AS68" s="178"/>
      <c r="AT68" s="178">
        <f t="shared" si="17"/>
        <v>14406444</v>
      </c>
      <c r="AU68" s="469">
        <f t="shared" si="18"/>
        <v>55</v>
      </c>
      <c r="AV68" s="186"/>
      <c r="AW68" s="198" t="s">
        <v>704</v>
      </c>
    </row>
    <row r="69" spans="1:59" s="189" customFormat="1" ht="29.25" customHeight="1" x14ac:dyDescent="0.25">
      <c r="A69" s="168">
        <f>_xlfn.AGGREGATE(4,7,A$13:A68)+1</f>
        <v>56</v>
      </c>
      <c r="B69" s="168" t="str">
        <f>VLOOKUP(D69,[1]LuongBC_T01!$B$9:$C$292,2,FALSE)</f>
        <v>0016100006694009</v>
      </c>
      <c r="C69" s="361" t="s">
        <v>850</v>
      </c>
      <c r="D69" s="169" t="s">
        <v>1150</v>
      </c>
      <c r="E69" s="263" t="s">
        <v>1469</v>
      </c>
      <c r="F69" s="169" t="s">
        <v>549</v>
      </c>
      <c r="G69" s="170"/>
      <c r="H69" s="170" t="s">
        <v>283</v>
      </c>
      <c r="I69" s="170" t="s">
        <v>281</v>
      </c>
      <c r="J69" s="169" t="s">
        <v>192</v>
      </c>
      <c r="K69" s="170" t="str">
        <f>VLOOKUP(D69,[2]T3!$B$2:$D$328,3,FALSE)</f>
        <v>079079003245</v>
      </c>
      <c r="L69" s="171" t="s">
        <v>83</v>
      </c>
      <c r="M69" s="171" t="s">
        <v>850</v>
      </c>
      <c r="N69" s="263" t="str">
        <f>VLOOKUP(D69,'[6]Bao cao So GDDT'!$D$14:$S$282,11,FALSE)</f>
        <v>Giảng viên GDNN LT (hạng III)</v>
      </c>
      <c r="O69" s="390" t="s">
        <v>1438</v>
      </c>
      <c r="P69" s="172" t="s">
        <v>692</v>
      </c>
      <c r="Q69" s="173">
        <v>6</v>
      </c>
      <c r="R69" s="174">
        <v>4.9800000000000004</v>
      </c>
      <c r="S69" s="176">
        <f t="shared" si="0"/>
        <v>1.4693000000000001</v>
      </c>
      <c r="T69" s="370"/>
      <c r="U69" s="176">
        <f t="shared" si="1"/>
        <v>0</v>
      </c>
      <c r="V69" s="175">
        <f t="shared" si="2"/>
        <v>0</v>
      </c>
      <c r="W69" s="170">
        <v>0.35</v>
      </c>
      <c r="X69" s="179">
        <v>0.21</v>
      </c>
      <c r="Y69" s="216">
        <f t="shared" si="3"/>
        <v>1.1193</v>
      </c>
      <c r="Z69" s="216">
        <f t="shared" si="4"/>
        <v>6.4493</v>
      </c>
      <c r="AA69" s="180">
        <f t="shared" si="5"/>
        <v>15091362</v>
      </c>
      <c r="AB69" s="180"/>
      <c r="AC69" s="180">
        <f t="shared" si="6"/>
        <v>0</v>
      </c>
      <c r="AD69" s="180">
        <f t="shared" si="21"/>
        <v>0</v>
      </c>
      <c r="AE69" s="180">
        <f t="shared" si="8"/>
        <v>15091362</v>
      </c>
      <c r="AF69" s="178">
        <f t="shared" si="9"/>
        <v>1207308.96</v>
      </c>
      <c r="AG69" s="178">
        <f t="shared" si="10"/>
        <v>226370.43</v>
      </c>
      <c r="AH69" s="178">
        <f t="shared" si="11"/>
        <v>150913.62</v>
      </c>
      <c r="AI69" s="178"/>
      <c r="AJ69" s="178">
        <f t="shared" si="12"/>
        <v>1584593.0099999998</v>
      </c>
      <c r="AK69" s="192"/>
      <c r="AL69" s="182">
        <f t="shared" si="13"/>
        <v>0</v>
      </c>
      <c r="AM69" s="182"/>
      <c r="AN69" s="182"/>
      <c r="AO69" s="183">
        <f t="shared" si="20"/>
        <v>5.33</v>
      </c>
      <c r="AP69" s="443">
        <v>0.25</v>
      </c>
      <c r="AQ69" s="185">
        <f t="shared" si="15"/>
        <v>1.3325</v>
      </c>
      <c r="AR69" s="178">
        <f t="shared" si="16"/>
        <v>3118050</v>
      </c>
      <c r="AS69" s="178"/>
      <c r="AT69" s="178">
        <f t="shared" si="17"/>
        <v>16624819</v>
      </c>
      <c r="AU69" s="469">
        <f t="shared" si="18"/>
        <v>56</v>
      </c>
      <c r="AV69" s="186"/>
      <c r="AW69" s="187" t="s">
        <v>714</v>
      </c>
    </row>
    <row r="70" spans="1:59" s="189" customFormat="1" ht="27.75" customHeight="1" x14ac:dyDescent="0.25">
      <c r="A70" s="168">
        <f>_xlfn.AGGREGATE(4,7,A$13:A69)+1</f>
        <v>57</v>
      </c>
      <c r="B70" s="168" t="str">
        <f>VLOOKUP(D70,[1]LuongBC_T01!$B$9:$C$292,2,FALSE)</f>
        <v>0016100006532009</v>
      </c>
      <c r="C70" s="361" t="s">
        <v>884</v>
      </c>
      <c r="D70" s="169" t="s">
        <v>1180</v>
      </c>
      <c r="E70" s="263" t="s">
        <v>1381</v>
      </c>
      <c r="F70" s="169" t="s">
        <v>549</v>
      </c>
      <c r="G70" s="170"/>
      <c r="H70" s="170" t="s">
        <v>283</v>
      </c>
      <c r="I70" s="170" t="s">
        <v>281</v>
      </c>
      <c r="J70" s="169" t="s">
        <v>190</v>
      </c>
      <c r="K70" s="170" t="str">
        <f>VLOOKUP(D70,[2]T3!$B$2:$D$328,3,FALSE)</f>
        <v>022293675</v>
      </c>
      <c r="L70" s="171" t="s">
        <v>134</v>
      </c>
      <c r="M70" s="171" t="s">
        <v>884</v>
      </c>
      <c r="N70" s="263" t="str">
        <f>VLOOKUP(D70,'[6]Bao cao So GDDT'!$D$14:$S$282,11,FALSE)</f>
        <v>Giảng viên GDNN LT (hạng III)</v>
      </c>
      <c r="O70" s="390" t="s">
        <v>1438</v>
      </c>
      <c r="P70" s="172" t="s">
        <v>692</v>
      </c>
      <c r="Q70" s="173">
        <v>6</v>
      </c>
      <c r="R70" s="174">
        <v>4.6500000000000004</v>
      </c>
      <c r="S70" s="176">
        <f t="shared" si="0"/>
        <v>1.0229999999999999</v>
      </c>
      <c r="T70" s="370"/>
      <c r="U70" s="176">
        <f t="shared" si="1"/>
        <v>0</v>
      </c>
      <c r="V70" s="175">
        <f t="shared" si="2"/>
        <v>0</v>
      </c>
      <c r="W70" s="170"/>
      <c r="X70" s="179">
        <v>0.22</v>
      </c>
      <c r="Y70" s="216">
        <f t="shared" si="3"/>
        <v>1.0229999999999999</v>
      </c>
      <c r="Z70" s="216">
        <f t="shared" si="4"/>
        <v>5.673</v>
      </c>
      <c r="AA70" s="180">
        <f t="shared" si="5"/>
        <v>13274820</v>
      </c>
      <c r="AB70" s="180"/>
      <c r="AC70" s="180">
        <f t="shared" si="6"/>
        <v>0</v>
      </c>
      <c r="AD70" s="180">
        <f t="shared" si="21"/>
        <v>0</v>
      </c>
      <c r="AE70" s="180">
        <f t="shared" si="8"/>
        <v>13274820</v>
      </c>
      <c r="AF70" s="178">
        <f t="shared" si="9"/>
        <v>1061985.6000000001</v>
      </c>
      <c r="AG70" s="178">
        <f t="shared" si="10"/>
        <v>199122.3</v>
      </c>
      <c r="AH70" s="178">
        <f t="shared" si="11"/>
        <v>132748.20000000001</v>
      </c>
      <c r="AI70" s="178"/>
      <c r="AJ70" s="178">
        <f t="shared" si="12"/>
        <v>1393856.1</v>
      </c>
      <c r="AK70" s="192"/>
      <c r="AL70" s="182">
        <f t="shared" si="13"/>
        <v>0</v>
      </c>
      <c r="AM70" s="182"/>
      <c r="AN70" s="182"/>
      <c r="AO70" s="183">
        <f t="shared" si="20"/>
        <v>4.6500000000000004</v>
      </c>
      <c r="AP70" s="443">
        <v>0.25</v>
      </c>
      <c r="AQ70" s="185">
        <f t="shared" si="15"/>
        <v>1.1625000000000001</v>
      </c>
      <c r="AR70" s="178">
        <f t="shared" si="16"/>
        <v>2720250</v>
      </c>
      <c r="AS70" s="178"/>
      <c r="AT70" s="178">
        <f t="shared" si="17"/>
        <v>14601214</v>
      </c>
      <c r="AU70" s="469">
        <f t="shared" si="18"/>
        <v>57</v>
      </c>
      <c r="AV70" s="186"/>
      <c r="AW70" s="187" t="s">
        <v>703</v>
      </c>
    </row>
    <row r="71" spans="1:59" s="189" customFormat="1" ht="29.25" customHeight="1" x14ac:dyDescent="0.25">
      <c r="A71" s="168">
        <f>_xlfn.AGGREGATE(4,7,A$13:A70)+1</f>
        <v>58</v>
      </c>
      <c r="B71" s="168" t="str">
        <f>VLOOKUP(D71,[1]LuongBC_T01!$B$9:$C$292,2,FALSE)</f>
        <v>0016100006812001</v>
      </c>
      <c r="C71" s="361" t="s">
        <v>886</v>
      </c>
      <c r="D71" s="867" t="s">
        <v>1183</v>
      </c>
      <c r="E71" s="263" t="s">
        <v>1393</v>
      </c>
      <c r="F71" s="169" t="s">
        <v>549</v>
      </c>
      <c r="G71" s="170"/>
      <c r="H71" s="170" t="s">
        <v>283</v>
      </c>
      <c r="I71" s="170" t="s">
        <v>283</v>
      </c>
      <c r="J71" s="169" t="s">
        <v>219</v>
      </c>
      <c r="K71" s="170" t="str">
        <f>VLOOKUP(D71,[2]T3!$B$2:$D$328,3,FALSE)</f>
        <v>022843958</v>
      </c>
      <c r="L71" s="171" t="s">
        <v>99</v>
      </c>
      <c r="M71" s="171" t="s">
        <v>886</v>
      </c>
      <c r="N71" s="263" t="str">
        <f>VLOOKUP(D71,'[6]Bao cao So GDDT'!$D$14:$S$282,11,FALSE)</f>
        <v>Giảng viên GDNN LT (hạng III)</v>
      </c>
      <c r="O71" s="390" t="s">
        <v>1438</v>
      </c>
      <c r="P71" s="172" t="s">
        <v>692</v>
      </c>
      <c r="Q71" s="173">
        <v>6</v>
      </c>
      <c r="R71" s="174">
        <v>4.6500000000000004</v>
      </c>
      <c r="S71" s="176">
        <f t="shared" si="0"/>
        <v>0.97650000000000003</v>
      </c>
      <c r="T71" s="370"/>
      <c r="U71" s="176">
        <f t="shared" si="1"/>
        <v>0</v>
      </c>
      <c r="V71" s="175">
        <f t="shared" si="2"/>
        <v>0</v>
      </c>
      <c r="W71" s="170"/>
      <c r="X71" s="179">
        <v>0.21</v>
      </c>
      <c r="Y71" s="216">
        <f t="shared" si="3"/>
        <v>0.97650000000000003</v>
      </c>
      <c r="Z71" s="216">
        <f t="shared" si="4"/>
        <v>5.6265000000000001</v>
      </c>
      <c r="AA71" s="180">
        <f t="shared" si="5"/>
        <v>13166010</v>
      </c>
      <c r="AB71" s="180"/>
      <c r="AC71" s="180">
        <f>AA71/24*AB71</f>
        <v>0</v>
      </c>
      <c r="AD71" s="180">
        <f t="shared" si="21"/>
        <v>0</v>
      </c>
      <c r="AE71" s="180">
        <f t="shared" si="8"/>
        <v>13166010</v>
      </c>
      <c r="AF71" s="178">
        <f t="shared" si="9"/>
        <v>1053280.8</v>
      </c>
      <c r="AG71" s="178">
        <f t="shared" si="10"/>
        <v>197490.15</v>
      </c>
      <c r="AH71" s="178">
        <f t="shared" si="11"/>
        <v>131660.1</v>
      </c>
      <c r="AI71" s="178"/>
      <c r="AJ71" s="178">
        <f t="shared" si="12"/>
        <v>1382431.05</v>
      </c>
      <c r="AK71" s="192"/>
      <c r="AL71" s="182">
        <f t="shared" si="13"/>
        <v>0</v>
      </c>
      <c r="AM71" s="182"/>
      <c r="AN71" s="182"/>
      <c r="AO71" s="183">
        <f t="shared" si="20"/>
        <v>4.6500000000000004</v>
      </c>
      <c r="AP71" s="443">
        <v>0.25</v>
      </c>
      <c r="AQ71" s="185">
        <f t="shared" si="15"/>
        <v>1.1625000000000001</v>
      </c>
      <c r="AR71" s="178">
        <f t="shared" si="16"/>
        <v>2720250</v>
      </c>
      <c r="AS71" s="178"/>
      <c r="AT71" s="178">
        <f t="shared" si="17"/>
        <v>14503829</v>
      </c>
      <c r="AU71" s="469">
        <f t="shared" si="18"/>
        <v>58</v>
      </c>
      <c r="AV71" s="195"/>
      <c r="AW71" s="187" t="s">
        <v>703</v>
      </c>
    </row>
    <row r="72" spans="1:59" s="189" customFormat="1" ht="27.75" customHeight="1" x14ac:dyDescent="0.25">
      <c r="A72" s="168">
        <f>_xlfn.AGGREGATE(4,7,A$13:A71)+1</f>
        <v>59</v>
      </c>
      <c r="B72" s="168" t="str">
        <f>VLOOKUP(D72,[1]LuongBC_T01!$B$9:$C$292,2,FALSE)</f>
        <v>0016100006586001</v>
      </c>
      <c r="C72" s="361" t="s">
        <v>874</v>
      </c>
      <c r="D72" s="169" t="s">
        <v>682</v>
      </c>
      <c r="E72" s="263" t="s">
        <v>1381</v>
      </c>
      <c r="F72" s="169" t="s">
        <v>549</v>
      </c>
      <c r="G72" s="170"/>
      <c r="H72" s="170" t="s">
        <v>283</v>
      </c>
      <c r="I72" s="170" t="s">
        <v>283</v>
      </c>
      <c r="J72" s="169"/>
      <c r="K72" s="170" t="str">
        <f>VLOOKUP(D72,[2]T3!$B$2:$D$328,3,FALSE)</f>
        <v>079071003963</v>
      </c>
      <c r="L72" s="213" t="s">
        <v>684</v>
      </c>
      <c r="M72" s="213" t="s">
        <v>874</v>
      </c>
      <c r="N72" s="263" t="str">
        <f>VLOOKUP(D72,'[6]Bao cao So GDDT'!$D$14:$S$282,11,FALSE)</f>
        <v>Giảng viên GDNN LT (hạng III)</v>
      </c>
      <c r="O72" s="390" t="s">
        <v>1438</v>
      </c>
      <c r="P72" s="172" t="s">
        <v>692</v>
      </c>
      <c r="Q72" s="173">
        <v>7</v>
      </c>
      <c r="R72" s="174">
        <v>4.9800000000000004</v>
      </c>
      <c r="S72" s="176">
        <f t="shared" si="0"/>
        <v>1.4517000000000002</v>
      </c>
      <c r="T72" s="370">
        <v>5</v>
      </c>
      <c r="U72" s="176">
        <f t="shared" si="1"/>
        <v>0.249</v>
      </c>
      <c r="V72" s="175">
        <f t="shared" si="2"/>
        <v>582660.00000000012</v>
      </c>
      <c r="W72" s="170"/>
      <c r="X72" s="179">
        <v>0.23</v>
      </c>
      <c r="Y72" s="216">
        <f t="shared" si="3"/>
        <v>1.2027000000000001</v>
      </c>
      <c r="Z72" s="216">
        <f t="shared" si="4"/>
        <v>6.4317000000000002</v>
      </c>
      <c r="AA72" s="180">
        <f t="shared" si="5"/>
        <v>15050178</v>
      </c>
      <c r="AB72" s="180"/>
      <c r="AC72" s="180">
        <f t="shared" si="6"/>
        <v>0</v>
      </c>
      <c r="AD72" s="180">
        <f t="shared" si="21"/>
        <v>0</v>
      </c>
      <c r="AE72" s="180">
        <f t="shared" si="8"/>
        <v>15050178</v>
      </c>
      <c r="AF72" s="178">
        <f t="shared" si="9"/>
        <v>1204014.24</v>
      </c>
      <c r="AG72" s="178">
        <f t="shared" si="10"/>
        <v>225752.66999999998</v>
      </c>
      <c r="AH72" s="178">
        <f t="shared" si="11"/>
        <v>150501.78</v>
      </c>
      <c r="AI72" s="178"/>
      <c r="AJ72" s="178">
        <f t="shared" si="12"/>
        <v>1580268.69</v>
      </c>
      <c r="AK72" s="192"/>
      <c r="AL72" s="182">
        <f t="shared" si="13"/>
        <v>0</v>
      </c>
      <c r="AM72" s="182"/>
      <c r="AN72" s="182"/>
      <c r="AO72" s="183">
        <f t="shared" si="20"/>
        <v>5.2290000000000001</v>
      </c>
      <c r="AP72" s="246">
        <v>0.25</v>
      </c>
      <c r="AQ72" s="185">
        <f t="shared" si="15"/>
        <v>1.3072999999999999</v>
      </c>
      <c r="AR72" s="178">
        <f t="shared" si="16"/>
        <v>3059082</v>
      </c>
      <c r="AS72" s="178"/>
      <c r="AT72" s="178">
        <f t="shared" si="17"/>
        <v>16528991</v>
      </c>
      <c r="AU72" s="469">
        <f t="shared" si="18"/>
        <v>59</v>
      </c>
      <c r="AV72" s="186"/>
      <c r="AW72" s="187" t="s">
        <v>703</v>
      </c>
    </row>
    <row r="73" spans="1:59" s="109" customFormat="1" ht="24" customHeight="1" x14ac:dyDescent="0.25">
      <c r="A73" s="250"/>
      <c r="B73" s="168" t="e">
        <f>VLOOKUP(D73,[1]LuongBC_T01!$B$9:$C$292,2,FALSE)</f>
        <v>#N/A</v>
      </c>
      <c r="C73" s="853"/>
      <c r="D73" s="906" t="s">
        <v>56</v>
      </c>
      <c r="E73" s="264"/>
      <c r="F73" s="906"/>
      <c r="G73" s="103">
        <f>COUNTIF(G13:G72,"x")</f>
        <v>21</v>
      </c>
      <c r="H73" s="103">
        <f>COUNTIF(H14:H72,"GV")</f>
        <v>39</v>
      </c>
      <c r="I73" s="103"/>
      <c r="J73" s="906"/>
      <c r="K73" s="103"/>
      <c r="L73" s="906"/>
      <c r="M73" s="906"/>
      <c r="N73" s="906"/>
      <c r="O73" s="423"/>
      <c r="P73" s="104"/>
      <c r="Q73" s="104"/>
      <c r="R73" s="257">
        <f>SUM(R14:R72)</f>
        <v>284.31999999999988</v>
      </c>
      <c r="S73" s="334">
        <f>SUM(S14:S72)</f>
        <v>83.105800000000045</v>
      </c>
      <c r="T73" s="349">
        <f>U73</f>
        <v>13.294999999999998</v>
      </c>
      <c r="U73" s="258">
        <f>SUM(U14:U72)</f>
        <v>13.294999999999998</v>
      </c>
      <c r="V73" s="234">
        <f>SUM(V14:V72)</f>
        <v>31110300</v>
      </c>
      <c r="W73" s="418">
        <f>SUM(W14:W72)</f>
        <v>8.25</v>
      </c>
      <c r="X73" s="105"/>
      <c r="Y73" s="364">
        <f>SUM(Y14:Y72)</f>
        <v>61.560800000000008</v>
      </c>
      <c r="Z73" s="364">
        <f>SUM(Z14:Z72)</f>
        <v>367.42580000000004</v>
      </c>
      <c r="AA73" s="234">
        <f>SUM(AA14:AA72)</f>
        <v>859776372</v>
      </c>
      <c r="AB73" s="105"/>
      <c r="AC73" s="234">
        <f t="shared" ref="AC73:AL73" si="22">SUM(AC14:AC72)</f>
        <v>0</v>
      </c>
      <c r="AD73" s="304">
        <f t="shared" si="22"/>
        <v>0</v>
      </c>
      <c r="AE73" s="234">
        <f t="shared" si="22"/>
        <v>859776372</v>
      </c>
      <c r="AF73" s="106">
        <f t="shared" si="22"/>
        <v>68782109.759999976</v>
      </c>
      <c r="AG73" s="106">
        <f t="shared" si="22"/>
        <v>12896645.580000006</v>
      </c>
      <c r="AH73" s="106">
        <f t="shared" si="22"/>
        <v>8597763.7199999969</v>
      </c>
      <c r="AI73" s="304">
        <f t="shared" si="22"/>
        <v>0</v>
      </c>
      <c r="AJ73" s="106">
        <f>SUM(AJ14:AJ72)+1</f>
        <v>90276520.059999987</v>
      </c>
      <c r="AK73" s="419">
        <f t="shared" si="22"/>
        <v>0.2</v>
      </c>
      <c r="AL73" s="106">
        <f t="shared" si="22"/>
        <v>468000</v>
      </c>
      <c r="AM73" s="106"/>
      <c r="AN73" s="106"/>
      <c r="AO73" s="495">
        <f>SUM(AO14:AO72)</f>
        <v>305.86499999999978</v>
      </c>
      <c r="AP73" s="638"/>
      <c r="AQ73" s="107">
        <f>SUM(AQ14:AQ72)</f>
        <v>68.588300000000004</v>
      </c>
      <c r="AR73" s="541">
        <f>SUM(AR14:AR72)</f>
        <v>160496622</v>
      </c>
      <c r="AS73" s="106">
        <f>SUM(AS14:AS72)</f>
        <v>0</v>
      </c>
      <c r="AT73" s="106">
        <f>SUM(AT14:AT72)+2</f>
        <v>930464474</v>
      </c>
      <c r="AU73" s="517"/>
      <c r="AV73" s="518"/>
      <c r="AW73" s="824"/>
      <c r="AX73" s="552"/>
      <c r="AY73" s="552"/>
      <c r="AZ73" s="552"/>
      <c r="BA73" s="552"/>
      <c r="BB73" s="552"/>
      <c r="BC73" s="552"/>
      <c r="BD73" s="552"/>
      <c r="BE73" s="552"/>
      <c r="BF73" s="552"/>
      <c r="BG73" s="552"/>
    </row>
    <row r="74" spans="1:59" s="99" customFormat="1" ht="18.75" customHeight="1" x14ac:dyDescent="0.25">
      <c r="A74" s="250"/>
      <c r="B74" s="471" t="e">
        <f>VLOOKUP(D74,[1]LuongBC_T01!$B$9:$C$292,2,FALSE)</f>
        <v>#N/A</v>
      </c>
      <c r="C74" s="908"/>
      <c r="D74" s="928" t="s">
        <v>23</v>
      </c>
      <c r="E74" s="919"/>
      <c r="F74" s="919"/>
      <c r="G74" s="919"/>
      <c r="H74" s="919"/>
      <c r="I74" s="919"/>
      <c r="J74" s="919"/>
      <c r="K74" s="919"/>
      <c r="L74" s="919"/>
      <c r="M74" s="919"/>
      <c r="N74" s="919"/>
      <c r="O74" s="919"/>
      <c r="P74" s="945"/>
      <c r="Q74" s="946"/>
      <c r="R74" s="124"/>
      <c r="S74" s="335"/>
      <c r="T74" s="350"/>
      <c r="U74" s="906"/>
      <c r="V74" s="136"/>
      <c r="W74" s="126"/>
      <c r="X74" s="135"/>
      <c r="Y74" s="135"/>
      <c r="Z74" s="135"/>
      <c r="AA74" s="134"/>
      <c r="AB74" s="134"/>
      <c r="AC74" s="134"/>
      <c r="AD74" s="134"/>
      <c r="AE74" s="134"/>
      <c r="AF74" s="131"/>
      <c r="AG74" s="131"/>
      <c r="AH74" s="131"/>
      <c r="AI74" s="131"/>
      <c r="AJ74" s="131"/>
      <c r="AK74" s="137"/>
      <c r="AL74" s="131"/>
      <c r="AM74" s="131"/>
      <c r="AN74" s="131"/>
      <c r="AO74" s="496"/>
      <c r="AP74" s="135"/>
      <c r="AQ74" s="133"/>
      <c r="AR74" s="131"/>
      <c r="AS74" s="131"/>
      <c r="AT74" s="131"/>
      <c r="AU74" s="903"/>
      <c r="AV74" s="904"/>
      <c r="AW74" s="822"/>
      <c r="AX74" s="29"/>
      <c r="AY74" s="29"/>
      <c r="AZ74" s="29"/>
      <c r="BA74" s="29"/>
      <c r="BB74" s="29"/>
      <c r="BC74" s="29"/>
      <c r="BD74" s="29"/>
      <c r="BE74" s="29"/>
      <c r="BF74" s="29"/>
      <c r="BG74" s="29"/>
    </row>
    <row r="75" spans="1:59" s="189" customFormat="1" ht="42.75" customHeight="1" x14ac:dyDescent="0.25">
      <c r="A75" s="168">
        <f>_xlfn.AGGREGATE(4,7,A$13:A74)+1</f>
        <v>60</v>
      </c>
      <c r="B75" s="565"/>
      <c r="C75" s="565"/>
      <c r="D75" s="902" t="s">
        <v>1620</v>
      </c>
      <c r="E75" s="563" t="s">
        <v>1617</v>
      </c>
      <c r="F75" s="564"/>
      <c r="G75" s="564"/>
      <c r="H75" s="564"/>
      <c r="I75" s="564"/>
      <c r="J75" s="564"/>
      <c r="K75" s="565"/>
      <c r="L75" s="721"/>
      <c r="M75" s="545"/>
      <c r="N75" s="563"/>
      <c r="O75" s="263" t="s">
        <v>1438</v>
      </c>
      <c r="P75" s="545"/>
      <c r="Q75" s="545"/>
      <c r="R75" s="545">
        <v>1.9890000000000001</v>
      </c>
      <c r="S75" s="546"/>
      <c r="T75" s="564"/>
      <c r="U75" s="546"/>
      <c r="V75" s="547"/>
      <c r="W75" s="545"/>
      <c r="X75" s="179">
        <v>0</v>
      </c>
      <c r="Y75" s="216">
        <f t="shared" ref="Y75:Y79" si="23">ROUND((R75+U75+W75)*X75,4)</f>
        <v>0</v>
      </c>
      <c r="Z75" s="216">
        <f t="shared" ref="Z75:Z79" si="24">R75+U75+W75+Y75</f>
        <v>1.9890000000000001</v>
      </c>
      <c r="AA75" s="180">
        <f t="shared" ref="AA75:AA79" si="25">ROUND(Z75*$D$8,0)</f>
        <v>4654260</v>
      </c>
      <c r="AB75" s="549"/>
      <c r="AC75" s="180">
        <f t="shared" ref="AC75:AC79" si="26">AA75/24*AB75</f>
        <v>0</v>
      </c>
      <c r="AD75" s="180">
        <v>0</v>
      </c>
      <c r="AE75" s="180">
        <f t="shared" ref="AE75:AE79" si="27">ROUND(AA75-AC75+AD75,0)</f>
        <v>4654260</v>
      </c>
      <c r="AF75" s="178">
        <f t="shared" ref="AF75:AF79" si="28">AA75*8%</f>
        <v>372340.8</v>
      </c>
      <c r="AG75" s="178">
        <f t="shared" ref="AG75:AG79" si="29">AA75*1.5%</f>
        <v>69813.899999999994</v>
      </c>
      <c r="AH75" s="178">
        <f t="shared" ref="AH75:AH79" si="30">AA75*1%</f>
        <v>46542.6</v>
      </c>
      <c r="AI75" s="550"/>
      <c r="AJ75" s="178">
        <f t="shared" ref="AJ75:AJ79" si="31">SUM(AF75:AI75)</f>
        <v>488697.29999999993</v>
      </c>
      <c r="AK75" s="567"/>
      <c r="AL75" s="568"/>
      <c r="AM75" s="568"/>
      <c r="AN75" s="568"/>
      <c r="AO75" s="183">
        <f t="shared" ref="AO75:AO79" si="32">R75+U75+W75</f>
        <v>1.9890000000000001</v>
      </c>
      <c r="AP75" s="246">
        <v>0.25</v>
      </c>
      <c r="AQ75" s="185">
        <f t="shared" ref="AQ75:AQ79" si="33">ROUND(AO75*AP75,4)</f>
        <v>0.49730000000000002</v>
      </c>
      <c r="AR75" s="178">
        <f t="shared" ref="AR75:AR79" si="34">ROUND(AQ75*$D$8,0)</f>
        <v>1163682</v>
      </c>
      <c r="AS75" s="550"/>
      <c r="AT75" s="178">
        <f t="shared" ref="AT75:AT79" si="35">ROUND(AE75-AJ75+AL75+AN75+AR75,0)</f>
        <v>5329245</v>
      </c>
      <c r="AU75" s="469">
        <f t="shared" ref="AU75:AU79" si="36">A75</f>
        <v>60</v>
      </c>
      <c r="AV75" s="195"/>
      <c r="AW75" s="658" t="s">
        <v>1655</v>
      </c>
    </row>
    <row r="76" spans="1:59" s="189" customFormat="1" ht="44.25" customHeight="1" x14ac:dyDescent="0.25">
      <c r="A76" s="168">
        <f>_xlfn.AGGREGATE(4,7,A$13:A75)+1</f>
        <v>61</v>
      </c>
      <c r="B76" s="565"/>
      <c r="C76" s="565"/>
      <c r="D76" s="902" t="s">
        <v>1648</v>
      </c>
      <c r="E76" s="563" t="s">
        <v>1617</v>
      </c>
      <c r="F76" s="564"/>
      <c r="G76" s="564"/>
      <c r="H76" s="564"/>
      <c r="I76" s="564"/>
      <c r="J76" s="564"/>
      <c r="K76" s="565"/>
      <c r="L76" s="721"/>
      <c r="M76" s="545"/>
      <c r="N76" s="563"/>
      <c r="O76" s="563" t="s">
        <v>1438</v>
      </c>
      <c r="P76" s="545"/>
      <c r="Q76" s="545"/>
      <c r="R76" s="545">
        <v>1.9890000000000001</v>
      </c>
      <c r="S76" s="546"/>
      <c r="T76" s="564"/>
      <c r="U76" s="546"/>
      <c r="V76" s="547"/>
      <c r="W76" s="545"/>
      <c r="X76" s="915"/>
      <c r="Y76" s="216">
        <f t="shared" si="23"/>
        <v>0</v>
      </c>
      <c r="Z76" s="216">
        <f t="shared" si="24"/>
        <v>1.9890000000000001</v>
      </c>
      <c r="AA76" s="180">
        <f t="shared" si="25"/>
        <v>4654260</v>
      </c>
      <c r="AB76" s="549"/>
      <c r="AC76" s="180">
        <f t="shared" si="26"/>
        <v>0</v>
      </c>
      <c r="AD76" s="180">
        <v>0</v>
      </c>
      <c r="AE76" s="180">
        <f t="shared" si="27"/>
        <v>4654260</v>
      </c>
      <c r="AF76" s="178">
        <f t="shared" si="28"/>
        <v>372340.8</v>
      </c>
      <c r="AG76" s="178">
        <f t="shared" si="29"/>
        <v>69813.899999999994</v>
      </c>
      <c r="AH76" s="178">
        <f t="shared" si="30"/>
        <v>46542.6</v>
      </c>
      <c r="AI76" s="550"/>
      <c r="AJ76" s="178">
        <f t="shared" si="31"/>
        <v>488697.29999999993</v>
      </c>
      <c r="AK76" s="567"/>
      <c r="AL76" s="568"/>
      <c r="AM76" s="568"/>
      <c r="AN76" s="568"/>
      <c r="AO76" s="183">
        <f t="shared" si="32"/>
        <v>1.9890000000000001</v>
      </c>
      <c r="AP76" s="246">
        <v>0.25</v>
      </c>
      <c r="AQ76" s="185">
        <f t="shared" si="33"/>
        <v>0.49730000000000002</v>
      </c>
      <c r="AR76" s="178">
        <f t="shared" si="34"/>
        <v>1163682</v>
      </c>
      <c r="AS76" s="550"/>
      <c r="AT76" s="178">
        <f t="shared" si="35"/>
        <v>5329245</v>
      </c>
      <c r="AU76" s="562"/>
      <c r="AV76" s="722" t="s">
        <v>1649</v>
      </c>
      <c r="AW76" s="658" t="s">
        <v>1655</v>
      </c>
    </row>
    <row r="77" spans="1:59" s="189" customFormat="1" ht="44.25" customHeight="1" x14ac:dyDescent="0.25">
      <c r="A77" s="168">
        <f>_xlfn.AGGREGATE(4,7,A$13:A76)+1</f>
        <v>62</v>
      </c>
      <c r="B77" s="565"/>
      <c r="C77" s="565"/>
      <c r="D77" s="902" t="s">
        <v>1651</v>
      </c>
      <c r="E77" s="563" t="s">
        <v>1259</v>
      </c>
      <c r="F77" s="564"/>
      <c r="G77" s="564"/>
      <c r="H77" s="564"/>
      <c r="I77" s="564"/>
      <c r="J77" s="564"/>
      <c r="K77" s="565"/>
      <c r="L77" s="721"/>
      <c r="M77" s="545"/>
      <c r="N77" s="563"/>
      <c r="O77" s="563" t="s">
        <v>1438</v>
      </c>
      <c r="P77" s="545"/>
      <c r="Q77" s="545"/>
      <c r="R77" s="545">
        <v>2.2690000000000001</v>
      </c>
      <c r="S77" s="546"/>
      <c r="T77" s="564"/>
      <c r="U77" s="546"/>
      <c r="V77" s="547"/>
      <c r="W77" s="545"/>
      <c r="X77" s="915"/>
      <c r="Y77" s="216">
        <f t="shared" si="23"/>
        <v>0</v>
      </c>
      <c r="Z77" s="216">
        <f t="shared" si="24"/>
        <v>2.2690000000000001</v>
      </c>
      <c r="AA77" s="180">
        <f t="shared" si="25"/>
        <v>5309460</v>
      </c>
      <c r="AB77" s="549"/>
      <c r="AC77" s="180">
        <f t="shared" si="26"/>
        <v>0</v>
      </c>
      <c r="AD77" s="180">
        <v>0</v>
      </c>
      <c r="AE77" s="180">
        <f t="shared" si="27"/>
        <v>5309460</v>
      </c>
      <c r="AF77" s="178">
        <f t="shared" si="28"/>
        <v>424756.8</v>
      </c>
      <c r="AG77" s="178">
        <f t="shared" si="29"/>
        <v>79641.899999999994</v>
      </c>
      <c r="AH77" s="178">
        <f t="shared" si="30"/>
        <v>53094.6</v>
      </c>
      <c r="AI77" s="550"/>
      <c r="AJ77" s="178">
        <f t="shared" si="31"/>
        <v>557493.29999999993</v>
      </c>
      <c r="AK77" s="567"/>
      <c r="AL77" s="568"/>
      <c r="AM77" s="568"/>
      <c r="AN77" s="568"/>
      <c r="AO77" s="183">
        <f t="shared" si="32"/>
        <v>2.2690000000000001</v>
      </c>
      <c r="AP77" s="246">
        <v>0.25</v>
      </c>
      <c r="AQ77" s="185">
        <f t="shared" si="33"/>
        <v>0.56730000000000003</v>
      </c>
      <c r="AR77" s="178">
        <f t="shared" si="34"/>
        <v>1327482</v>
      </c>
      <c r="AS77" s="550"/>
      <c r="AT77" s="178">
        <f t="shared" si="35"/>
        <v>6079449</v>
      </c>
      <c r="AU77" s="562"/>
      <c r="AV77" s="722" t="s">
        <v>1652</v>
      </c>
      <c r="AW77" s="658" t="s">
        <v>1656</v>
      </c>
    </row>
    <row r="78" spans="1:59" s="189" customFormat="1" ht="44.25" customHeight="1" x14ac:dyDescent="0.25">
      <c r="A78" s="168">
        <f>_xlfn.AGGREGATE(4,7,A$13:A77)+1</f>
        <v>63</v>
      </c>
      <c r="B78" s="565"/>
      <c r="C78" s="565"/>
      <c r="D78" s="902" t="s">
        <v>1653</v>
      </c>
      <c r="E78" s="563" t="s">
        <v>1617</v>
      </c>
      <c r="F78" s="564"/>
      <c r="G78" s="564"/>
      <c r="H78" s="564"/>
      <c r="I78" s="564"/>
      <c r="J78" s="564"/>
      <c r="K78" s="565"/>
      <c r="L78" s="721"/>
      <c r="M78" s="545"/>
      <c r="N78" s="563"/>
      <c r="O78" s="563" t="s">
        <v>1438</v>
      </c>
      <c r="P78" s="545"/>
      <c r="Q78" s="545"/>
      <c r="R78" s="545">
        <v>1.9890000000000001</v>
      </c>
      <c r="S78" s="546"/>
      <c r="T78" s="564"/>
      <c r="U78" s="546"/>
      <c r="V78" s="547"/>
      <c r="W78" s="545"/>
      <c r="X78" s="915"/>
      <c r="Y78" s="548">
        <f t="shared" si="23"/>
        <v>0</v>
      </c>
      <c r="Z78" s="548">
        <f t="shared" si="24"/>
        <v>1.9890000000000001</v>
      </c>
      <c r="AA78" s="549">
        <f t="shared" si="25"/>
        <v>4654260</v>
      </c>
      <c r="AB78" s="549"/>
      <c r="AC78" s="549">
        <f t="shared" si="26"/>
        <v>0</v>
      </c>
      <c r="AD78" s="180">
        <v>0</v>
      </c>
      <c r="AE78" s="180">
        <f t="shared" si="27"/>
        <v>4654260</v>
      </c>
      <c r="AF78" s="550">
        <f t="shared" si="28"/>
        <v>372340.8</v>
      </c>
      <c r="AG78" s="550">
        <f t="shared" si="29"/>
        <v>69813.899999999994</v>
      </c>
      <c r="AH78" s="550">
        <f t="shared" si="30"/>
        <v>46542.6</v>
      </c>
      <c r="AI78" s="550"/>
      <c r="AJ78" s="550">
        <f t="shared" si="31"/>
        <v>488697.29999999993</v>
      </c>
      <c r="AK78" s="567"/>
      <c r="AL78" s="568"/>
      <c r="AM78" s="568"/>
      <c r="AN78" s="568"/>
      <c r="AO78" s="569">
        <f t="shared" si="32"/>
        <v>1.9890000000000001</v>
      </c>
      <c r="AP78" s="639">
        <v>0.25</v>
      </c>
      <c r="AQ78" s="989">
        <f t="shared" si="33"/>
        <v>0.49730000000000002</v>
      </c>
      <c r="AR78" s="550">
        <f t="shared" si="34"/>
        <v>1163682</v>
      </c>
      <c r="AS78" s="550"/>
      <c r="AT78" s="550">
        <f t="shared" si="35"/>
        <v>5329245</v>
      </c>
      <c r="AU78" s="562"/>
      <c r="AV78" s="722" t="s">
        <v>1654</v>
      </c>
      <c r="AW78" s="658" t="s">
        <v>1655</v>
      </c>
    </row>
    <row r="79" spans="1:59" s="189" customFormat="1" ht="42.75" customHeight="1" x14ac:dyDescent="0.25">
      <c r="A79" s="471">
        <f>_xlfn.AGGREGATE(4,7,A$13:A78)+1</f>
        <v>64</v>
      </c>
      <c r="B79" s="471"/>
      <c r="C79" s="471"/>
      <c r="D79" s="865" t="s">
        <v>1631</v>
      </c>
      <c r="E79" s="296" t="s">
        <v>1617</v>
      </c>
      <c r="F79" s="631"/>
      <c r="G79" s="631"/>
      <c r="H79" s="631"/>
      <c r="I79" s="631"/>
      <c r="J79" s="631"/>
      <c r="K79" s="471"/>
      <c r="L79" s="664"/>
      <c r="M79" s="438"/>
      <c r="N79" s="296"/>
      <c r="O79" s="296" t="s">
        <v>1438</v>
      </c>
      <c r="P79" s="438"/>
      <c r="Q79" s="438"/>
      <c r="R79" s="438">
        <v>1.9890000000000001</v>
      </c>
      <c r="S79" s="436"/>
      <c r="T79" s="631"/>
      <c r="U79" s="436"/>
      <c r="V79" s="445"/>
      <c r="W79" s="438"/>
      <c r="X79" s="439"/>
      <c r="Y79" s="440">
        <f t="shared" si="23"/>
        <v>0</v>
      </c>
      <c r="Z79" s="440">
        <f t="shared" si="24"/>
        <v>1.9890000000000001</v>
      </c>
      <c r="AA79" s="238">
        <f t="shared" si="25"/>
        <v>4654260</v>
      </c>
      <c r="AB79" s="238"/>
      <c r="AC79" s="238">
        <f t="shared" si="26"/>
        <v>0</v>
      </c>
      <c r="AD79" s="238">
        <v>0</v>
      </c>
      <c r="AE79" s="238">
        <f t="shared" si="27"/>
        <v>4654260</v>
      </c>
      <c r="AF79" s="225">
        <f t="shared" si="28"/>
        <v>372340.8</v>
      </c>
      <c r="AG79" s="225">
        <f t="shared" si="29"/>
        <v>69813.899999999994</v>
      </c>
      <c r="AH79" s="225">
        <f t="shared" si="30"/>
        <v>46542.6</v>
      </c>
      <c r="AI79" s="225"/>
      <c r="AJ79" s="225">
        <f t="shared" si="31"/>
        <v>488697.29999999993</v>
      </c>
      <c r="AK79" s="487"/>
      <c r="AL79" s="488"/>
      <c r="AM79" s="488"/>
      <c r="AN79" s="488"/>
      <c r="AO79" s="489">
        <f t="shared" si="32"/>
        <v>1.9890000000000001</v>
      </c>
      <c r="AP79" s="663">
        <v>0.25</v>
      </c>
      <c r="AQ79" s="633">
        <f t="shared" si="33"/>
        <v>0.49730000000000002</v>
      </c>
      <c r="AR79" s="225">
        <f t="shared" si="34"/>
        <v>1163682</v>
      </c>
      <c r="AS79" s="225"/>
      <c r="AT79" s="225">
        <f t="shared" si="35"/>
        <v>5329245</v>
      </c>
      <c r="AU79" s="470">
        <f t="shared" si="36"/>
        <v>64</v>
      </c>
      <c r="AV79" s="542" t="s">
        <v>1632</v>
      </c>
      <c r="AW79" s="658"/>
    </row>
    <row r="80" spans="1:59" s="109" customFormat="1" ht="27.75" customHeight="1" x14ac:dyDescent="0.25">
      <c r="A80" s="828"/>
      <c r="B80" s="829" t="e">
        <f>VLOOKUP(D80,[1]LuongBC_T01!$B$9:$C$292,2,FALSE)</f>
        <v>#N/A</v>
      </c>
      <c r="C80" s="854"/>
      <c r="D80" s="925" t="s">
        <v>665</v>
      </c>
      <c r="E80" s="921"/>
      <c r="F80" s="921"/>
      <c r="G80" s="921"/>
      <c r="H80" s="921"/>
      <c r="I80" s="921"/>
      <c r="J80" s="921"/>
      <c r="K80" s="921"/>
      <c r="L80" s="921"/>
      <c r="M80" s="921"/>
      <c r="N80" s="921"/>
      <c r="O80" s="921"/>
      <c r="P80" s="920"/>
      <c r="Q80" s="920"/>
      <c r="R80" s="830">
        <f>SUM(R75:R79)</f>
        <v>10.225000000000001</v>
      </c>
      <c r="S80" s="831"/>
      <c r="T80" s="832">
        <f>SUM(T146:T146)</f>
        <v>0</v>
      </c>
      <c r="U80" s="833">
        <f>SUM(U75:U79)</f>
        <v>0</v>
      </c>
      <c r="V80" s="834"/>
      <c r="W80" s="834">
        <f>SUM(W75:W79)</f>
        <v>0</v>
      </c>
      <c r="X80" s="834">
        <f>SUM(X75:X79)</f>
        <v>0</v>
      </c>
      <c r="Y80" s="835">
        <f>SUM(Y75:Y79)</f>
        <v>0</v>
      </c>
      <c r="Z80" s="836">
        <f>SUM(Z75:Z79)</f>
        <v>10.225000000000001</v>
      </c>
      <c r="AA80" s="834">
        <f>SUM(AA75:AA79)</f>
        <v>23926500</v>
      </c>
      <c r="AB80" s="834"/>
      <c r="AC80" s="834">
        <f t="shared" ref="AC80:AH80" si="37">SUM(AC75:AC79)</f>
        <v>0</v>
      </c>
      <c r="AD80" s="834">
        <f t="shared" si="37"/>
        <v>0</v>
      </c>
      <c r="AE80" s="834">
        <f t="shared" si="37"/>
        <v>23926500</v>
      </c>
      <c r="AF80" s="837">
        <f t="shared" si="37"/>
        <v>1914120</v>
      </c>
      <c r="AG80" s="837">
        <f t="shared" si="37"/>
        <v>358897.5</v>
      </c>
      <c r="AH80" s="837">
        <f t="shared" si="37"/>
        <v>239265</v>
      </c>
      <c r="AI80" s="837"/>
      <c r="AJ80" s="837">
        <f t="shared" ref="AJ80:AR80" si="38">SUM(AJ75:AJ79)</f>
        <v>2512282.4999999995</v>
      </c>
      <c r="AK80" s="837">
        <f t="shared" si="38"/>
        <v>0</v>
      </c>
      <c r="AL80" s="837">
        <f t="shared" si="38"/>
        <v>0</v>
      </c>
      <c r="AM80" s="837">
        <f t="shared" si="38"/>
        <v>0</v>
      </c>
      <c r="AN80" s="837">
        <f t="shared" si="38"/>
        <v>0</v>
      </c>
      <c r="AO80" s="838">
        <f t="shared" si="38"/>
        <v>10.225000000000001</v>
      </c>
      <c r="AP80" s="839">
        <f t="shared" si="38"/>
        <v>1.25</v>
      </c>
      <c r="AQ80" s="833">
        <f t="shared" si="38"/>
        <v>2.5565000000000002</v>
      </c>
      <c r="AR80" s="837">
        <f t="shared" si="38"/>
        <v>5982210</v>
      </c>
      <c r="AS80" s="837" t="e">
        <f>SUM(#REF!)</f>
        <v>#REF!</v>
      </c>
      <c r="AT80" s="837">
        <f>SUM(AT75:AT79)-2</f>
        <v>27396427</v>
      </c>
      <c r="AU80" s="840"/>
      <c r="AV80" s="841"/>
      <c r="AW80" s="89"/>
      <c r="AX80" s="552"/>
      <c r="AY80" s="552"/>
      <c r="AZ80" s="552"/>
      <c r="BA80" s="552"/>
      <c r="BB80" s="552"/>
      <c r="BC80" s="552"/>
      <c r="BD80" s="552"/>
      <c r="BE80" s="552"/>
      <c r="BF80" s="552"/>
      <c r="BG80" s="552"/>
    </row>
    <row r="81" spans="1:59" s="99" customFormat="1" ht="27.75" customHeight="1" x14ac:dyDescent="0.25">
      <c r="A81" s="843"/>
      <c r="B81" s="250" t="e">
        <f>VLOOKUP(D81,[1]LuongBC_T01!$B$9:$C$292,2,FALSE)</f>
        <v>#N/A</v>
      </c>
      <c r="C81" s="855"/>
      <c r="D81" s="926" t="s">
        <v>50</v>
      </c>
      <c r="E81" s="922"/>
      <c r="F81" s="922"/>
      <c r="G81" s="922"/>
      <c r="H81" s="922"/>
      <c r="I81" s="922"/>
      <c r="J81" s="922"/>
      <c r="K81" s="922"/>
      <c r="L81" s="922"/>
      <c r="M81" s="922"/>
      <c r="N81" s="922"/>
      <c r="O81" s="922"/>
      <c r="P81" s="124"/>
      <c r="Q81" s="124"/>
      <c r="R81" s="124"/>
      <c r="S81" s="844"/>
      <c r="T81" s="350"/>
      <c r="U81" s="906"/>
      <c r="V81" s="136"/>
      <c r="W81" s="126"/>
      <c r="X81" s="135"/>
      <c r="Y81" s="134"/>
      <c r="Z81" s="134"/>
      <c r="AA81" s="134"/>
      <c r="AB81" s="134"/>
      <c r="AC81" s="134"/>
      <c r="AD81" s="134"/>
      <c r="AE81" s="134"/>
      <c r="AF81" s="131"/>
      <c r="AG81" s="131"/>
      <c r="AH81" s="131"/>
      <c r="AI81" s="131"/>
      <c r="AJ81" s="131"/>
      <c r="AK81" s="137"/>
      <c r="AL81" s="131"/>
      <c r="AM81" s="131"/>
      <c r="AN81" s="131"/>
      <c r="AO81" s="496"/>
      <c r="AP81" s="135"/>
      <c r="AQ81" s="133"/>
      <c r="AR81" s="131"/>
      <c r="AS81" s="131"/>
      <c r="AT81" s="131"/>
      <c r="AU81" s="903"/>
      <c r="AV81" s="904"/>
      <c r="AW81" s="52"/>
      <c r="AX81" s="29"/>
      <c r="AY81" s="29"/>
      <c r="AZ81" s="29"/>
      <c r="BA81" s="29"/>
      <c r="BB81" s="29"/>
      <c r="BC81" s="29"/>
      <c r="BD81" s="29"/>
      <c r="BE81" s="29"/>
      <c r="BF81" s="29"/>
      <c r="BG81" s="29"/>
    </row>
    <row r="82" spans="1:59" s="99" customFormat="1" ht="27.75" customHeight="1" x14ac:dyDescent="0.25">
      <c r="A82" s="843"/>
      <c r="B82" s="250" t="e">
        <f>VLOOKUP(D82,[1]LuongBC_T01!$B$9:$C$292,2,FALSE)</f>
        <v>#N/A</v>
      </c>
      <c r="C82" s="855"/>
      <c r="D82" s="927" t="s">
        <v>51</v>
      </c>
      <c r="E82" s="924"/>
      <c r="F82" s="924"/>
      <c r="G82" s="924"/>
      <c r="H82" s="924"/>
      <c r="I82" s="924"/>
      <c r="J82" s="924"/>
      <c r="K82" s="924"/>
      <c r="L82" s="924"/>
      <c r="M82" s="924"/>
      <c r="N82" s="924"/>
      <c r="O82" s="924"/>
      <c r="P82" s="923"/>
      <c r="Q82" s="923"/>
      <c r="R82" s="923"/>
      <c r="S82" s="923"/>
      <c r="T82" s="350"/>
      <c r="U82" s="906"/>
      <c r="V82" s="845"/>
      <c r="W82" s="126"/>
      <c r="X82" s="135"/>
      <c r="Y82" s="134"/>
      <c r="Z82" s="134"/>
      <c r="AA82" s="134"/>
      <c r="AB82" s="134"/>
      <c r="AC82" s="134"/>
      <c r="AD82" s="134"/>
      <c r="AE82" s="134"/>
      <c r="AF82" s="131"/>
      <c r="AG82" s="131"/>
      <c r="AH82" s="131"/>
      <c r="AI82" s="131"/>
      <c r="AJ82" s="131"/>
      <c r="AK82" s="137"/>
      <c r="AL82" s="131"/>
      <c r="AM82" s="131"/>
      <c r="AN82" s="131"/>
      <c r="AO82" s="496"/>
      <c r="AP82" s="135"/>
      <c r="AQ82" s="133"/>
      <c r="AR82" s="131"/>
      <c r="AS82" s="131"/>
      <c r="AT82" s="131"/>
      <c r="AU82" s="903"/>
      <c r="AV82" s="905"/>
      <c r="AW82" s="88"/>
      <c r="AX82" s="29"/>
      <c r="AY82" s="29"/>
      <c r="AZ82" s="29"/>
      <c r="BA82" s="29"/>
      <c r="BB82" s="29"/>
      <c r="BC82" s="29"/>
      <c r="BD82" s="29"/>
      <c r="BE82" s="29"/>
      <c r="BF82" s="29"/>
      <c r="BG82" s="29"/>
    </row>
    <row r="83" spans="1:59" s="189" customFormat="1" ht="45.75" customHeight="1" x14ac:dyDescent="0.25">
      <c r="A83" s="168">
        <f>_xlfn.AGGREGATE(4,7,A$13:A82)+1</f>
        <v>65</v>
      </c>
      <c r="B83" s="484" t="str">
        <f>VLOOKUP(D83,[1]LuongBC_T01!$B$9:$C$292,2,FALSE)</f>
        <v>0016100006799005</v>
      </c>
      <c r="C83" s="525" t="s">
        <v>981</v>
      </c>
      <c r="D83" s="524" t="s">
        <v>1279</v>
      </c>
      <c r="E83" s="521" t="s">
        <v>1452</v>
      </c>
      <c r="F83" s="524"/>
      <c r="G83" s="525"/>
      <c r="H83" s="524"/>
      <c r="I83" s="524"/>
      <c r="J83" s="524"/>
      <c r="K83" s="525" t="str">
        <f>VLOOKUP(D83,[2]T3!$B$2:$D$328,3,FALSE)</f>
        <v>080185000458</v>
      </c>
      <c r="L83" s="990"/>
      <c r="M83" s="990"/>
      <c r="N83" s="521" t="str">
        <f>VLOOKUP(D83,'[6]Bao cao So GDDT'!$D$14:$S$282,11,FALSE)</f>
        <v>Chuyên viên</v>
      </c>
      <c r="O83" s="842" t="s">
        <v>39</v>
      </c>
      <c r="P83" s="525"/>
      <c r="Q83" s="525"/>
      <c r="R83" s="534">
        <v>3.66</v>
      </c>
      <c r="S83" s="463">
        <f>U83+W83+Y83</f>
        <v>0.35</v>
      </c>
      <c r="T83" s="533"/>
      <c r="U83" s="463">
        <f t="shared" ref="U83:U146" si="39">ROUND(R83*T83/100,4)</f>
        <v>0</v>
      </c>
      <c r="V83" s="529"/>
      <c r="W83" s="534">
        <v>0.35</v>
      </c>
      <c r="X83" s="530">
        <f>VLOOKUP(D83,PCTN!D105:W372,20,FALSE)</f>
        <v>0</v>
      </c>
      <c r="Y83" s="531">
        <f t="shared" ref="Y83:Y146" si="40">ROUND((R83+U83+W83)*X83,4)</f>
        <v>0</v>
      </c>
      <c r="Z83" s="531">
        <f t="shared" ref="Z83:Z146" si="41">R83+U83+W83+Y83</f>
        <v>4.01</v>
      </c>
      <c r="AA83" s="532">
        <f t="shared" ref="AA83:AA146" si="42">ROUND(Z83*$D$8,0)</f>
        <v>9383400</v>
      </c>
      <c r="AB83" s="532"/>
      <c r="AC83" s="532">
        <f t="shared" ref="AC83:AC146" si="43">AA83/24*AB83</f>
        <v>0</v>
      </c>
      <c r="AD83" s="532">
        <f>AA83/24*AB83*75%</f>
        <v>0</v>
      </c>
      <c r="AE83" s="532">
        <f t="shared" ref="AE83:AE146" si="44">ROUND(AA83-AC83+AD83,0)</f>
        <v>9383400</v>
      </c>
      <c r="AF83" s="533">
        <f t="shared" ref="AF83:AF146" si="45">AA83*8%</f>
        <v>750672</v>
      </c>
      <c r="AG83" s="533">
        <f t="shared" ref="AG83:AG146" si="46">AA83*1.5%</f>
        <v>140751</v>
      </c>
      <c r="AH83" s="533">
        <f t="shared" ref="AH83:AH146" si="47">AA83*1%</f>
        <v>93834</v>
      </c>
      <c r="AI83" s="533"/>
      <c r="AJ83" s="533">
        <f t="shared" ref="AJ83:AJ146" si="48">SUM(AF83:AI83)</f>
        <v>985257</v>
      </c>
      <c r="AK83" s="991"/>
      <c r="AL83" s="535">
        <f>AK83*$D$8</f>
        <v>0</v>
      </c>
      <c r="AM83" s="535"/>
      <c r="AN83" s="535"/>
      <c r="AO83" s="531">
        <f>R83+U83+W83</f>
        <v>4.01</v>
      </c>
      <c r="AP83" s="530"/>
      <c r="AQ83" s="537">
        <f t="shared" ref="AQ83:AQ146" si="49">ROUND(AO83*AP83,4)</f>
        <v>0</v>
      </c>
      <c r="AR83" s="533">
        <f t="shared" ref="AR83:AR146" si="50">ROUND(AQ83*$D$8,0)</f>
        <v>0</v>
      </c>
      <c r="AS83" s="533"/>
      <c r="AT83" s="533">
        <f t="shared" ref="AT83:AT146" si="51">ROUND(AE83-AJ83+AL83+AN83+AR83,0)</f>
        <v>8398143</v>
      </c>
      <c r="AU83" s="538">
        <f t="shared" ref="AU83:AU146" si="52">A83</f>
        <v>65</v>
      </c>
      <c r="AV83" s="992"/>
      <c r="AW83" s="223"/>
    </row>
    <row r="84" spans="1:59" s="189" customFormat="1" ht="37.5" customHeight="1" x14ac:dyDescent="0.25">
      <c r="A84" s="168">
        <f>_xlfn.AGGREGATE(4,7,A$13:A83)+1</f>
        <v>66</v>
      </c>
      <c r="B84" s="168" t="str">
        <f>VLOOKUP(D84,[1]LuongBC_T01!$B$9:$C$292,2,FALSE)</f>
        <v>0016100006518006</v>
      </c>
      <c r="C84" s="545">
        <v>11100115713</v>
      </c>
      <c r="D84" s="544" t="s">
        <v>655</v>
      </c>
      <c r="E84" s="263" t="s">
        <v>1452</v>
      </c>
      <c r="F84" s="564"/>
      <c r="G84" s="564"/>
      <c r="H84" s="564"/>
      <c r="I84" s="564"/>
      <c r="J84" s="564"/>
      <c r="K84" s="565"/>
      <c r="L84" s="564"/>
      <c r="M84" s="545"/>
      <c r="N84" s="263" t="str">
        <f>VLOOKUP(D84,'[6]Bao cao So GDDT'!$D$14:$S$282,11,FALSE)</f>
        <v>Giảng viên GDNN LT (hạng III)</v>
      </c>
      <c r="O84" s="263" t="s">
        <v>1438</v>
      </c>
      <c r="P84" s="566"/>
      <c r="Q84" s="566"/>
      <c r="R84" s="551">
        <v>3</v>
      </c>
      <c r="S84" s="546"/>
      <c r="T84" s="564"/>
      <c r="U84" s="546">
        <f t="shared" si="39"/>
        <v>0</v>
      </c>
      <c r="V84" s="547"/>
      <c r="W84" s="545">
        <v>0.35</v>
      </c>
      <c r="X84" s="179">
        <v>0</v>
      </c>
      <c r="Y84" s="548">
        <f t="shared" si="40"/>
        <v>0</v>
      </c>
      <c r="Z84" s="548">
        <f t="shared" si="41"/>
        <v>3.35</v>
      </c>
      <c r="AA84" s="549">
        <f t="shared" si="42"/>
        <v>7839000</v>
      </c>
      <c r="AB84" s="549"/>
      <c r="AC84" s="549">
        <f t="shared" si="43"/>
        <v>0</v>
      </c>
      <c r="AD84" s="549">
        <f>AA84/24*AB84*75%</f>
        <v>0</v>
      </c>
      <c r="AE84" s="549">
        <f t="shared" si="44"/>
        <v>7839000</v>
      </c>
      <c r="AF84" s="550">
        <f t="shared" si="45"/>
        <v>627120</v>
      </c>
      <c r="AG84" s="550">
        <f t="shared" si="46"/>
        <v>117585</v>
      </c>
      <c r="AH84" s="550">
        <f t="shared" si="47"/>
        <v>78390</v>
      </c>
      <c r="AI84" s="550"/>
      <c r="AJ84" s="550">
        <f t="shared" si="48"/>
        <v>823095</v>
      </c>
      <c r="AK84" s="567"/>
      <c r="AL84" s="535">
        <f t="shared" ref="AL84:AL147" si="53">AK84*$D$8</f>
        <v>0</v>
      </c>
      <c r="AM84" s="568"/>
      <c r="AN84" s="568"/>
      <c r="AO84" s="569">
        <f>R84+U84+W84</f>
        <v>3.35</v>
      </c>
      <c r="AP84" s="639">
        <v>0.25</v>
      </c>
      <c r="AQ84" s="185">
        <f t="shared" si="49"/>
        <v>0.83750000000000002</v>
      </c>
      <c r="AR84" s="178">
        <f t="shared" si="50"/>
        <v>1959750</v>
      </c>
      <c r="AS84" s="550"/>
      <c r="AT84" s="178">
        <f t="shared" si="51"/>
        <v>8975655</v>
      </c>
      <c r="AU84" s="469">
        <f t="shared" si="52"/>
        <v>66</v>
      </c>
      <c r="AV84" s="195"/>
      <c r="AW84" s="485"/>
    </row>
    <row r="85" spans="1:59" s="189" customFormat="1" ht="45" customHeight="1" x14ac:dyDescent="0.25">
      <c r="A85" s="168">
        <f>_xlfn.AGGREGATE(4,7,A$13:A84)+1</f>
        <v>67</v>
      </c>
      <c r="B85" s="168" t="str">
        <f>VLOOKUP(D85,[1]LuongBC_T01!$B$9:$C$292,2,FALSE)</f>
        <v>0016100006765003</v>
      </c>
      <c r="C85" s="371" t="s">
        <v>1041</v>
      </c>
      <c r="D85" s="230" t="s">
        <v>781</v>
      </c>
      <c r="E85" s="263" t="s">
        <v>1107</v>
      </c>
      <c r="F85" s="231"/>
      <c r="G85" s="231"/>
      <c r="H85" s="231"/>
      <c r="I85" s="169" t="s">
        <v>284</v>
      </c>
      <c r="J85" s="231"/>
      <c r="K85" s="170" t="str">
        <f>VLOOKUP(D85,[2]T3!$B$2:$D$328,3,FALSE)</f>
        <v>025310266</v>
      </c>
      <c r="L85" s="249">
        <v>1603205280047</v>
      </c>
      <c r="M85" s="249" t="s">
        <v>1041</v>
      </c>
      <c r="N85" s="263" t="str">
        <f>VLOOKUP(D85,'[6]Bao cao So GDDT'!$D$14:$S$282,11,FALSE)</f>
        <v>Lưu trữ viên
(hạng III)</v>
      </c>
      <c r="O85" s="393" t="s">
        <v>1117</v>
      </c>
      <c r="P85" s="170" t="s">
        <v>692</v>
      </c>
      <c r="Q85" s="170">
        <v>3</v>
      </c>
      <c r="R85" s="192">
        <v>3.66</v>
      </c>
      <c r="S85" s="176">
        <f>U85+W85+Y85</f>
        <v>0</v>
      </c>
      <c r="T85" s="178"/>
      <c r="U85" s="176">
        <f t="shared" si="39"/>
        <v>0</v>
      </c>
      <c r="V85" s="175">
        <f>R85*T85*$D$8/100</f>
        <v>0</v>
      </c>
      <c r="W85" s="178"/>
      <c r="X85" s="179">
        <f>VLOOKUP(D85,PCTN!D139:W406,20,FALSE)</f>
        <v>0</v>
      </c>
      <c r="Y85" s="216">
        <f t="shared" si="40"/>
        <v>0</v>
      </c>
      <c r="Z85" s="216">
        <f t="shared" si="41"/>
        <v>3.66</v>
      </c>
      <c r="AA85" s="180">
        <f t="shared" si="42"/>
        <v>8564400</v>
      </c>
      <c r="AB85" s="180"/>
      <c r="AC85" s="180">
        <f t="shared" si="43"/>
        <v>0</v>
      </c>
      <c r="AD85" s="180">
        <f>AA85/24*AB85*75%</f>
        <v>0</v>
      </c>
      <c r="AE85" s="180">
        <f t="shared" si="44"/>
        <v>8564400</v>
      </c>
      <c r="AF85" s="178">
        <f t="shared" si="45"/>
        <v>685152</v>
      </c>
      <c r="AG85" s="178">
        <f t="shared" si="46"/>
        <v>128466</v>
      </c>
      <c r="AH85" s="178">
        <f t="shared" si="47"/>
        <v>85644</v>
      </c>
      <c r="AI85" s="178"/>
      <c r="AJ85" s="178">
        <f t="shared" si="48"/>
        <v>899262</v>
      </c>
      <c r="AK85" s="215"/>
      <c r="AL85" s="535">
        <f t="shared" si="53"/>
        <v>0</v>
      </c>
      <c r="AM85" s="182"/>
      <c r="AN85" s="182"/>
      <c r="AO85" s="216"/>
      <c r="AP85" s="179"/>
      <c r="AQ85" s="194">
        <f t="shared" si="49"/>
        <v>0</v>
      </c>
      <c r="AR85" s="178">
        <f t="shared" si="50"/>
        <v>0</v>
      </c>
      <c r="AS85" s="178"/>
      <c r="AT85" s="178">
        <f t="shared" si="51"/>
        <v>7665138</v>
      </c>
      <c r="AU85" s="469">
        <f t="shared" si="52"/>
        <v>67</v>
      </c>
      <c r="AV85" s="195"/>
      <c r="AW85" s="242"/>
    </row>
    <row r="86" spans="1:59" s="189" customFormat="1" ht="43.5" customHeight="1" x14ac:dyDescent="0.25">
      <c r="A86" s="168">
        <f>_xlfn.AGGREGATE(4,7,A$13:A85)+1</f>
        <v>68</v>
      </c>
      <c r="B86" s="168" t="str">
        <f>VLOOKUP(D86,[1]LuongBC_T01!$B$9:$C$292,2,FALSE)</f>
        <v>0016100006864001</v>
      </c>
      <c r="C86" s="170" t="s">
        <v>1333</v>
      </c>
      <c r="D86" s="169" t="s">
        <v>1274</v>
      </c>
      <c r="E86" s="263" t="s">
        <v>1107</v>
      </c>
      <c r="F86" s="220"/>
      <c r="G86" s="220"/>
      <c r="H86" s="220"/>
      <c r="I86" s="220"/>
      <c r="J86" s="220"/>
      <c r="K86" s="170" t="str">
        <f>VLOOKUP(D86,[2]T3!$B$2:$D$328,3,FALSE)</f>
        <v>025575045</v>
      </c>
      <c r="L86" s="220"/>
      <c r="M86" s="170"/>
      <c r="N86" s="263" t="str">
        <f>VLOOKUP(D86,'[6]Bao cao So GDDT'!$D$14:$S$282,11,FALSE)</f>
        <v>Lưu trữ viên
(hạng III)</v>
      </c>
      <c r="O86" s="393" t="s">
        <v>1636</v>
      </c>
      <c r="P86" s="251" t="s">
        <v>1267</v>
      </c>
      <c r="Q86" s="251">
        <v>1</v>
      </c>
      <c r="R86" s="177">
        <f>2.46+0.15</f>
        <v>2.61</v>
      </c>
      <c r="S86" s="176"/>
      <c r="T86" s="220"/>
      <c r="U86" s="176">
        <f t="shared" si="39"/>
        <v>0</v>
      </c>
      <c r="V86" s="175"/>
      <c r="W86" s="170"/>
      <c r="X86" s="179">
        <f>VLOOKUP(D86,PCTN!D140:W407,20,FALSE)</f>
        <v>0</v>
      </c>
      <c r="Y86" s="216">
        <f t="shared" si="40"/>
        <v>0</v>
      </c>
      <c r="Z86" s="216">
        <f t="shared" si="41"/>
        <v>2.61</v>
      </c>
      <c r="AA86" s="180">
        <f t="shared" si="42"/>
        <v>6107400</v>
      </c>
      <c r="AB86" s="180"/>
      <c r="AC86" s="180">
        <f t="shared" si="43"/>
        <v>0</v>
      </c>
      <c r="AD86" s="180">
        <v>0</v>
      </c>
      <c r="AE86" s="180">
        <f t="shared" si="44"/>
        <v>6107400</v>
      </c>
      <c r="AF86" s="178">
        <f t="shared" si="45"/>
        <v>488592</v>
      </c>
      <c r="AG86" s="178">
        <f t="shared" si="46"/>
        <v>91611</v>
      </c>
      <c r="AH86" s="178">
        <f t="shared" si="47"/>
        <v>61074</v>
      </c>
      <c r="AI86" s="178"/>
      <c r="AJ86" s="178">
        <f t="shared" si="48"/>
        <v>641277</v>
      </c>
      <c r="AK86" s="192"/>
      <c r="AL86" s="535">
        <f t="shared" si="53"/>
        <v>0</v>
      </c>
      <c r="AM86" s="182"/>
      <c r="AN86" s="182"/>
      <c r="AO86" s="183">
        <f>R86+U86+W86</f>
        <v>2.61</v>
      </c>
      <c r="AP86" s="179"/>
      <c r="AQ86" s="185">
        <f t="shared" si="49"/>
        <v>0</v>
      </c>
      <c r="AR86" s="178">
        <f t="shared" si="50"/>
        <v>0</v>
      </c>
      <c r="AS86" s="178"/>
      <c r="AT86" s="178">
        <f t="shared" si="51"/>
        <v>5466123</v>
      </c>
      <c r="AU86" s="469">
        <f t="shared" si="52"/>
        <v>68</v>
      </c>
      <c r="AV86" s="195"/>
      <c r="AW86" s="485"/>
    </row>
    <row r="87" spans="1:59" s="189" customFormat="1" ht="44.25" customHeight="1" x14ac:dyDescent="0.25">
      <c r="A87" s="168">
        <f>_xlfn.AGGREGATE(4,7,A$13:A86)+1</f>
        <v>69</v>
      </c>
      <c r="B87" s="168" t="str">
        <f>VLOOKUP(D87,[1]LuongBC_T01!$B$9:$C$292,2,FALSE)</f>
        <v>0016100006635002</v>
      </c>
      <c r="C87" s="199" t="s">
        <v>934</v>
      </c>
      <c r="D87" s="169" t="s">
        <v>1140</v>
      </c>
      <c r="E87" s="263" t="s">
        <v>1107</v>
      </c>
      <c r="F87" s="169" t="s">
        <v>553</v>
      </c>
      <c r="G87" s="170" t="s">
        <v>25</v>
      </c>
      <c r="H87" s="170"/>
      <c r="I87" s="170" t="s">
        <v>284</v>
      </c>
      <c r="J87" s="169" t="s">
        <v>265</v>
      </c>
      <c r="K87" s="170" t="str">
        <f>VLOOKUP(D87,[2]T3!$B$2:$D$328,3,FALSE)</f>
        <v>023547031</v>
      </c>
      <c r="L87" s="171" t="s">
        <v>162</v>
      </c>
      <c r="M87" s="171" t="s">
        <v>934</v>
      </c>
      <c r="N87" s="263" t="str">
        <f>VLOOKUP(D87,'[6]Bao cao So GDDT'!$D$14:$S$282,11,FALSE)</f>
        <v>Chuyên viên</v>
      </c>
      <c r="O87" s="391" t="s">
        <v>39</v>
      </c>
      <c r="P87" s="222" t="s">
        <v>698</v>
      </c>
      <c r="Q87" s="172">
        <v>6</v>
      </c>
      <c r="R87" s="174">
        <v>3.99</v>
      </c>
      <c r="S87" s="176">
        <f t="shared" ref="S87:S99" si="54">U87+W87+Y87</f>
        <v>0</v>
      </c>
      <c r="T87" s="370"/>
      <c r="U87" s="176">
        <f t="shared" si="39"/>
        <v>0</v>
      </c>
      <c r="V87" s="175">
        <f t="shared" ref="V87:V99" si="55">R87*T87*$D$8/100</f>
        <v>0</v>
      </c>
      <c r="W87" s="170"/>
      <c r="X87" s="179">
        <f>VLOOKUP(D87,PCTN!D153:W420,20,FALSE)</f>
        <v>0</v>
      </c>
      <c r="Y87" s="216">
        <f t="shared" si="40"/>
        <v>0</v>
      </c>
      <c r="Z87" s="216">
        <f t="shared" si="41"/>
        <v>3.99</v>
      </c>
      <c r="AA87" s="180">
        <f t="shared" si="42"/>
        <v>9336600</v>
      </c>
      <c r="AB87" s="180"/>
      <c r="AC87" s="180">
        <f t="shared" si="43"/>
        <v>0</v>
      </c>
      <c r="AD87" s="180">
        <f t="shared" ref="AD87:AD93" si="56">AA87/24*AB87*75%</f>
        <v>0</v>
      </c>
      <c r="AE87" s="180">
        <f t="shared" si="44"/>
        <v>9336600</v>
      </c>
      <c r="AF87" s="178">
        <f t="shared" si="45"/>
        <v>746928</v>
      </c>
      <c r="AG87" s="178">
        <f t="shared" si="46"/>
        <v>140049</v>
      </c>
      <c r="AH87" s="178">
        <f t="shared" si="47"/>
        <v>93366</v>
      </c>
      <c r="AI87" s="178"/>
      <c r="AJ87" s="178">
        <f t="shared" si="48"/>
        <v>980343</v>
      </c>
      <c r="AK87" s="192"/>
      <c r="AL87" s="535">
        <f t="shared" si="53"/>
        <v>0</v>
      </c>
      <c r="AM87" s="182"/>
      <c r="AN87" s="182"/>
      <c r="AO87" s="193">
        <f>R87+U87+W87</f>
        <v>3.99</v>
      </c>
      <c r="AP87" s="179"/>
      <c r="AQ87" s="194">
        <f t="shared" si="49"/>
        <v>0</v>
      </c>
      <c r="AR87" s="178">
        <f t="shared" si="50"/>
        <v>0</v>
      </c>
      <c r="AS87" s="178"/>
      <c r="AT87" s="178">
        <f t="shared" si="51"/>
        <v>8356257</v>
      </c>
      <c r="AU87" s="469">
        <f t="shared" si="52"/>
        <v>69</v>
      </c>
      <c r="AV87" s="186"/>
      <c r="AW87" s="187"/>
    </row>
    <row r="88" spans="1:59" s="189" customFormat="1" ht="47.25" customHeight="1" x14ac:dyDescent="0.25">
      <c r="A88" s="168">
        <f>_xlfn.AGGREGATE(4,7,A$13:A87)+1</f>
        <v>70</v>
      </c>
      <c r="B88" s="168" t="str">
        <f>VLOOKUP(D88,[1]LuongBC_T01!$B$9:$C$292,2,FALSE)</f>
        <v>0016100006767006</v>
      </c>
      <c r="C88" s="199" t="s">
        <v>937</v>
      </c>
      <c r="D88" s="169" t="s">
        <v>652</v>
      </c>
      <c r="E88" s="263" t="s">
        <v>1107</v>
      </c>
      <c r="F88" s="169" t="s">
        <v>553</v>
      </c>
      <c r="G88" s="170" t="s">
        <v>25</v>
      </c>
      <c r="H88" s="169"/>
      <c r="I88" s="169" t="s">
        <v>284</v>
      </c>
      <c r="J88" s="169"/>
      <c r="K88" s="170" t="str">
        <f>VLOOKUP(D88,[2]T3!$B$2:$D$328,3,FALSE)</f>
        <v>024306087</v>
      </c>
      <c r="L88" s="213" t="s">
        <v>662</v>
      </c>
      <c r="M88" s="213" t="s">
        <v>937</v>
      </c>
      <c r="N88" s="263" t="str">
        <f>VLOOKUP(D88,'[6]Bao cao So GDDT'!$D$14:$S$282,11,FALSE)</f>
        <v>Chuyên viên</v>
      </c>
      <c r="O88" s="393" t="s">
        <v>39</v>
      </c>
      <c r="P88" s="170" t="s">
        <v>698</v>
      </c>
      <c r="Q88" s="170">
        <v>6</v>
      </c>
      <c r="R88" s="192">
        <v>3.66</v>
      </c>
      <c r="S88" s="176">
        <f t="shared" si="54"/>
        <v>0</v>
      </c>
      <c r="T88" s="178"/>
      <c r="U88" s="176">
        <f t="shared" si="39"/>
        <v>0</v>
      </c>
      <c r="V88" s="175">
        <f t="shared" si="55"/>
        <v>0</v>
      </c>
      <c r="W88" s="178"/>
      <c r="X88" s="179">
        <f>VLOOKUP(D88,PCTN!D157:W424,20,FALSE)</f>
        <v>0</v>
      </c>
      <c r="Y88" s="216">
        <f t="shared" si="40"/>
        <v>0</v>
      </c>
      <c r="Z88" s="216">
        <f t="shared" si="41"/>
        <v>3.66</v>
      </c>
      <c r="AA88" s="180">
        <f t="shared" si="42"/>
        <v>8564400</v>
      </c>
      <c r="AB88" s="180"/>
      <c r="AC88" s="180">
        <f t="shared" si="43"/>
        <v>0</v>
      </c>
      <c r="AD88" s="180">
        <f t="shared" si="56"/>
        <v>0</v>
      </c>
      <c r="AE88" s="180">
        <f t="shared" si="44"/>
        <v>8564400</v>
      </c>
      <c r="AF88" s="178">
        <f t="shared" si="45"/>
        <v>685152</v>
      </c>
      <c r="AG88" s="178">
        <f t="shared" si="46"/>
        <v>128466</v>
      </c>
      <c r="AH88" s="178">
        <f t="shared" si="47"/>
        <v>85644</v>
      </c>
      <c r="AI88" s="178"/>
      <c r="AJ88" s="178">
        <f t="shared" si="48"/>
        <v>899262</v>
      </c>
      <c r="AK88" s="215"/>
      <c r="AL88" s="535">
        <f t="shared" si="53"/>
        <v>0</v>
      </c>
      <c r="AM88" s="182"/>
      <c r="AN88" s="182"/>
      <c r="AO88" s="216"/>
      <c r="AP88" s="179"/>
      <c r="AQ88" s="194">
        <f t="shared" si="49"/>
        <v>0</v>
      </c>
      <c r="AR88" s="178">
        <f t="shared" si="50"/>
        <v>0</v>
      </c>
      <c r="AS88" s="178"/>
      <c r="AT88" s="178">
        <f t="shared" si="51"/>
        <v>7665138</v>
      </c>
      <c r="AU88" s="469">
        <f t="shared" si="52"/>
        <v>70</v>
      </c>
      <c r="AV88" s="195"/>
      <c r="AW88" s="187" t="s">
        <v>715</v>
      </c>
    </row>
    <row r="89" spans="1:59" s="189" customFormat="1" ht="42" customHeight="1" x14ac:dyDescent="0.25">
      <c r="A89" s="168">
        <f>_xlfn.AGGREGATE(4,7,A$13:A88)+1</f>
        <v>71</v>
      </c>
      <c r="B89" s="168" t="str">
        <f>VLOOKUP(D89,[1]LuongBC_T01!$B$9:$C$292,2,FALSE)</f>
        <v>0016100006549009</v>
      </c>
      <c r="C89" s="371" t="s">
        <v>1047</v>
      </c>
      <c r="D89" s="230" t="s">
        <v>1211</v>
      </c>
      <c r="E89" s="263" t="s">
        <v>1107</v>
      </c>
      <c r="F89" s="231"/>
      <c r="G89" s="251" t="s">
        <v>25</v>
      </c>
      <c r="H89" s="231"/>
      <c r="I89" s="170" t="s">
        <v>284</v>
      </c>
      <c r="J89" s="231"/>
      <c r="K89" s="170" t="str">
        <f>VLOOKUP(D89,[2]T3!$B$2:$D$328,3,FALSE)</f>
        <v>025877702</v>
      </c>
      <c r="L89" s="226">
        <v>1603205360856</v>
      </c>
      <c r="M89" s="226" t="s">
        <v>1047</v>
      </c>
      <c r="N89" s="263" t="str">
        <f>VLOOKUP(D89,'[6]Bao cao So GDDT'!$D$14:$S$282,11,FALSE)</f>
        <v>Chuyên viên</v>
      </c>
      <c r="O89" s="393" t="s">
        <v>39</v>
      </c>
      <c r="P89" s="170" t="s">
        <v>697</v>
      </c>
      <c r="Q89" s="170">
        <v>1</v>
      </c>
      <c r="R89" s="177">
        <v>3.33</v>
      </c>
      <c r="S89" s="176">
        <f t="shared" si="54"/>
        <v>0</v>
      </c>
      <c r="T89" s="169"/>
      <c r="U89" s="176">
        <f t="shared" si="39"/>
        <v>0</v>
      </c>
      <c r="V89" s="175">
        <f t="shared" si="55"/>
        <v>0</v>
      </c>
      <c r="W89" s="170"/>
      <c r="X89" s="179">
        <f>VLOOKUP(D89,PCTN!D147:W414,20,FALSE)</f>
        <v>0</v>
      </c>
      <c r="Y89" s="216">
        <f t="shared" si="40"/>
        <v>0</v>
      </c>
      <c r="Z89" s="216">
        <f t="shared" si="41"/>
        <v>3.33</v>
      </c>
      <c r="AA89" s="180">
        <f t="shared" si="42"/>
        <v>7792200</v>
      </c>
      <c r="AB89" s="180"/>
      <c r="AC89" s="180">
        <f t="shared" si="43"/>
        <v>0</v>
      </c>
      <c r="AD89" s="180">
        <v>0</v>
      </c>
      <c r="AE89" s="180">
        <f t="shared" si="44"/>
        <v>7792200</v>
      </c>
      <c r="AF89" s="178">
        <f t="shared" si="45"/>
        <v>623376</v>
      </c>
      <c r="AG89" s="178">
        <f t="shared" si="46"/>
        <v>116883</v>
      </c>
      <c r="AH89" s="178">
        <f t="shared" si="47"/>
        <v>77922</v>
      </c>
      <c r="AI89" s="178"/>
      <c r="AJ89" s="178">
        <f t="shared" si="48"/>
        <v>818181</v>
      </c>
      <c r="AK89" s="192"/>
      <c r="AL89" s="535">
        <f t="shared" si="53"/>
        <v>0</v>
      </c>
      <c r="AM89" s="182"/>
      <c r="AN89" s="182"/>
      <c r="AO89" s="183">
        <f>R89+U89+W89</f>
        <v>3.33</v>
      </c>
      <c r="AP89" s="179"/>
      <c r="AQ89" s="194">
        <f t="shared" si="49"/>
        <v>0</v>
      </c>
      <c r="AR89" s="178">
        <f t="shared" si="50"/>
        <v>0</v>
      </c>
      <c r="AS89" s="178"/>
      <c r="AT89" s="178">
        <f t="shared" si="51"/>
        <v>6974019</v>
      </c>
      <c r="AU89" s="469">
        <f t="shared" si="52"/>
        <v>71</v>
      </c>
      <c r="AV89" s="195"/>
      <c r="AW89" s="239" t="s">
        <v>769</v>
      </c>
    </row>
    <row r="90" spans="1:59" s="189" customFormat="1" ht="42.75" customHeight="1" x14ac:dyDescent="0.25">
      <c r="A90" s="168">
        <f>_xlfn.AGGREGATE(4,7,A$13:A89)+1</f>
        <v>72</v>
      </c>
      <c r="B90" s="168" t="str">
        <f>VLOOKUP(D90,[1]LuongBC_T01!$B$9:$C$292,2,FALSE)</f>
        <v>0016100006576006</v>
      </c>
      <c r="C90" s="199" t="s">
        <v>932</v>
      </c>
      <c r="D90" s="169" t="s">
        <v>1212</v>
      </c>
      <c r="E90" s="263" t="s">
        <v>1107</v>
      </c>
      <c r="F90" s="169" t="s">
        <v>549</v>
      </c>
      <c r="G90" s="170" t="s">
        <v>25</v>
      </c>
      <c r="H90" s="170"/>
      <c r="I90" s="170" t="s">
        <v>284</v>
      </c>
      <c r="J90" s="169" t="s">
        <v>275</v>
      </c>
      <c r="K90" s="170" t="str">
        <f>VLOOKUP(D90,[2]T3!$B$2:$D$328,3,FALSE)</f>
        <v>023681257</v>
      </c>
      <c r="L90" s="171" t="s">
        <v>128</v>
      </c>
      <c r="M90" s="171" t="s">
        <v>932</v>
      </c>
      <c r="N90" s="263" t="s">
        <v>1595</v>
      </c>
      <c r="O90" s="391" t="s">
        <v>39</v>
      </c>
      <c r="P90" s="222" t="s">
        <v>698</v>
      </c>
      <c r="Q90" s="172">
        <v>6</v>
      </c>
      <c r="R90" s="174">
        <v>3.66</v>
      </c>
      <c r="S90" s="176">
        <f t="shared" si="54"/>
        <v>0</v>
      </c>
      <c r="T90" s="370"/>
      <c r="U90" s="176">
        <f t="shared" si="39"/>
        <v>0</v>
      </c>
      <c r="V90" s="175">
        <f t="shared" si="55"/>
        <v>0</v>
      </c>
      <c r="W90" s="170"/>
      <c r="X90" s="179">
        <f>VLOOKUP(D90,PCTN!D152:W419,20,FALSE)</f>
        <v>0</v>
      </c>
      <c r="Y90" s="216">
        <f t="shared" si="40"/>
        <v>0</v>
      </c>
      <c r="Z90" s="216">
        <f t="shared" si="41"/>
        <v>3.66</v>
      </c>
      <c r="AA90" s="180">
        <f t="shared" si="42"/>
        <v>8564400</v>
      </c>
      <c r="AB90" s="180"/>
      <c r="AC90" s="180">
        <f t="shared" si="43"/>
        <v>0</v>
      </c>
      <c r="AD90" s="180">
        <f t="shared" si="56"/>
        <v>0</v>
      </c>
      <c r="AE90" s="180">
        <f t="shared" si="44"/>
        <v>8564400</v>
      </c>
      <c r="AF90" s="178">
        <f t="shared" si="45"/>
        <v>685152</v>
      </c>
      <c r="AG90" s="178">
        <f t="shared" si="46"/>
        <v>128466</v>
      </c>
      <c r="AH90" s="178">
        <f t="shared" si="47"/>
        <v>85644</v>
      </c>
      <c r="AI90" s="178"/>
      <c r="AJ90" s="178">
        <f t="shared" si="48"/>
        <v>899262</v>
      </c>
      <c r="AK90" s="192"/>
      <c r="AL90" s="535">
        <f t="shared" si="53"/>
        <v>0</v>
      </c>
      <c r="AM90" s="182"/>
      <c r="AN90" s="182"/>
      <c r="AO90" s="193"/>
      <c r="AP90" s="179"/>
      <c r="AQ90" s="194">
        <f t="shared" si="49"/>
        <v>0</v>
      </c>
      <c r="AR90" s="178">
        <f t="shared" si="50"/>
        <v>0</v>
      </c>
      <c r="AS90" s="178"/>
      <c r="AT90" s="178">
        <f t="shared" si="51"/>
        <v>7665138</v>
      </c>
      <c r="AU90" s="469">
        <f t="shared" si="52"/>
        <v>72</v>
      </c>
      <c r="AV90" s="195"/>
      <c r="AW90" s="657" t="s">
        <v>1128</v>
      </c>
    </row>
    <row r="91" spans="1:59" s="189" customFormat="1" ht="42.75" customHeight="1" x14ac:dyDescent="0.25">
      <c r="A91" s="168">
        <f>_xlfn.AGGREGATE(4,7,A$13:A90)+1</f>
        <v>73</v>
      </c>
      <c r="B91" s="168"/>
      <c r="C91" s="199"/>
      <c r="D91" s="867" t="s">
        <v>1610</v>
      </c>
      <c r="E91" s="263" t="s">
        <v>1630</v>
      </c>
      <c r="F91" s="169"/>
      <c r="G91" s="170"/>
      <c r="H91" s="170"/>
      <c r="I91" s="170"/>
      <c r="J91" s="169"/>
      <c r="K91" s="170"/>
      <c r="L91" s="171"/>
      <c r="M91" s="171"/>
      <c r="N91" s="263"/>
      <c r="O91" s="391" t="s">
        <v>39</v>
      </c>
      <c r="P91" s="222"/>
      <c r="Q91" s="172"/>
      <c r="R91" s="174">
        <v>3.66</v>
      </c>
      <c r="S91" s="176"/>
      <c r="T91" s="370"/>
      <c r="U91" s="176">
        <f t="shared" si="39"/>
        <v>0</v>
      </c>
      <c r="V91" s="175">
        <f t="shared" si="55"/>
        <v>0</v>
      </c>
      <c r="W91" s="170"/>
      <c r="X91" s="179"/>
      <c r="Y91" s="216">
        <f t="shared" si="40"/>
        <v>0</v>
      </c>
      <c r="Z91" s="216">
        <f t="shared" si="41"/>
        <v>3.66</v>
      </c>
      <c r="AA91" s="180">
        <f t="shared" si="42"/>
        <v>8564400</v>
      </c>
      <c r="AB91" s="180"/>
      <c r="AC91" s="180">
        <f t="shared" si="43"/>
        <v>0</v>
      </c>
      <c r="AD91" s="180">
        <f t="shared" si="56"/>
        <v>0</v>
      </c>
      <c r="AE91" s="180">
        <f t="shared" si="44"/>
        <v>8564400</v>
      </c>
      <c r="AF91" s="178">
        <f t="shared" si="45"/>
        <v>685152</v>
      </c>
      <c r="AG91" s="178">
        <f t="shared" si="46"/>
        <v>128466</v>
      </c>
      <c r="AH91" s="178">
        <f t="shared" si="47"/>
        <v>85644</v>
      </c>
      <c r="AI91" s="178"/>
      <c r="AJ91" s="178">
        <f t="shared" si="48"/>
        <v>899262</v>
      </c>
      <c r="AK91" s="192"/>
      <c r="AL91" s="535">
        <f t="shared" si="53"/>
        <v>0</v>
      </c>
      <c r="AM91" s="182"/>
      <c r="AN91" s="182"/>
      <c r="AO91" s="193"/>
      <c r="AP91" s="179"/>
      <c r="AQ91" s="194">
        <f t="shared" si="49"/>
        <v>0</v>
      </c>
      <c r="AR91" s="178">
        <f t="shared" si="50"/>
        <v>0</v>
      </c>
      <c r="AS91" s="178"/>
      <c r="AT91" s="178">
        <f t="shared" si="51"/>
        <v>7665138</v>
      </c>
      <c r="AU91" s="469">
        <f t="shared" si="52"/>
        <v>73</v>
      </c>
      <c r="AV91" s="195"/>
      <c r="AW91" s="195" t="s">
        <v>1611</v>
      </c>
    </row>
    <row r="92" spans="1:59" s="189" customFormat="1" ht="42" customHeight="1" x14ac:dyDescent="0.25">
      <c r="A92" s="168">
        <f>_xlfn.AGGREGATE(4,7,A$13:A91)+1</f>
        <v>74</v>
      </c>
      <c r="B92" s="168" t="str">
        <f>VLOOKUP(D92,[1]LuongBC_T01!$B$9:$C$292,2,FALSE)</f>
        <v>0016100006771003</v>
      </c>
      <c r="C92" s="371" t="s">
        <v>1048</v>
      </c>
      <c r="D92" s="169" t="s">
        <v>1105</v>
      </c>
      <c r="E92" s="263" t="s">
        <v>1107</v>
      </c>
      <c r="F92" s="169" t="s">
        <v>549</v>
      </c>
      <c r="G92" s="170" t="s">
        <v>25</v>
      </c>
      <c r="H92" s="170"/>
      <c r="I92" s="170" t="s">
        <v>284</v>
      </c>
      <c r="J92" s="169" t="s">
        <v>266</v>
      </c>
      <c r="K92" s="168" t="s">
        <v>1491</v>
      </c>
      <c r="L92" s="171" t="s">
        <v>161</v>
      </c>
      <c r="M92" s="171" t="s">
        <v>1048</v>
      </c>
      <c r="N92" s="263" t="str">
        <f>VLOOKUP(D92,'[6]Bao cao So GDDT'!$D$14:$S$282,11,FALSE)</f>
        <v>Kế toán viên</v>
      </c>
      <c r="O92" s="391" t="s">
        <v>38</v>
      </c>
      <c r="P92" s="170" t="s">
        <v>692</v>
      </c>
      <c r="Q92" s="172">
        <v>3</v>
      </c>
      <c r="R92" s="174">
        <v>3.99</v>
      </c>
      <c r="S92" s="176">
        <f t="shared" si="54"/>
        <v>0</v>
      </c>
      <c r="T92" s="370"/>
      <c r="U92" s="176">
        <f t="shared" si="39"/>
        <v>0</v>
      </c>
      <c r="V92" s="175">
        <f t="shared" si="55"/>
        <v>0</v>
      </c>
      <c r="W92" s="170"/>
      <c r="X92" s="179">
        <f>VLOOKUP(D92,PCTN!D159:W426,20,FALSE)</f>
        <v>0</v>
      </c>
      <c r="Y92" s="216">
        <f t="shared" si="40"/>
        <v>0</v>
      </c>
      <c r="Z92" s="216">
        <f t="shared" si="41"/>
        <v>3.99</v>
      </c>
      <c r="AA92" s="180">
        <f t="shared" si="42"/>
        <v>9336600</v>
      </c>
      <c r="AB92" s="180"/>
      <c r="AC92" s="180">
        <f t="shared" si="43"/>
        <v>0</v>
      </c>
      <c r="AD92" s="180">
        <f t="shared" si="56"/>
        <v>0</v>
      </c>
      <c r="AE92" s="180">
        <f t="shared" si="44"/>
        <v>9336600</v>
      </c>
      <c r="AF92" s="178">
        <f t="shared" si="45"/>
        <v>746928</v>
      </c>
      <c r="AG92" s="178">
        <f t="shared" si="46"/>
        <v>140049</v>
      </c>
      <c r="AH92" s="178">
        <f t="shared" si="47"/>
        <v>93366</v>
      </c>
      <c r="AI92" s="178"/>
      <c r="AJ92" s="178">
        <f t="shared" si="48"/>
        <v>980343</v>
      </c>
      <c r="AK92" s="192"/>
      <c r="AL92" s="535">
        <f t="shared" si="53"/>
        <v>0</v>
      </c>
      <c r="AM92" s="182"/>
      <c r="AN92" s="182"/>
      <c r="AO92" s="193">
        <f>R92+U92+W92</f>
        <v>3.99</v>
      </c>
      <c r="AP92" s="179"/>
      <c r="AQ92" s="194">
        <f t="shared" si="49"/>
        <v>0</v>
      </c>
      <c r="AR92" s="178">
        <f t="shared" si="50"/>
        <v>0</v>
      </c>
      <c r="AS92" s="178"/>
      <c r="AT92" s="178">
        <f t="shared" si="51"/>
        <v>8356257</v>
      </c>
      <c r="AU92" s="469">
        <f t="shared" si="52"/>
        <v>74</v>
      </c>
      <c r="AV92" s="244"/>
      <c r="AW92" s="244" t="s">
        <v>1276</v>
      </c>
    </row>
    <row r="93" spans="1:59" s="189" customFormat="1" ht="42.75" customHeight="1" x14ac:dyDescent="0.25">
      <c r="A93" s="168">
        <f>_xlfn.AGGREGATE(4,7,A$13:A92)+1</f>
        <v>75</v>
      </c>
      <c r="B93" s="168" t="str">
        <f>VLOOKUP(D93,[1]LuongBC_T01!$B$9:$C$292,2,FALSE)</f>
        <v>0016100006663006</v>
      </c>
      <c r="C93" s="199" t="s">
        <v>952</v>
      </c>
      <c r="D93" s="169" t="s">
        <v>755</v>
      </c>
      <c r="E93" s="263" t="s">
        <v>1107</v>
      </c>
      <c r="F93" s="169"/>
      <c r="G93" s="170" t="s">
        <v>25</v>
      </c>
      <c r="H93" s="170"/>
      <c r="I93" s="170"/>
      <c r="J93" s="169"/>
      <c r="K93" s="170" t="str">
        <f>VLOOKUP(D93,[2]T3!$B$2:$D$328,3,FALSE)</f>
        <v>024419690</v>
      </c>
      <c r="L93" s="226" t="s">
        <v>765</v>
      </c>
      <c r="M93" s="226" t="s">
        <v>952</v>
      </c>
      <c r="N93" s="263" t="str">
        <f>VLOOKUP(D93,'[6]Bao cao So GDDT'!$D$14:$S$282,11,FALSE)</f>
        <v>Kỹ thuật viên (hạng IV)</v>
      </c>
      <c r="O93" s="390" t="s">
        <v>1118</v>
      </c>
      <c r="P93" s="222" t="s">
        <v>698</v>
      </c>
      <c r="Q93" s="172">
        <v>3</v>
      </c>
      <c r="R93" s="174">
        <v>3.46</v>
      </c>
      <c r="S93" s="176">
        <f t="shared" si="54"/>
        <v>0</v>
      </c>
      <c r="T93" s="370"/>
      <c r="U93" s="176">
        <f t="shared" si="39"/>
        <v>0</v>
      </c>
      <c r="V93" s="175">
        <f t="shared" si="55"/>
        <v>0</v>
      </c>
      <c r="W93" s="170"/>
      <c r="X93" s="179">
        <f>VLOOKUP(D93,PCTN!D166:W433,20,FALSE)</f>
        <v>0</v>
      </c>
      <c r="Y93" s="216">
        <f t="shared" si="40"/>
        <v>0</v>
      </c>
      <c r="Z93" s="216">
        <f t="shared" si="41"/>
        <v>3.46</v>
      </c>
      <c r="AA93" s="180">
        <f t="shared" si="42"/>
        <v>8096400</v>
      </c>
      <c r="AB93" s="180"/>
      <c r="AC93" s="180">
        <f t="shared" si="43"/>
        <v>0</v>
      </c>
      <c r="AD93" s="180">
        <f t="shared" si="56"/>
        <v>0</v>
      </c>
      <c r="AE93" s="180">
        <f t="shared" si="44"/>
        <v>8096400</v>
      </c>
      <c r="AF93" s="178">
        <f t="shared" si="45"/>
        <v>647712</v>
      </c>
      <c r="AG93" s="178">
        <f t="shared" si="46"/>
        <v>121446</v>
      </c>
      <c r="AH93" s="178">
        <f t="shared" si="47"/>
        <v>80964</v>
      </c>
      <c r="AI93" s="178"/>
      <c r="AJ93" s="178">
        <f t="shared" si="48"/>
        <v>850122</v>
      </c>
      <c r="AK93" s="181"/>
      <c r="AL93" s="535">
        <f t="shared" si="53"/>
        <v>0</v>
      </c>
      <c r="AM93" s="182"/>
      <c r="AN93" s="182"/>
      <c r="AO93" s="193"/>
      <c r="AP93" s="179"/>
      <c r="AQ93" s="194">
        <f t="shared" si="49"/>
        <v>0</v>
      </c>
      <c r="AR93" s="178">
        <f t="shared" si="50"/>
        <v>0</v>
      </c>
      <c r="AS93" s="178"/>
      <c r="AT93" s="178">
        <f t="shared" si="51"/>
        <v>7246278</v>
      </c>
      <c r="AU93" s="469">
        <f t="shared" si="52"/>
        <v>75</v>
      </c>
      <c r="AV93" s="244"/>
      <c r="AW93" s="223" t="e">
        <f>#REF!*2</f>
        <v>#REF!</v>
      </c>
    </row>
    <row r="94" spans="1:59" s="189" customFormat="1" ht="36" customHeight="1" x14ac:dyDescent="0.25">
      <c r="A94" s="168">
        <f>_xlfn.AGGREGATE(4,7,A$13:A93)+1</f>
        <v>76</v>
      </c>
      <c r="B94" s="168" t="str">
        <f>VLOOKUP(D94,[1]LuongBC_T01!$B$9:$C$292,2,FALSE)</f>
        <v>0016100006690003</v>
      </c>
      <c r="C94" s="371" t="s">
        <v>1039</v>
      </c>
      <c r="D94" s="169" t="s">
        <v>651</v>
      </c>
      <c r="E94" s="263" t="s">
        <v>1106</v>
      </c>
      <c r="F94" s="169" t="s">
        <v>553</v>
      </c>
      <c r="G94" s="169"/>
      <c r="H94" s="169"/>
      <c r="I94" s="169" t="s">
        <v>284</v>
      </c>
      <c r="J94" s="169"/>
      <c r="K94" s="170" t="str">
        <f>VLOOKUP(D94,[2]T3!$B$2:$D$328,3,FALSE)</f>
        <v>025211587</v>
      </c>
      <c r="L94" s="213" t="s">
        <v>661</v>
      </c>
      <c r="M94" s="213" t="s">
        <v>1039</v>
      </c>
      <c r="N94" s="263" t="str">
        <f>VLOOKUP(D94,'[6]Bao cao So GDDT'!$D$14:$S$282,11,FALSE)</f>
        <v>Chuyên viên</v>
      </c>
      <c r="O94" s="393" t="s">
        <v>39</v>
      </c>
      <c r="P94" s="170" t="s">
        <v>692</v>
      </c>
      <c r="Q94" s="170">
        <v>2</v>
      </c>
      <c r="R94" s="192">
        <v>3.66</v>
      </c>
      <c r="S94" s="176">
        <f t="shared" si="54"/>
        <v>0</v>
      </c>
      <c r="T94" s="178"/>
      <c r="U94" s="176">
        <f t="shared" si="39"/>
        <v>0</v>
      </c>
      <c r="V94" s="175">
        <f t="shared" si="55"/>
        <v>0</v>
      </c>
      <c r="W94" s="178"/>
      <c r="X94" s="179">
        <f>VLOOKUP(D94,PCTN!D137:W404,20,FALSE)</f>
        <v>0</v>
      </c>
      <c r="Y94" s="216">
        <f t="shared" si="40"/>
        <v>0</v>
      </c>
      <c r="Z94" s="216">
        <f t="shared" si="41"/>
        <v>3.66</v>
      </c>
      <c r="AA94" s="180">
        <f t="shared" si="42"/>
        <v>8564400</v>
      </c>
      <c r="AB94" s="180"/>
      <c r="AC94" s="180">
        <f t="shared" si="43"/>
        <v>0</v>
      </c>
      <c r="AD94" s="180">
        <v>0</v>
      </c>
      <c r="AE94" s="180">
        <f t="shared" si="44"/>
        <v>8564400</v>
      </c>
      <c r="AF94" s="178">
        <f t="shared" si="45"/>
        <v>685152</v>
      </c>
      <c r="AG94" s="178">
        <f t="shared" si="46"/>
        <v>128466</v>
      </c>
      <c r="AH94" s="178">
        <f t="shared" si="47"/>
        <v>85644</v>
      </c>
      <c r="AI94" s="178"/>
      <c r="AJ94" s="178">
        <f t="shared" si="48"/>
        <v>899262</v>
      </c>
      <c r="AK94" s="215"/>
      <c r="AL94" s="535">
        <f t="shared" si="53"/>
        <v>0</v>
      </c>
      <c r="AM94" s="182"/>
      <c r="AN94" s="182"/>
      <c r="AO94" s="216"/>
      <c r="AP94" s="179"/>
      <c r="AQ94" s="194">
        <f t="shared" si="49"/>
        <v>0</v>
      </c>
      <c r="AR94" s="178">
        <f t="shared" si="50"/>
        <v>0</v>
      </c>
      <c r="AS94" s="178"/>
      <c r="AT94" s="178">
        <f t="shared" si="51"/>
        <v>7665138</v>
      </c>
      <c r="AU94" s="469">
        <f t="shared" si="52"/>
        <v>76</v>
      </c>
      <c r="AV94" s="221"/>
      <c r="AW94" s="242" t="s">
        <v>715</v>
      </c>
    </row>
    <row r="95" spans="1:59" s="189" customFormat="1" ht="44.25" customHeight="1" x14ac:dyDescent="0.25">
      <c r="A95" s="168">
        <f>_xlfn.AGGREGATE(4,7,A$13:A94)+1</f>
        <v>77</v>
      </c>
      <c r="B95" s="168" t="str">
        <f>VLOOKUP(D95,[1]LuongBC_T01!$B$9:$C$292,2,FALSE)</f>
        <v>0016100006505001</v>
      </c>
      <c r="C95" s="371" t="s">
        <v>930</v>
      </c>
      <c r="D95" s="169" t="s">
        <v>1210</v>
      </c>
      <c r="E95" s="263" t="s">
        <v>1549</v>
      </c>
      <c r="F95" s="169" t="s">
        <v>551</v>
      </c>
      <c r="G95" s="170"/>
      <c r="H95" s="170"/>
      <c r="I95" s="170" t="s">
        <v>284</v>
      </c>
      <c r="J95" s="169" t="s">
        <v>271</v>
      </c>
      <c r="K95" s="170" t="str">
        <f>VLOOKUP(D95,[2]T3!$B$2:$D$328,3,FALSE)</f>
        <v>024783702</v>
      </c>
      <c r="L95" s="171" t="s">
        <v>154</v>
      </c>
      <c r="M95" s="171" t="s">
        <v>930</v>
      </c>
      <c r="N95" s="263" t="str">
        <f>VLOOKUP(D95,'[6]Bao cao So GDDT'!$D$14:$S$282,11,FALSE)</f>
        <v>Cán sự</v>
      </c>
      <c r="O95" s="393" t="s">
        <v>43</v>
      </c>
      <c r="P95" s="222" t="s">
        <v>697</v>
      </c>
      <c r="Q95" s="172">
        <v>3</v>
      </c>
      <c r="R95" s="174">
        <v>3.65</v>
      </c>
      <c r="S95" s="176">
        <f t="shared" si="54"/>
        <v>0.25</v>
      </c>
      <c r="T95" s="370"/>
      <c r="U95" s="176">
        <f t="shared" si="39"/>
        <v>0</v>
      </c>
      <c r="V95" s="175">
        <f t="shared" si="55"/>
        <v>0</v>
      </c>
      <c r="W95" s="170">
        <v>0.25</v>
      </c>
      <c r="X95" s="179">
        <f>VLOOKUP(D95,PCTN!D131:W398,20,FALSE)</f>
        <v>0</v>
      </c>
      <c r="Y95" s="216">
        <f t="shared" si="40"/>
        <v>0</v>
      </c>
      <c r="Z95" s="216">
        <f t="shared" si="41"/>
        <v>3.9</v>
      </c>
      <c r="AA95" s="180">
        <f t="shared" si="42"/>
        <v>9126000</v>
      </c>
      <c r="AB95" s="180"/>
      <c r="AC95" s="180">
        <f t="shared" si="43"/>
        <v>0</v>
      </c>
      <c r="AD95" s="180">
        <f>AA95/24*AB95*75%</f>
        <v>0</v>
      </c>
      <c r="AE95" s="180">
        <f t="shared" si="44"/>
        <v>9126000</v>
      </c>
      <c r="AF95" s="178">
        <f t="shared" si="45"/>
        <v>730080</v>
      </c>
      <c r="AG95" s="178">
        <f t="shared" si="46"/>
        <v>136890</v>
      </c>
      <c r="AH95" s="178">
        <f t="shared" si="47"/>
        <v>91260</v>
      </c>
      <c r="AI95" s="178"/>
      <c r="AJ95" s="178">
        <f t="shared" si="48"/>
        <v>958230</v>
      </c>
      <c r="AK95" s="192"/>
      <c r="AL95" s="535">
        <f t="shared" si="53"/>
        <v>0</v>
      </c>
      <c r="AM95" s="182"/>
      <c r="AN95" s="182"/>
      <c r="AO95" s="193">
        <f>R95+U95+W95</f>
        <v>3.9</v>
      </c>
      <c r="AP95" s="179"/>
      <c r="AQ95" s="194">
        <f t="shared" si="49"/>
        <v>0</v>
      </c>
      <c r="AR95" s="178">
        <f t="shared" si="50"/>
        <v>0</v>
      </c>
      <c r="AS95" s="178"/>
      <c r="AT95" s="178">
        <f t="shared" si="51"/>
        <v>8167770</v>
      </c>
      <c r="AU95" s="469">
        <f t="shared" si="52"/>
        <v>77</v>
      </c>
      <c r="AV95" s="195"/>
      <c r="AW95" s="224"/>
    </row>
    <row r="96" spans="1:59" s="189" customFormat="1" ht="32.25" customHeight="1" x14ac:dyDescent="0.25">
      <c r="A96" s="168">
        <f>_xlfn.AGGREGATE(4,7,A$13:A95)+1</f>
        <v>78</v>
      </c>
      <c r="B96" s="168" t="str">
        <f>VLOOKUP(D96,[1]LuongBC_T01!$B$9:$C$292,2,FALSE)</f>
        <v>0016100006493003</v>
      </c>
      <c r="C96" s="371" t="s">
        <v>1045</v>
      </c>
      <c r="D96" s="230" t="s">
        <v>778</v>
      </c>
      <c r="E96" s="263" t="s">
        <v>1106</v>
      </c>
      <c r="F96" s="231"/>
      <c r="G96" s="231"/>
      <c r="H96" s="231"/>
      <c r="I96" s="231" t="s">
        <v>284</v>
      </c>
      <c r="J96" s="231"/>
      <c r="K96" s="170" t="str">
        <f>VLOOKUP(D96,[2]T3!$B$2:$D$328,3,FALSE)</f>
        <v>024698782</v>
      </c>
      <c r="L96" s="226">
        <v>1603205348129</v>
      </c>
      <c r="M96" s="226" t="s">
        <v>1045</v>
      </c>
      <c r="N96" s="263" t="str">
        <f>VLOOKUP(D96,'[6]Bao cao So GDDT'!$D$14:$S$282,11,FALSE)</f>
        <v>Cán sự</v>
      </c>
      <c r="O96" s="393" t="s">
        <v>43</v>
      </c>
      <c r="P96" s="170" t="s">
        <v>697</v>
      </c>
      <c r="Q96" s="170">
        <v>1</v>
      </c>
      <c r="R96" s="177">
        <v>3.34</v>
      </c>
      <c r="S96" s="176">
        <f t="shared" si="54"/>
        <v>0</v>
      </c>
      <c r="T96" s="169"/>
      <c r="U96" s="176">
        <f t="shared" si="39"/>
        <v>0</v>
      </c>
      <c r="V96" s="175">
        <f t="shared" si="55"/>
        <v>0</v>
      </c>
      <c r="W96" s="170"/>
      <c r="X96" s="179">
        <f>VLOOKUP(D96,PCTN!D145:W412,20,FALSE)</f>
        <v>0</v>
      </c>
      <c r="Y96" s="216">
        <f t="shared" si="40"/>
        <v>0</v>
      </c>
      <c r="Z96" s="216">
        <f t="shared" si="41"/>
        <v>3.34</v>
      </c>
      <c r="AA96" s="180">
        <f t="shared" si="42"/>
        <v>7815600</v>
      </c>
      <c r="AB96" s="180"/>
      <c r="AC96" s="180">
        <f t="shared" si="43"/>
        <v>0</v>
      </c>
      <c r="AD96" s="180">
        <v>0</v>
      </c>
      <c r="AE96" s="180">
        <f t="shared" si="44"/>
        <v>7815600</v>
      </c>
      <c r="AF96" s="178">
        <f t="shared" si="45"/>
        <v>625248</v>
      </c>
      <c r="AG96" s="178">
        <f t="shared" si="46"/>
        <v>117234</v>
      </c>
      <c r="AH96" s="178">
        <f t="shared" si="47"/>
        <v>78156</v>
      </c>
      <c r="AI96" s="178"/>
      <c r="AJ96" s="178">
        <f t="shared" si="48"/>
        <v>820638</v>
      </c>
      <c r="AK96" s="192"/>
      <c r="AL96" s="535">
        <f t="shared" si="53"/>
        <v>0</v>
      </c>
      <c r="AM96" s="182"/>
      <c r="AN96" s="182"/>
      <c r="AO96" s="183"/>
      <c r="AP96" s="179"/>
      <c r="AQ96" s="194">
        <f t="shared" si="49"/>
        <v>0</v>
      </c>
      <c r="AR96" s="178">
        <f t="shared" si="50"/>
        <v>0</v>
      </c>
      <c r="AS96" s="178"/>
      <c r="AT96" s="178">
        <f t="shared" si="51"/>
        <v>6994962</v>
      </c>
      <c r="AU96" s="469">
        <f t="shared" si="52"/>
        <v>78</v>
      </c>
      <c r="AV96" s="195"/>
      <c r="AW96" s="248"/>
    </row>
    <row r="97" spans="1:59" s="189" customFormat="1" ht="31.5" customHeight="1" x14ac:dyDescent="0.25">
      <c r="A97" s="725">
        <f>_xlfn.AGGREGATE(4,7,A$13:A96)+1</f>
        <v>79</v>
      </c>
      <c r="B97" s="725" t="str">
        <f>VLOOKUP(D97,[1]LuongBC_T01!$B$9:$C$292,2,FALSE)</f>
        <v>0016100006678003</v>
      </c>
      <c r="C97" s="1002" t="s">
        <v>1046</v>
      </c>
      <c r="D97" s="1003" t="s">
        <v>779</v>
      </c>
      <c r="E97" s="728" t="s">
        <v>1106</v>
      </c>
      <c r="F97" s="1004"/>
      <c r="G97" s="1004"/>
      <c r="H97" s="1004"/>
      <c r="I97" s="1004" t="s">
        <v>284</v>
      </c>
      <c r="J97" s="1004"/>
      <c r="K97" s="729" t="str">
        <f>VLOOKUP(D97,[2]T3!$B$2:$D$328,3,FALSE)</f>
        <v>024647632</v>
      </c>
      <c r="L97" s="1005">
        <v>1603205357238</v>
      </c>
      <c r="M97" s="1005" t="s">
        <v>1046</v>
      </c>
      <c r="N97" s="728" t="str">
        <f>VLOOKUP(D97,'[6]Bao cao So GDDT'!$D$14:$S$282,11,FALSE)</f>
        <v>Cán sự</v>
      </c>
      <c r="O97" s="1006" t="s">
        <v>43</v>
      </c>
      <c r="P97" s="729" t="s">
        <v>697</v>
      </c>
      <c r="Q97" s="729">
        <v>1</v>
      </c>
      <c r="R97" s="955">
        <v>3.34</v>
      </c>
      <c r="S97" s="735">
        <f t="shared" si="54"/>
        <v>0</v>
      </c>
      <c r="T97" s="727"/>
      <c r="U97" s="735">
        <f t="shared" si="39"/>
        <v>0</v>
      </c>
      <c r="V97" s="737">
        <f t="shared" si="55"/>
        <v>0</v>
      </c>
      <c r="W97" s="729"/>
      <c r="X97" s="738">
        <f>VLOOKUP(D97,PCTN!D146:W413,20,FALSE)</f>
        <v>0</v>
      </c>
      <c r="Y97" s="739">
        <f t="shared" si="40"/>
        <v>0</v>
      </c>
      <c r="Z97" s="739">
        <f t="shared" si="41"/>
        <v>3.34</v>
      </c>
      <c r="AA97" s="740">
        <f t="shared" si="42"/>
        <v>7815600</v>
      </c>
      <c r="AB97" s="740"/>
      <c r="AC97" s="740">
        <f t="shared" si="43"/>
        <v>0</v>
      </c>
      <c r="AD97" s="740">
        <v>0</v>
      </c>
      <c r="AE97" s="740">
        <f t="shared" si="44"/>
        <v>7815600</v>
      </c>
      <c r="AF97" s="741">
        <f t="shared" si="45"/>
        <v>625248</v>
      </c>
      <c r="AG97" s="741">
        <f t="shared" si="46"/>
        <v>117234</v>
      </c>
      <c r="AH97" s="741">
        <f t="shared" si="47"/>
        <v>78156</v>
      </c>
      <c r="AI97" s="741"/>
      <c r="AJ97" s="741">
        <f t="shared" si="48"/>
        <v>820638</v>
      </c>
      <c r="AK97" s="742"/>
      <c r="AL97" s="954">
        <f t="shared" si="53"/>
        <v>0</v>
      </c>
      <c r="AM97" s="743"/>
      <c r="AN97" s="743"/>
      <c r="AO97" s="744"/>
      <c r="AP97" s="738"/>
      <c r="AQ97" s="757">
        <f t="shared" si="49"/>
        <v>0</v>
      </c>
      <c r="AR97" s="741">
        <f t="shared" si="50"/>
        <v>0</v>
      </c>
      <c r="AS97" s="741"/>
      <c r="AT97" s="741">
        <f t="shared" si="51"/>
        <v>6994962</v>
      </c>
      <c r="AU97" s="747">
        <f t="shared" si="52"/>
        <v>79</v>
      </c>
      <c r="AV97" s="748"/>
      <c r="AW97" s="248"/>
      <c r="AX97" s="29"/>
      <c r="AY97" s="29"/>
      <c r="AZ97" s="29"/>
      <c r="BA97" s="29"/>
      <c r="BB97" s="29"/>
      <c r="BC97" s="29"/>
      <c r="BD97" s="29"/>
      <c r="BE97" s="29"/>
      <c r="BF97" s="29"/>
      <c r="BG97" s="29"/>
    </row>
    <row r="98" spans="1:59" s="189" customFormat="1" ht="38.25" customHeight="1" x14ac:dyDescent="0.25">
      <c r="A98" s="168">
        <f>_xlfn.AGGREGATE(4,7,A$13:A97)+1</f>
        <v>80</v>
      </c>
      <c r="B98" s="168" t="str">
        <f>VLOOKUP(D98,[1]LuongBC_T01!$B$9:$C$292,2,FALSE)</f>
        <v>0016100006679007</v>
      </c>
      <c r="C98" s="371" t="s">
        <v>1035</v>
      </c>
      <c r="D98" s="230" t="s">
        <v>785</v>
      </c>
      <c r="E98" s="263" t="s">
        <v>1462</v>
      </c>
      <c r="F98" s="231"/>
      <c r="G98" s="251"/>
      <c r="H98" s="251"/>
      <c r="I98" s="170" t="s">
        <v>284</v>
      </c>
      <c r="J98" s="231"/>
      <c r="K98" s="170" t="str">
        <f>VLOOKUP(D98,[2]T3!$B$2:$D$328,3,FALSE)</f>
        <v>079086004027</v>
      </c>
      <c r="L98" s="226">
        <v>1603205302590</v>
      </c>
      <c r="M98" s="226" t="s">
        <v>1035</v>
      </c>
      <c r="N98" s="263" t="str">
        <f>VLOOKUP(D98,'[6]Bao cao So GDDT'!$D$14:$S$282,11,FALSE)</f>
        <v>Cán sự</v>
      </c>
      <c r="O98" s="393" t="s">
        <v>43</v>
      </c>
      <c r="P98" s="222" t="s">
        <v>697</v>
      </c>
      <c r="Q98" s="172">
        <v>2</v>
      </c>
      <c r="R98" s="174">
        <v>3.34</v>
      </c>
      <c r="S98" s="176">
        <f t="shared" si="54"/>
        <v>0</v>
      </c>
      <c r="T98" s="370"/>
      <c r="U98" s="176">
        <f t="shared" si="39"/>
        <v>0</v>
      </c>
      <c r="V98" s="175">
        <f t="shared" si="55"/>
        <v>0</v>
      </c>
      <c r="W98" s="170">
        <v>0</v>
      </c>
      <c r="X98" s="179">
        <f>VLOOKUP(D98,PCTN!D132:W399,20,FALSE)</f>
        <v>0</v>
      </c>
      <c r="Y98" s="216">
        <f t="shared" si="40"/>
        <v>0</v>
      </c>
      <c r="Z98" s="216">
        <f t="shared" si="41"/>
        <v>3.34</v>
      </c>
      <c r="AA98" s="180">
        <f t="shared" si="42"/>
        <v>7815600</v>
      </c>
      <c r="AB98" s="180"/>
      <c r="AC98" s="180">
        <f t="shared" si="43"/>
        <v>0</v>
      </c>
      <c r="AD98" s="180">
        <f>AA98/24*AB98*75%</f>
        <v>0</v>
      </c>
      <c r="AE98" s="180">
        <f t="shared" si="44"/>
        <v>7815600</v>
      </c>
      <c r="AF98" s="178">
        <f t="shared" si="45"/>
        <v>625248</v>
      </c>
      <c r="AG98" s="178">
        <f t="shared" si="46"/>
        <v>117234</v>
      </c>
      <c r="AH98" s="178">
        <f t="shared" si="47"/>
        <v>78156</v>
      </c>
      <c r="AI98" s="178"/>
      <c r="AJ98" s="178">
        <f t="shared" si="48"/>
        <v>820638</v>
      </c>
      <c r="AK98" s="192"/>
      <c r="AL98" s="535">
        <f t="shared" si="53"/>
        <v>0</v>
      </c>
      <c r="AM98" s="182"/>
      <c r="AN98" s="182"/>
      <c r="AO98" s="193"/>
      <c r="AP98" s="179"/>
      <c r="AQ98" s="194">
        <f t="shared" si="49"/>
        <v>0</v>
      </c>
      <c r="AR98" s="178">
        <f t="shared" si="50"/>
        <v>0</v>
      </c>
      <c r="AS98" s="178"/>
      <c r="AT98" s="178">
        <f t="shared" si="51"/>
        <v>6994962</v>
      </c>
      <c r="AU98" s="469">
        <f t="shared" si="52"/>
        <v>80</v>
      </c>
      <c r="AV98" s="195"/>
      <c r="AW98" s="224"/>
    </row>
    <row r="99" spans="1:59" s="189" customFormat="1" ht="48" customHeight="1" x14ac:dyDescent="0.25">
      <c r="A99" s="168">
        <f>_xlfn.AGGREGATE(4,7,A$13:A98)+1</f>
        <v>81</v>
      </c>
      <c r="B99" s="168" t="str">
        <f>VLOOKUP(D99,[1]LuongBC_T01!$B$9:$C$292,2,FALSE)</f>
        <v>0016100006770007</v>
      </c>
      <c r="C99" s="170" t="s">
        <v>1319</v>
      </c>
      <c r="D99" s="169" t="s">
        <v>1283</v>
      </c>
      <c r="E99" s="263" t="s">
        <v>1624</v>
      </c>
      <c r="F99" s="169"/>
      <c r="G99" s="170"/>
      <c r="H99" s="170"/>
      <c r="I99" s="170"/>
      <c r="J99" s="169"/>
      <c r="K99" s="168" t="s">
        <v>1353</v>
      </c>
      <c r="L99" s="397"/>
      <c r="M99" s="397"/>
      <c r="N99" s="263" t="str">
        <f>VLOOKUP(D99,'[6]Bao cao So GDDT'!$D$14:$S$282,11,FALSE)</f>
        <v>Kỹ sư (hạng III)</v>
      </c>
      <c r="O99" s="390" t="s">
        <v>1116</v>
      </c>
      <c r="P99" s="222"/>
      <c r="Q99" s="172"/>
      <c r="R99" s="174">
        <v>3</v>
      </c>
      <c r="S99" s="176">
        <f t="shared" si="54"/>
        <v>0.35</v>
      </c>
      <c r="T99" s="370"/>
      <c r="U99" s="176">
        <f t="shared" si="39"/>
        <v>0</v>
      </c>
      <c r="V99" s="175">
        <f t="shared" si="55"/>
        <v>0</v>
      </c>
      <c r="W99" s="170">
        <v>0.35</v>
      </c>
      <c r="X99" s="179">
        <f>VLOOKUP(D99,PCTN!D168:W435,20,FALSE)</f>
        <v>0</v>
      </c>
      <c r="Y99" s="216">
        <f t="shared" si="40"/>
        <v>0</v>
      </c>
      <c r="Z99" s="216">
        <f t="shared" si="41"/>
        <v>3.35</v>
      </c>
      <c r="AA99" s="180">
        <f t="shared" si="42"/>
        <v>7839000</v>
      </c>
      <c r="AB99" s="180"/>
      <c r="AC99" s="180">
        <f t="shared" si="43"/>
        <v>0</v>
      </c>
      <c r="AD99" s="180">
        <f>AA99/24*AB99*75%</f>
        <v>0</v>
      </c>
      <c r="AE99" s="180">
        <f t="shared" si="44"/>
        <v>7839000</v>
      </c>
      <c r="AF99" s="178">
        <f t="shared" si="45"/>
        <v>627120</v>
      </c>
      <c r="AG99" s="178">
        <f t="shared" si="46"/>
        <v>117585</v>
      </c>
      <c r="AH99" s="178">
        <f t="shared" si="47"/>
        <v>78390</v>
      </c>
      <c r="AI99" s="178"/>
      <c r="AJ99" s="178">
        <f t="shared" si="48"/>
        <v>823095</v>
      </c>
      <c r="AK99" s="181"/>
      <c r="AL99" s="535">
        <f t="shared" si="53"/>
        <v>0</v>
      </c>
      <c r="AM99" s="182"/>
      <c r="AN99" s="182"/>
      <c r="AO99" s="193"/>
      <c r="AP99" s="179"/>
      <c r="AQ99" s="194">
        <f t="shared" si="49"/>
        <v>0</v>
      </c>
      <c r="AR99" s="178">
        <f t="shared" si="50"/>
        <v>0</v>
      </c>
      <c r="AS99" s="178"/>
      <c r="AT99" s="178">
        <f t="shared" si="51"/>
        <v>7015905</v>
      </c>
      <c r="AU99" s="469">
        <f t="shared" si="52"/>
        <v>81</v>
      </c>
      <c r="AV99" s="195"/>
      <c r="AW99" s="223"/>
    </row>
    <row r="100" spans="1:59" s="189" customFormat="1" ht="38.25" customHeight="1" x14ac:dyDescent="0.25">
      <c r="A100" s="168">
        <f>_xlfn.AGGREGATE(4,7,A$13:A99)+1</f>
        <v>82</v>
      </c>
      <c r="B100" s="168" t="str">
        <f>VLOOKUP(D100,[1]LuongBC_T01!$B$9:$C$292,2,FALSE)</f>
        <v>0016100006511001</v>
      </c>
      <c r="C100" s="168" t="s">
        <v>1413</v>
      </c>
      <c r="D100" s="169" t="s">
        <v>1411</v>
      </c>
      <c r="E100" s="263" t="s">
        <v>1106</v>
      </c>
      <c r="F100" s="220"/>
      <c r="G100" s="220"/>
      <c r="H100" s="220"/>
      <c r="I100" s="220"/>
      <c r="J100" s="220"/>
      <c r="K100" s="168"/>
      <c r="L100" s="220"/>
      <c r="M100" s="170"/>
      <c r="N100" s="263" t="str">
        <f>VLOOKUP(D100,'[6]Bao cao So GDDT'!$D$14:$S$282,11,FALSE)</f>
        <v>Kỹ sư (hạng III)</v>
      </c>
      <c r="O100" s="263" t="s">
        <v>1116</v>
      </c>
      <c r="P100" s="251"/>
      <c r="Q100" s="251"/>
      <c r="R100" s="170">
        <v>2.67</v>
      </c>
      <c r="S100" s="176"/>
      <c r="T100" s="220"/>
      <c r="U100" s="176">
        <f t="shared" si="39"/>
        <v>0</v>
      </c>
      <c r="V100" s="175"/>
      <c r="W100" s="170"/>
      <c r="X100" s="179">
        <v>0</v>
      </c>
      <c r="Y100" s="216">
        <f t="shared" si="40"/>
        <v>0</v>
      </c>
      <c r="Z100" s="216">
        <f t="shared" si="41"/>
        <v>2.67</v>
      </c>
      <c r="AA100" s="180">
        <f t="shared" si="42"/>
        <v>6247800</v>
      </c>
      <c r="AB100" s="180"/>
      <c r="AC100" s="180">
        <f t="shared" si="43"/>
        <v>0</v>
      </c>
      <c r="AD100" s="180">
        <f>AA100/24*AB100*75%</f>
        <v>0</v>
      </c>
      <c r="AE100" s="180">
        <f t="shared" si="44"/>
        <v>6247800</v>
      </c>
      <c r="AF100" s="178">
        <f t="shared" si="45"/>
        <v>499824</v>
      </c>
      <c r="AG100" s="178">
        <f t="shared" si="46"/>
        <v>93717</v>
      </c>
      <c r="AH100" s="178">
        <f t="shared" si="47"/>
        <v>62478</v>
      </c>
      <c r="AI100" s="178"/>
      <c r="AJ100" s="178">
        <f t="shared" si="48"/>
        <v>656019</v>
      </c>
      <c r="AK100" s="192"/>
      <c r="AL100" s="535">
        <f t="shared" si="53"/>
        <v>0</v>
      </c>
      <c r="AM100" s="182"/>
      <c r="AN100" s="182"/>
      <c r="AO100" s="183">
        <f>R100+U100+W100</f>
        <v>2.67</v>
      </c>
      <c r="AP100" s="639"/>
      <c r="AQ100" s="185">
        <f t="shared" si="49"/>
        <v>0</v>
      </c>
      <c r="AR100" s="178">
        <f t="shared" si="50"/>
        <v>0</v>
      </c>
      <c r="AS100" s="178"/>
      <c r="AT100" s="178">
        <f t="shared" si="51"/>
        <v>5591781</v>
      </c>
      <c r="AU100" s="469">
        <f t="shared" si="52"/>
        <v>82</v>
      </c>
      <c r="AV100" s="195"/>
      <c r="AW100" s="485"/>
    </row>
    <row r="101" spans="1:59" s="189" customFormat="1" ht="33.75" customHeight="1" x14ac:dyDescent="0.25">
      <c r="A101" s="168">
        <f>_xlfn.AGGREGATE(4,7,A$13:A100)+1</f>
        <v>83</v>
      </c>
      <c r="B101" s="168" t="str">
        <f>VLOOKUP(D101,[1]LuongBC_T01!$B$9:$C$292,2,FALSE)</f>
        <v>0016100006599006</v>
      </c>
      <c r="C101" s="199" t="s">
        <v>948</v>
      </c>
      <c r="D101" s="169" t="s">
        <v>658</v>
      </c>
      <c r="E101" s="263" t="s">
        <v>1106</v>
      </c>
      <c r="F101" s="169" t="s">
        <v>553</v>
      </c>
      <c r="G101" s="169"/>
      <c r="H101" s="169"/>
      <c r="I101" s="169" t="s">
        <v>284</v>
      </c>
      <c r="J101" s="169"/>
      <c r="K101" s="170" t="str">
        <f>VLOOKUP(D101,[2]T3!$B$2:$D$328,3,FALSE)</f>
        <v>024683154</v>
      </c>
      <c r="L101" s="213" t="s">
        <v>664</v>
      </c>
      <c r="M101" s="213" t="s">
        <v>948</v>
      </c>
      <c r="N101" s="263" t="str">
        <f>VLOOKUP(D101,'[6]Bao cao So GDDT'!$D$14:$S$282,11,FALSE)</f>
        <v>Kỹ thuật viên (hạng IV)</v>
      </c>
      <c r="O101" s="393" t="s">
        <v>1118</v>
      </c>
      <c r="P101" s="170" t="s">
        <v>698</v>
      </c>
      <c r="Q101" s="170">
        <v>6</v>
      </c>
      <c r="R101" s="214">
        <v>3.66</v>
      </c>
      <c r="S101" s="176">
        <f t="shared" ref="S101:S115" si="57">U101+W101+Y101</f>
        <v>0</v>
      </c>
      <c r="T101" s="178"/>
      <c r="U101" s="176">
        <f t="shared" si="39"/>
        <v>0</v>
      </c>
      <c r="V101" s="175">
        <f t="shared" ref="V101:V107" si="58">R101*T101*$D$8/100</f>
        <v>0</v>
      </c>
      <c r="W101" s="178"/>
      <c r="X101" s="179">
        <f>VLOOKUP(D101,PCTN!D163:W430,20,FALSE)</f>
        <v>0</v>
      </c>
      <c r="Y101" s="216">
        <f t="shared" si="40"/>
        <v>0</v>
      </c>
      <c r="Z101" s="216">
        <f t="shared" si="41"/>
        <v>3.66</v>
      </c>
      <c r="AA101" s="180">
        <f t="shared" si="42"/>
        <v>8564400</v>
      </c>
      <c r="AB101" s="180"/>
      <c r="AC101" s="180">
        <f t="shared" si="43"/>
        <v>0</v>
      </c>
      <c r="AD101" s="180">
        <v>0</v>
      </c>
      <c r="AE101" s="180">
        <f t="shared" si="44"/>
        <v>8564400</v>
      </c>
      <c r="AF101" s="178">
        <f t="shared" si="45"/>
        <v>685152</v>
      </c>
      <c r="AG101" s="178">
        <f t="shared" si="46"/>
        <v>128466</v>
      </c>
      <c r="AH101" s="178">
        <f t="shared" si="47"/>
        <v>85644</v>
      </c>
      <c r="AI101" s="178"/>
      <c r="AJ101" s="178">
        <f t="shared" si="48"/>
        <v>899262</v>
      </c>
      <c r="AK101" s="215"/>
      <c r="AL101" s="535">
        <f t="shared" si="53"/>
        <v>0</v>
      </c>
      <c r="AM101" s="182"/>
      <c r="AN101" s="182"/>
      <c r="AO101" s="193">
        <f>R101+U101+W101</f>
        <v>3.66</v>
      </c>
      <c r="AP101" s="179"/>
      <c r="AQ101" s="194">
        <f t="shared" si="49"/>
        <v>0</v>
      </c>
      <c r="AR101" s="178">
        <f t="shared" si="50"/>
        <v>0</v>
      </c>
      <c r="AS101" s="178"/>
      <c r="AT101" s="178">
        <f t="shared" si="51"/>
        <v>7665138</v>
      </c>
      <c r="AU101" s="469">
        <f t="shared" si="52"/>
        <v>83</v>
      </c>
      <c r="AV101" s="195"/>
      <c r="AW101" s="242"/>
    </row>
    <row r="102" spans="1:59" s="189" customFormat="1" ht="33.75" customHeight="1" x14ac:dyDescent="0.25">
      <c r="A102" s="168">
        <f>_xlfn.AGGREGATE(4,7,A$13:A101)+1</f>
        <v>84</v>
      </c>
      <c r="B102" s="168" t="str">
        <f>VLOOKUP(D102,[1]LuongBC_T01!$B$9:$C$292,2,FALSE)</f>
        <v>0016100006807008</v>
      </c>
      <c r="C102" s="199" t="s">
        <v>950</v>
      </c>
      <c r="D102" s="169" t="s">
        <v>1216</v>
      </c>
      <c r="E102" s="263" t="s">
        <v>1106</v>
      </c>
      <c r="F102" s="169" t="s">
        <v>553</v>
      </c>
      <c r="G102" s="170"/>
      <c r="H102" s="170"/>
      <c r="I102" s="170" t="s">
        <v>284</v>
      </c>
      <c r="J102" s="169" t="s">
        <v>270</v>
      </c>
      <c r="K102" s="170" t="str">
        <f>VLOOKUP(D102,[2]T3!$B$2:$D$328,3,FALSE)</f>
        <v>079084001864</v>
      </c>
      <c r="L102" s="171" t="s">
        <v>153</v>
      </c>
      <c r="M102" s="171" t="s">
        <v>950</v>
      </c>
      <c r="N102" s="263" t="str">
        <f>VLOOKUP(D102,'[6]Bao cao So GDDT'!$D$14:$S$282,11,FALSE)</f>
        <v>Kỹ thuật viên (hạng IV)</v>
      </c>
      <c r="O102" s="390" t="s">
        <v>1118</v>
      </c>
      <c r="P102" s="222" t="s">
        <v>698</v>
      </c>
      <c r="Q102" s="172">
        <v>6</v>
      </c>
      <c r="R102" s="174">
        <v>3.46</v>
      </c>
      <c r="S102" s="176">
        <f t="shared" si="57"/>
        <v>0</v>
      </c>
      <c r="T102" s="370"/>
      <c r="U102" s="176">
        <f t="shared" si="39"/>
        <v>0</v>
      </c>
      <c r="V102" s="175">
        <f t="shared" si="58"/>
        <v>0</v>
      </c>
      <c r="W102" s="170"/>
      <c r="X102" s="179">
        <f>VLOOKUP(D102,PCTN!D164:W431,20,FALSE)</f>
        <v>0</v>
      </c>
      <c r="Y102" s="216">
        <f t="shared" si="40"/>
        <v>0</v>
      </c>
      <c r="Z102" s="216">
        <f t="shared" si="41"/>
        <v>3.46</v>
      </c>
      <c r="AA102" s="180">
        <f t="shared" si="42"/>
        <v>8096400</v>
      </c>
      <c r="AB102" s="180"/>
      <c r="AC102" s="180">
        <f t="shared" si="43"/>
        <v>0</v>
      </c>
      <c r="AD102" s="180">
        <f>AA102/24*AB102*75%</f>
        <v>0</v>
      </c>
      <c r="AE102" s="180">
        <f t="shared" si="44"/>
        <v>8096400</v>
      </c>
      <c r="AF102" s="178">
        <f t="shared" si="45"/>
        <v>647712</v>
      </c>
      <c r="AG102" s="178">
        <f t="shared" si="46"/>
        <v>121446</v>
      </c>
      <c r="AH102" s="178">
        <f t="shared" si="47"/>
        <v>80964</v>
      </c>
      <c r="AI102" s="178"/>
      <c r="AJ102" s="178">
        <f t="shared" si="48"/>
        <v>850122</v>
      </c>
      <c r="AK102" s="192"/>
      <c r="AL102" s="535">
        <f t="shared" si="53"/>
        <v>0</v>
      </c>
      <c r="AM102" s="182"/>
      <c r="AN102" s="182"/>
      <c r="AO102" s="193">
        <f>R102+U102+W102</f>
        <v>3.46</v>
      </c>
      <c r="AP102" s="179"/>
      <c r="AQ102" s="194">
        <f t="shared" si="49"/>
        <v>0</v>
      </c>
      <c r="AR102" s="178">
        <f t="shared" si="50"/>
        <v>0</v>
      </c>
      <c r="AS102" s="178"/>
      <c r="AT102" s="178">
        <f t="shared" si="51"/>
        <v>7246278</v>
      </c>
      <c r="AU102" s="469">
        <f t="shared" si="52"/>
        <v>84</v>
      </c>
      <c r="AV102" s="666"/>
      <c r="AW102" s="242"/>
    </row>
    <row r="103" spans="1:59" s="189" customFormat="1" ht="32.25" customHeight="1" x14ac:dyDescent="0.25">
      <c r="A103" s="168">
        <f>_xlfn.AGGREGATE(4,7,A$13:A102)+1</f>
        <v>85</v>
      </c>
      <c r="B103" s="168" t="str">
        <f>VLOOKUP(D103,[1]LuongBC_T01!$B$9:$C$292,2,FALSE)</f>
        <v>0016100006716002</v>
      </c>
      <c r="C103" s="199" t="s">
        <v>933</v>
      </c>
      <c r="D103" s="169" t="s">
        <v>654</v>
      </c>
      <c r="E103" s="263" t="s">
        <v>1106</v>
      </c>
      <c r="F103" s="169" t="s">
        <v>553</v>
      </c>
      <c r="G103" s="170" t="s">
        <v>25</v>
      </c>
      <c r="H103" s="169"/>
      <c r="I103" s="169" t="s">
        <v>284</v>
      </c>
      <c r="J103" s="169"/>
      <c r="K103" s="168" t="s">
        <v>1357</v>
      </c>
      <c r="L103" s="197">
        <v>1603205182619</v>
      </c>
      <c r="M103" s="197" t="s">
        <v>933</v>
      </c>
      <c r="N103" s="263" t="str">
        <f>VLOOKUP(D103,'[6]Bao cao So GDDT'!$D$14:$S$282,11,FALSE)</f>
        <v>Cán sự</v>
      </c>
      <c r="O103" s="393" t="s">
        <v>43</v>
      </c>
      <c r="P103" s="170" t="s">
        <v>698</v>
      </c>
      <c r="Q103" s="170">
        <v>7</v>
      </c>
      <c r="R103" s="192">
        <v>3.66</v>
      </c>
      <c r="S103" s="176">
        <f t="shared" si="57"/>
        <v>0</v>
      </c>
      <c r="T103" s="178"/>
      <c r="U103" s="176">
        <f t="shared" si="39"/>
        <v>0</v>
      </c>
      <c r="V103" s="175">
        <f t="shared" si="58"/>
        <v>0</v>
      </c>
      <c r="W103" s="178"/>
      <c r="X103" s="179">
        <f>VLOOKUP(D103,PCTN!D151:W418,20,FALSE)</f>
        <v>0</v>
      </c>
      <c r="Y103" s="216">
        <f t="shared" si="40"/>
        <v>0</v>
      </c>
      <c r="Z103" s="216">
        <f t="shared" si="41"/>
        <v>3.66</v>
      </c>
      <c r="AA103" s="180">
        <f t="shared" si="42"/>
        <v>8564400</v>
      </c>
      <c r="AB103" s="180"/>
      <c r="AC103" s="180">
        <f t="shared" si="43"/>
        <v>0</v>
      </c>
      <c r="AD103" s="180">
        <f>AA103/24*AB103*75%</f>
        <v>0</v>
      </c>
      <c r="AE103" s="180">
        <f t="shared" si="44"/>
        <v>8564400</v>
      </c>
      <c r="AF103" s="178">
        <f t="shared" si="45"/>
        <v>685152</v>
      </c>
      <c r="AG103" s="178">
        <f t="shared" si="46"/>
        <v>128466</v>
      </c>
      <c r="AH103" s="178">
        <f t="shared" si="47"/>
        <v>85644</v>
      </c>
      <c r="AI103" s="178"/>
      <c r="AJ103" s="178">
        <f t="shared" si="48"/>
        <v>899262</v>
      </c>
      <c r="AK103" s="215"/>
      <c r="AL103" s="535">
        <f t="shared" si="53"/>
        <v>0</v>
      </c>
      <c r="AM103" s="182"/>
      <c r="AN103" s="182"/>
      <c r="AO103" s="216"/>
      <c r="AP103" s="179"/>
      <c r="AQ103" s="194">
        <f t="shared" si="49"/>
        <v>0</v>
      </c>
      <c r="AR103" s="178">
        <f t="shared" si="50"/>
        <v>0</v>
      </c>
      <c r="AS103" s="178"/>
      <c r="AT103" s="178">
        <f t="shared" si="51"/>
        <v>7665138</v>
      </c>
      <c r="AU103" s="469">
        <f t="shared" si="52"/>
        <v>85</v>
      </c>
      <c r="AV103" s="195"/>
      <c r="AW103" s="198" t="s">
        <v>703</v>
      </c>
      <c r="AY103" s="189">
        <f>AY114-AY117</f>
        <v>5347535.5</v>
      </c>
      <c r="AZ103" s="189">
        <f>AZ114-AZ117</f>
        <v>4907464</v>
      </c>
    </row>
    <row r="104" spans="1:59" s="189" customFormat="1" ht="31.5" customHeight="1" x14ac:dyDescent="0.25">
      <c r="A104" s="168">
        <f>_xlfn.AGGREGATE(4,7,A$13:A103)+1</f>
        <v>86</v>
      </c>
      <c r="B104" s="168" t="str">
        <f>VLOOKUP(D104,[1]LuongBC_T01!$B$9:$C$292,2,FALSE)</f>
        <v>0016100006725001</v>
      </c>
      <c r="C104" s="199" t="s">
        <v>1024</v>
      </c>
      <c r="D104" s="169" t="s">
        <v>659</v>
      </c>
      <c r="E104" s="263" t="s">
        <v>1261</v>
      </c>
      <c r="F104" s="169" t="s">
        <v>553</v>
      </c>
      <c r="G104" s="170" t="s">
        <v>25</v>
      </c>
      <c r="H104" s="169"/>
      <c r="I104" s="169" t="s">
        <v>284</v>
      </c>
      <c r="J104" s="169"/>
      <c r="K104" s="170" t="str">
        <f>VLOOKUP(D104,[2]T3!$B$2:$D$328,3,FALSE)</f>
        <v>025154407</v>
      </c>
      <c r="L104" s="197">
        <v>1603205247426</v>
      </c>
      <c r="M104" s="197" t="s">
        <v>1024</v>
      </c>
      <c r="N104" s="263" t="str">
        <f>VLOOKUP(D104,'[6]Bao cao So GDDT'!$D$14:$S$282,11,FALSE)</f>
        <v>Y sĩ (hạng IV)</v>
      </c>
      <c r="O104" s="393" t="s">
        <v>1120</v>
      </c>
      <c r="P104" s="170" t="s">
        <v>698</v>
      </c>
      <c r="Q104" s="170">
        <v>7</v>
      </c>
      <c r="R104" s="214">
        <v>3.66</v>
      </c>
      <c r="S104" s="176">
        <f t="shared" si="57"/>
        <v>0</v>
      </c>
      <c r="T104" s="178"/>
      <c r="U104" s="176">
        <f t="shared" si="39"/>
        <v>0</v>
      </c>
      <c r="V104" s="175">
        <f t="shared" si="58"/>
        <v>0</v>
      </c>
      <c r="W104" s="178"/>
      <c r="X104" s="179">
        <f>VLOOKUP(D104,PCTN!D280:W547,20,FALSE)</f>
        <v>0</v>
      </c>
      <c r="Y104" s="216">
        <f t="shared" si="40"/>
        <v>0</v>
      </c>
      <c r="Z104" s="216">
        <f t="shared" si="41"/>
        <v>3.66</v>
      </c>
      <c r="AA104" s="180">
        <f t="shared" si="42"/>
        <v>8564400</v>
      </c>
      <c r="AB104" s="180"/>
      <c r="AC104" s="180">
        <f t="shared" si="43"/>
        <v>0</v>
      </c>
      <c r="AD104" s="180">
        <f>AA104/24*AB104*75%</f>
        <v>0</v>
      </c>
      <c r="AE104" s="180">
        <f t="shared" si="44"/>
        <v>8564400</v>
      </c>
      <c r="AF104" s="178">
        <f t="shared" si="45"/>
        <v>685152</v>
      </c>
      <c r="AG104" s="178">
        <f t="shared" si="46"/>
        <v>128466</v>
      </c>
      <c r="AH104" s="178">
        <f t="shared" si="47"/>
        <v>85644</v>
      </c>
      <c r="AI104" s="178"/>
      <c r="AJ104" s="178">
        <f t="shared" si="48"/>
        <v>899262</v>
      </c>
      <c r="AK104" s="215"/>
      <c r="AL104" s="535">
        <f t="shared" si="53"/>
        <v>0</v>
      </c>
      <c r="AM104" s="182"/>
      <c r="AN104" s="182"/>
      <c r="AO104" s="193">
        <f>R104+U104+W104</f>
        <v>3.66</v>
      </c>
      <c r="AP104" s="179">
        <v>0.2</v>
      </c>
      <c r="AQ104" s="194">
        <f t="shared" si="49"/>
        <v>0.73199999999999998</v>
      </c>
      <c r="AR104" s="178">
        <f t="shared" si="50"/>
        <v>1712880</v>
      </c>
      <c r="AS104" s="178"/>
      <c r="AT104" s="178">
        <f t="shared" si="51"/>
        <v>9378018</v>
      </c>
      <c r="AU104" s="469">
        <f t="shared" si="52"/>
        <v>86</v>
      </c>
      <c r="AV104" s="195"/>
      <c r="AW104" s="198" t="s">
        <v>713</v>
      </c>
    </row>
    <row r="105" spans="1:59" s="189" customFormat="1" ht="33.75" customHeight="1" x14ac:dyDescent="0.25">
      <c r="A105" s="168">
        <f>_xlfn.AGGREGATE(4,7,A$13:A104)+1</f>
        <v>87</v>
      </c>
      <c r="B105" s="168" t="str">
        <f>VLOOKUP(D105,[1]LuongBC_T01!$B$9:$C$292,2,FALSE)</f>
        <v>0016100006524006</v>
      </c>
      <c r="C105" s="371" t="s">
        <v>1050</v>
      </c>
      <c r="D105" s="230" t="s">
        <v>1215</v>
      </c>
      <c r="E105" s="263" t="s">
        <v>1257</v>
      </c>
      <c r="F105" s="231"/>
      <c r="G105" s="251" t="s">
        <v>25</v>
      </c>
      <c r="H105" s="231"/>
      <c r="I105" s="231"/>
      <c r="J105" s="231"/>
      <c r="K105" s="170" t="str">
        <f>VLOOKUP(D105,[2]T3!$B$2:$D$328,3,FALSE)</f>
        <v>025408857</v>
      </c>
      <c r="L105" s="226"/>
      <c r="M105" s="226" t="s">
        <v>1050</v>
      </c>
      <c r="N105" s="263" t="str">
        <f>VLOOKUP(D105,'[6]Bao cao So GDDT'!$D$14:$S$282,11,FALSE)</f>
        <v>Kế toán viên</v>
      </c>
      <c r="O105" s="393" t="s">
        <v>38</v>
      </c>
      <c r="P105" s="170" t="s">
        <v>692</v>
      </c>
      <c r="Q105" s="170">
        <v>2</v>
      </c>
      <c r="R105" s="177">
        <v>3.66</v>
      </c>
      <c r="S105" s="176">
        <f t="shared" si="57"/>
        <v>0</v>
      </c>
      <c r="T105" s="169"/>
      <c r="U105" s="176">
        <f t="shared" si="39"/>
        <v>0</v>
      </c>
      <c r="V105" s="175">
        <f t="shared" si="58"/>
        <v>0</v>
      </c>
      <c r="W105" s="170"/>
      <c r="X105" s="179">
        <f>VLOOKUP(D105,PCTN!D161:W428,20,FALSE)</f>
        <v>0</v>
      </c>
      <c r="Y105" s="216">
        <f t="shared" si="40"/>
        <v>0</v>
      </c>
      <c r="Z105" s="216">
        <f t="shared" si="41"/>
        <v>3.66</v>
      </c>
      <c r="AA105" s="180">
        <f t="shared" si="42"/>
        <v>8564400</v>
      </c>
      <c r="AB105" s="180"/>
      <c r="AC105" s="180">
        <f t="shared" si="43"/>
        <v>0</v>
      </c>
      <c r="AD105" s="180">
        <f>AA105/24*AB105*75%</f>
        <v>0</v>
      </c>
      <c r="AE105" s="180">
        <f t="shared" si="44"/>
        <v>8564400</v>
      </c>
      <c r="AF105" s="178">
        <f t="shared" si="45"/>
        <v>685152</v>
      </c>
      <c r="AG105" s="178">
        <f t="shared" si="46"/>
        <v>128466</v>
      </c>
      <c r="AH105" s="178">
        <f t="shared" si="47"/>
        <v>85644</v>
      </c>
      <c r="AI105" s="178"/>
      <c r="AJ105" s="178">
        <f t="shared" si="48"/>
        <v>899262</v>
      </c>
      <c r="AK105" s="192"/>
      <c r="AL105" s="535">
        <f t="shared" si="53"/>
        <v>0</v>
      </c>
      <c r="AM105" s="182"/>
      <c r="AN105" s="182"/>
      <c r="AO105" s="183"/>
      <c r="AP105" s="179"/>
      <c r="AQ105" s="194">
        <f t="shared" si="49"/>
        <v>0</v>
      </c>
      <c r="AR105" s="178">
        <f t="shared" si="50"/>
        <v>0</v>
      </c>
      <c r="AS105" s="178"/>
      <c r="AT105" s="178">
        <f t="shared" si="51"/>
        <v>7665138</v>
      </c>
      <c r="AU105" s="469">
        <f t="shared" si="52"/>
        <v>87</v>
      </c>
      <c r="AV105" s="244"/>
      <c r="AW105" s="255"/>
    </row>
    <row r="106" spans="1:59" s="189" customFormat="1" ht="38.25" x14ac:dyDescent="0.25">
      <c r="A106" s="168">
        <f>_xlfn.AGGREGATE(4,7,A$13:A105)+1</f>
        <v>88</v>
      </c>
      <c r="B106" s="168" t="str">
        <f>VLOOKUP(D106,[1]LuongBC_T01!$B$9:$C$292,2,FALSE)</f>
        <v>0016100006515007</v>
      </c>
      <c r="C106" s="199" t="s">
        <v>940</v>
      </c>
      <c r="D106" s="169" t="s">
        <v>683</v>
      </c>
      <c r="E106" s="263" t="s">
        <v>1257</v>
      </c>
      <c r="F106" s="169" t="s">
        <v>553</v>
      </c>
      <c r="G106" s="170" t="s">
        <v>25</v>
      </c>
      <c r="H106" s="170"/>
      <c r="I106" s="170"/>
      <c r="J106" s="169"/>
      <c r="K106" s="170" t="str">
        <f>VLOOKUP(D106,[2]T3!$B$2:$D$328,3,FALSE)</f>
        <v>025197968</v>
      </c>
      <c r="L106" s="249">
        <v>1603205178873</v>
      </c>
      <c r="M106" s="249" t="s">
        <v>940</v>
      </c>
      <c r="N106" s="263" t="s">
        <v>1596</v>
      </c>
      <c r="O106" s="390" t="s">
        <v>38</v>
      </c>
      <c r="P106" s="222" t="s">
        <v>698</v>
      </c>
      <c r="Q106" s="172">
        <v>7</v>
      </c>
      <c r="R106" s="174">
        <v>3.66</v>
      </c>
      <c r="S106" s="176">
        <f t="shared" si="57"/>
        <v>0</v>
      </c>
      <c r="T106" s="370"/>
      <c r="U106" s="176">
        <f t="shared" si="39"/>
        <v>0</v>
      </c>
      <c r="V106" s="175">
        <f t="shared" si="58"/>
        <v>0</v>
      </c>
      <c r="W106" s="170"/>
      <c r="X106" s="179">
        <f>VLOOKUP(D106,PCTN!D162:W429,20,FALSE)</f>
        <v>0</v>
      </c>
      <c r="Y106" s="216">
        <f t="shared" si="40"/>
        <v>0</v>
      </c>
      <c r="Z106" s="216">
        <f t="shared" si="41"/>
        <v>3.66</v>
      </c>
      <c r="AA106" s="180">
        <f t="shared" si="42"/>
        <v>8564400</v>
      </c>
      <c r="AB106" s="180"/>
      <c r="AC106" s="180">
        <f t="shared" si="43"/>
        <v>0</v>
      </c>
      <c r="AD106" s="180">
        <v>0</v>
      </c>
      <c r="AE106" s="180">
        <f t="shared" si="44"/>
        <v>8564400</v>
      </c>
      <c r="AF106" s="178">
        <f t="shared" si="45"/>
        <v>685152</v>
      </c>
      <c r="AG106" s="178">
        <f t="shared" si="46"/>
        <v>128466</v>
      </c>
      <c r="AH106" s="178">
        <f t="shared" si="47"/>
        <v>85644</v>
      </c>
      <c r="AI106" s="178"/>
      <c r="AJ106" s="178">
        <f t="shared" si="48"/>
        <v>899262</v>
      </c>
      <c r="AK106" s="192"/>
      <c r="AL106" s="535">
        <f t="shared" si="53"/>
        <v>0</v>
      </c>
      <c r="AM106" s="182"/>
      <c r="AN106" s="182"/>
      <c r="AO106" s="193">
        <f>R106+U106+W106</f>
        <v>3.66</v>
      </c>
      <c r="AP106" s="179"/>
      <c r="AQ106" s="194">
        <f t="shared" si="49"/>
        <v>0</v>
      </c>
      <c r="AR106" s="178">
        <f t="shared" si="50"/>
        <v>0</v>
      </c>
      <c r="AS106" s="178"/>
      <c r="AT106" s="178">
        <f t="shared" si="51"/>
        <v>7665138</v>
      </c>
      <c r="AU106" s="469">
        <f t="shared" si="52"/>
        <v>88</v>
      </c>
      <c r="AV106" s="244"/>
      <c r="AW106" s="242"/>
    </row>
    <row r="107" spans="1:59" s="189" customFormat="1" ht="33.75" customHeight="1" x14ac:dyDescent="0.25">
      <c r="A107" s="168">
        <f>_xlfn.AGGREGATE(4,7,A$13:A106)+1</f>
        <v>89</v>
      </c>
      <c r="B107" s="168" t="str">
        <f>VLOOKUP(D107,[1]LuongBC_T01!$B$9:$C$292,2,FALSE)</f>
        <v>0016100006512008</v>
      </c>
      <c r="C107" s="856" t="s">
        <v>1037</v>
      </c>
      <c r="D107" s="169" t="s">
        <v>648</v>
      </c>
      <c r="E107" s="263" t="s">
        <v>1257</v>
      </c>
      <c r="F107" s="169" t="s">
        <v>549</v>
      </c>
      <c r="G107" s="170" t="s">
        <v>25</v>
      </c>
      <c r="H107" s="169"/>
      <c r="I107" s="169" t="s">
        <v>284</v>
      </c>
      <c r="J107" s="169"/>
      <c r="K107" s="170" t="str">
        <f>VLOOKUP(D107,[2]T3!$B$2:$D$328,3,FALSE)</f>
        <v>022527163</v>
      </c>
      <c r="L107" s="213" t="s">
        <v>660</v>
      </c>
      <c r="M107" s="213" t="s">
        <v>1037</v>
      </c>
      <c r="N107" s="263" t="str">
        <f>VLOOKUP(D107,'[6]Bao cao So GDDT'!$D$14:$S$282,11,FALSE)</f>
        <v>Chuyên viên</v>
      </c>
      <c r="O107" s="393" t="s">
        <v>39</v>
      </c>
      <c r="P107" s="170" t="s">
        <v>692</v>
      </c>
      <c r="Q107" s="170">
        <v>4</v>
      </c>
      <c r="R107" s="192">
        <v>3.99</v>
      </c>
      <c r="S107" s="176">
        <f t="shared" si="57"/>
        <v>0</v>
      </c>
      <c r="T107" s="178"/>
      <c r="U107" s="176">
        <f t="shared" si="39"/>
        <v>0</v>
      </c>
      <c r="V107" s="175">
        <f t="shared" si="58"/>
        <v>0</v>
      </c>
      <c r="W107" s="178"/>
      <c r="X107" s="179">
        <f>VLOOKUP(D107,PCTN!D135:W402,20,FALSE)</f>
        <v>0</v>
      </c>
      <c r="Y107" s="216">
        <f t="shared" si="40"/>
        <v>0</v>
      </c>
      <c r="Z107" s="216">
        <f t="shared" si="41"/>
        <v>3.99</v>
      </c>
      <c r="AA107" s="180">
        <f t="shared" si="42"/>
        <v>9336600</v>
      </c>
      <c r="AB107" s="180"/>
      <c r="AC107" s="180">
        <f t="shared" si="43"/>
        <v>0</v>
      </c>
      <c r="AD107" s="180">
        <f>AA107/24*AB107*75%</f>
        <v>0</v>
      </c>
      <c r="AE107" s="180">
        <f t="shared" si="44"/>
        <v>9336600</v>
      </c>
      <c r="AF107" s="178">
        <f t="shared" si="45"/>
        <v>746928</v>
      </c>
      <c r="AG107" s="178">
        <f t="shared" si="46"/>
        <v>140049</v>
      </c>
      <c r="AH107" s="178">
        <f t="shared" si="47"/>
        <v>93366</v>
      </c>
      <c r="AI107" s="178"/>
      <c r="AJ107" s="178">
        <f t="shared" si="48"/>
        <v>980343</v>
      </c>
      <c r="AK107" s="215"/>
      <c r="AL107" s="535">
        <f t="shared" si="53"/>
        <v>0</v>
      </c>
      <c r="AM107" s="182"/>
      <c r="AN107" s="182"/>
      <c r="AO107" s="193"/>
      <c r="AP107" s="179"/>
      <c r="AQ107" s="194">
        <f t="shared" si="49"/>
        <v>0</v>
      </c>
      <c r="AR107" s="178">
        <f t="shared" si="50"/>
        <v>0</v>
      </c>
      <c r="AS107" s="178"/>
      <c r="AT107" s="178">
        <f t="shared" si="51"/>
        <v>8356257</v>
      </c>
      <c r="AU107" s="469">
        <f t="shared" si="52"/>
        <v>89</v>
      </c>
      <c r="AV107" s="243"/>
      <c r="AW107" s="223"/>
      <c r="AX107" s="29"/>
      <c r="AY107" s="29"/>
      <c r="AZ107" s="29"/>
      <c r="BA107" s="29"/>
      <c r="BB107" s="29"/>
      <c r="BC107" s="29"/>
      <c r="BD107" s="29"/>
      <c r="BE107" s="29"/>
      <c r="BF107" s="29"/>
      <c r="BG107" s="29"/>
    </row>
    <row r="108" spans="1:59" s="189" customFormat="1" ht="38.25" x14ac:dyDescent="0.25">
      <c r="A108" s="168">
        <f>_xlfn.AGGREGATE(4,7,A$13:A107)+1</f>
        <v>90</v>
      </c>
      <c r="B108" s="168" t="str">
        <f>VLOOKUP(D108,[1]LuongBC_T01!$B$9:$C$292,2,FALSE)</f>
        <v>0016100006681004</v>
      </c>
      <c r="C108" s="199" t="s">
        <v>939</v>
      </c>
      <c r="D108" s="230" t="s">
        <v>771</v>
      </c>
      <c r="E108" s="263" t="s">
        <v>1257</v>
      </c>
      <c r="F108" s="231"/>
      <c r="G108" s="251" t="s">
        <v>25</v>
      </c>
      <c r="H108" s="231"/>
      <c r="I108" s="231"/>
      <c r="J108" s="231"/>
      <c r="K108" s="170" t="str">
        <f>VLOOKUP(D108,[2]T3!$B$2:$D$328,3,FALSE)</f>
        <v>025796369</v>
      </c>
      <c r="L108" s="226">
        <v>1603205372861</v>
      </c>
      <c r="M108" s="226" t="s">
        <v>939</v>
      </c>
      <c r="N108" s="263" t="str">
        <f>VLOOKUP(D108,'[6]Bao cao So GDDT'!$D$14:$S$282,11,FALSE)</f>
        <v>Chuyên viên</v>
      </c>
      <c r="O108" s="393" t="s">
        <v>39</v>
      </c>
      <c r="P108" s="170" t="s">
        <v>698</v>
      </c>
      <c r="Q108" s="170">
        <v>1</v>
      </c>
      <c r="R108" s="177">
        <v>3</v>
      </c>
      <c r="S108" s="176">
        <f t="shared" si="57"/>
        <v>0</v>
      </c>
      <c r="T108" s="169"/>
      <c r="U108" s="176">
        <f t="shared" si="39"/>
        <v>0</v>
      </c>
      <c r="V108" s="175"/>
      <c r="W108" s="178"/>
      <c r="X108" s="179">
        <f>VLOOKUP(D108,PCTN!D158:W425,20,FALSE)</f>
        <v>0</v>
      </c>
      <c r="Y108" s="216">
        <f t="shared" si="40"/>
        <v>0</v>
      </c>
      <c r="Z108" s="216">
        <f t="shared" si="41"/>
        <v>3</v>
      </c>
      <c r="AA108" s="180">
        <f t="shared" si="42"/>
        <v>7020000</v>
      </c>
      <c r="AB108" s="180"/>
      <c r="AC108" s="180">
        <f t="shared" si="43"/>
        <v>0</v>
      </c>
      <c r="AD108" s="180">
        <v>0</v>
      </c>
      <c r="AE108" s="180">
        <f t="shared" si="44"/>
        <v>7020000</v>
      </c>
      <c r="AF108" s="178">
        <f t="shared" si="45"/>
        <v>561600</v>
      </c>
      <c r="AG108" s="178">
        <f t="shared" si="46"/>
        <v>105300</v>
      </c>
      <c r="AH108" s="178">
        <f t="shared" si="47"/>
        <v>70200</v>
      </c>
      <c r="AI108" s="178"/>
      <c r="AJ108" s="178">
        <f t="shared" si="48"/>
        <v>737100</v>
      </c>
      <c r="AK108" s="192"/>
      <c r="AL108" s="535">
        <f t="shared" si="53"/>
        <v>0</v>
      </c>
      <c r="AM108" s="182"/>
      <c r="AN108" s="182"/>
      <c r="AO108" s="183">
        <f>R108+U108+W108</f>
        <v>3</v>
      </c>
      <c r="AP108" s="179"/>
      <c r="AQ108" s="194">
        <f t="shared" si="49"/>
        <v>0</v>
      </c>
      <c r="AR108" s="178">
        <f t="shared" si="50"/>
        <v>0</v>
      </c>
      <c r="AS108" s="178"/>
      <c r="AT108" s="178">
        <f t="shared" si="51"/>
        <v>6282900</v>
      </c>
      <c r="AU108" s="469">
        <f t="shared" si="52"/>
        <v>90</v>
      </c>
      <c r="AV108" s="195"/>
      <c r="AW108" s="195" t="s">
        <v>1490</v>
      </c>
    </row>
    <row r="109" spans="1:59" s="189" customFormat="1" ht="38.25" customHeight="1" x14ac:dyDescent="0.25">
      <c r="A109" s="168">
        <f>_xlfn.AGGREGATE(4,7,A$13:A108)+1</f>
        <v>91</v>
      </c>
      <c r="B109" s="168" t="str">
        <f>VLOOKUP(D109,[1]LuongBC_T01!$B$9:$C$292,2,FALSE)</f>
        <v>0016100006540001</v>
      </c>
      <c r="C109" s="170" t="s">
        <v>1325</v>
      </c>
      <c r="D109" s="169" t="s">
        <v>1294</v>
      </c>
      <c r="E109" s="263" t="s">
        <v>1580</v>
      </c>
      <c r="F109" s="220"/>
      <c r="G109" s="220"/>
      <c r="H109" s="220"/>
      <c r="I109" s="220"/>
      <c r="J109" s="220"/>
      <c r="K109" s="170" t="str">
        <f>VLOOKUP(D109,[2]T3!$B$2:$D$328,3,FALSE)</f>
        <v>051091000077</v>
      </c>
      <c r="L109" s="220"/>
      <c r="M109" s="170"/>
      <c r="N109" s="263" t="str">
        <f>VLOOKUP(D109,'[6]Bao cao So GDDT'!$D$14:$S$282,11,FALSE)</f>
        <v>Kỹ sư (hạng III)</v>
      </c>
      <c r="O109" s="263" t="s">
        <v>1116</v>
      </c>
      <c r="P109" s="251"/>
      <c r="Q109" s="251"/>
      <c r="R109" s="177">
        <v>3</v>
      </c>
      <c r="S109" s="176">
        <f t="shared" si="57"/>
        <v>0.45</v>
      </c>
      <c r="T109" s="220"/>
      <c r="U109" s="176">
        <f t="shared" si="39"/>
        <v>0</v>
      </c>
      <c r="V109" s="175"/>
      <c r="W109" s="170">
        <v>0.45</v>
      </c>
      <c r="X109" s="179">
        <f>VLOOKUP(D109,PCTN!D104:W371,20,FALSE)</f>
        <v>0</v>
      </c>
      <c r="Y109" s="216">
        <f t="shared" si="40"/>
        <v>0</v>
      </c>
      <c r="Z109" s="216">
        <f t="shared" si="41"/>
        <v>3.45</v>
      </c>
      <c r="AA109" s="180">
        <f t="shared" si="42"/>
        <v>8073000</v>
      </c>
      <c r="AB109" s="180"/>
      <c r="AC109" s="180">
        <f t="shared" si="43"/>
        <v>0</v>
      </c>
      <c r="AD109" s="180">
        <f>AA109/24*AB109*75%</f>
        <v>0</v>
      </c>
      <c r="AE109" s="180">
        <f t="shared" si="44"/>
        <v>8073000</v>
      </c>
      <c r="AF109" s="178">
        <f t="shared" si="45"/>
        <v>645840</v>
      </c>
      <c r="AG109" s="178">
        <f t="shared" si="46"/>
        <v>121095</v>
      </c>
      <c r="AH109" s="178">
        <f t="shared" si="47"/>
        <v>80730</v>
      </c>
      <c r="AI109" s="178"/>
      <c r="AJ109" s="178">
        <f t="shared" si="48"/>
        <v>847665</v>
      </c>
      <c r="AK109" s="192"/>
      <c r="AL109" s="535">
        <f t="shared" si="53"/>
        <v>0</v>
      </c>
      <c r="AM109" s="182"/>
      <c r="AN109" s="182"/>
      <c r="AO109" s="183">
        <f>R109+U109+W109</f>
        <v>3.45</v>
      </c>
      <c r="AP109" s="179"/>
      <c r="AQ109" s="185">
        <f t="shared" si="49"/>
        <v>0</v>
      </c>
      <c r="AR109" s="178">
        <f t="shared" si="50"/>
        <v>0</v>
      </c>
      <c r="AS109" s="178"/>
      <c r="AT109" s="178">
        <f t="shared" si="51"/>
        <v>7225335</v>
      </c>
      <c r="AU109" s="469">
        <f t="shared" si="52"/>
        <v>91</v>
      </c>
      <c r="AV109" s="195"/>
      <c r="AW109" s="485"/>
    </row>
    <row r="110" spans="1:59" s="189" customFormat="1" ht="32.25" customHeight="1" x14ac:dyDescent="0.25">
      <c r="A110" s="168">
        <f>_xlfn.AGGREGATE(4,7,A$13:A109)+1</f>
        <v>92</v>
      </c>
      <c r="B110" s="168" t="str">
        <f>VLOOKUP(D110,[1]LuongBC_T01!$B$9:$C$292,2,FALSE)</f>
        <v>0016100006528001</v>
      </c>
      <c r="C110" s="199" t="s">
        <v>918</v>
      </c>
      <c r="D110" s="169" t="s">
        <v>1203</v>
      </c>
      <c r="E110" s="263" t="s">
        <v>1467</v>
      </c>
      <c r="F110" s="169" t="s">
        <v>549</v>
      </c>
      <c r="G110" s="170"/>
      <c r="H110" s="170" t="s">
        <v>283</v>
      </c>
      <c r="I110" s="200" t="s">
        <v>283</v>
      </c>
      <c r="J110" s="220" t="s">
        <v>262</v>
      </c>
      <c r="K110" s="170" t="str">
        <f>VLOOKUP(D110,[2]T3!$B$2:$D$328,3,FALSE)</f>
        <v>024610718</v>
      </c>
      <c r="L110" s="171" t="s">
        <v>123</v>
      </c>
      <c r="M110" s="171" t="s">
        <v>918</v>
      </c>
      <c r="N110" s="263" t="str">
        <f>VLOOKUP(D110,'[6]Bao cao So GDDT'!$D$14:$S$282,11,FALSE)</f>
        <v>Giảng viên GDNN LT (hạng III)</v>
      </c>
      <c r="O110" s="390" t="s">
        <v>1438</v>
      </c>
      <c r="P110" s="172" t="s">
        <v>692</v>
      </c>
      <c r="Q110" s="173">
        <v>4</v>
      </c>
      <c r="R110" s="174">
        <v>4.32</v>
      </c>
      <c r="S110" s="176">
        <f>U110+W110+Y110</f>
        <v>1.1438999999999999</v>
      </c>
      <c r="T110" s="370"/>
      <c r="U110" s="176">
        <f>ROUND(R110*T110/100,4)</f>
        <v>0</v>
      </c>
      <c r="V110" s="175">
        <f>R110*T110*$D$8/100</f>
        <v>0</v>
      </c>
      <c r="W110" s="170">
        <v>0.35</v>
      </c>
      <c r="X110" s="179">
        <v>0.17</v>
      </c>
      <c r="Y110" s="216">
        <f>ROUND((R110+U110+W110)*X110,4)</f>
        <v>0.79390000000000005</v>
      </c>
      <c r="Z110" s="216">
        <f>R110+U110+W110+Y110</f>
        <v>5.4638999999999998</v>
      </c>
      <c r="AA110" s="180">
        <f>ROUND(Z110*$D$8,0)</f>
        <v>12785526</v>
      </c>
      <c r="AB110" s="180"/>
      <c r="AC110" s="180">
        <f>AA110/24*AB110</f>
        <v>0</v>
      </c>
      <c r="AD110" s="180">
        <f>AA110/24*AB110*75%</f>
        <v>0</v>
      </c>
      <c r="AE110" s="180">
        <f>ROUND(AA110-AC110+AD110,0)</f>
        <v>12785526</v>
      </c>
      <c r="AF110" s="178">
        <f>AA110*8%</f>
        <v>1022842.0800000001</v>
      </c>
      <c r="AG110" s="178">
        <f>AA110*1.5%</f>
        <v>191782.88999999998</v>
      </c>
      <c r="AH110" s="178">
        <f>AA110*1%</f>
        <v>127855.26000000001</v>
      </c>
      <c r="AI110" s="178"/>
      <c r="AJ110" s="178">
        <f>SUM(AF110:AI110)</f>
        <v>1342480.23</v>
      </c>
      <c r="AK110" s="192"/>
      <c r="AL110" s="535">
        <f t="shared" si="53"/>
        <v>0</v>
      </c>
      <c r="AM110" s="182"/>
      <c r="AN110" s="182"/>
      <c r="AO110" s="193">
        <f>R110+U110+W110</f>
        <v>4.67</v>
      </c>
      <c r="AP110" s="246">
        <v>0.25</v>
      </c>
      <c r="AQ110" s="194">
        <f>ROUND(AO110*AP110,4)</f>
        <v>1.1675</v>
      </c>
      <c r="AR110" s="178">
        <f>ROUND(AQ110*$D$8,0)</f>
        <v>2731950</v>
      </c>
      <c r="AS110" s="178"/>
      <c r="AT110" s="178">
        <f>ROUND(AE110-AJ110+AL110+AN110+AR110,0)</f>
        <v>14174996</v>
      </c>
      <c r="AU110" s="469">
        <f>A110</f>
        <v>92</v>
      </c>
      <c r="AV110" s="186"/>
      <c r="AW110" s="187" t="s">
        <v>704</v>
      </c>
    </row>
    <row r="111" spans="1:59" s="189" customFormat="1" ht="45" customHeight="1" x14ac:dyDescent="0.25">
      <c r="A111" s="168">
        <f>_xlfn.AGGREGATE(4,7,A$13:A110)+1</f>
        <v>93</v>
      </c>
      <c r="B111" s="168" t="str">
        <f>VLOOKUP(D111,[1]LuongBC_T01!$B$9:$C$292,2,FALSE)</f>
        <v>0016100006652004</v>
      </c>
      <c r="C111" s="856" t="s">
        <v>1042</v>
      </c>
      <c r="D111" s="230" t="s">
        <v>784</v>
      </c>
      <c r="E111" s="263" t="s">
        <v>1470</v>
      </c>
      <c r="F111" s="231"/>
      <c r="G111" s="251" t="s">
        <v>25</v>
      </c>
      <c r="H111" s="231"/>
      <c r="I111" s="169" t="s">
        <v>284</v>
      </c>
      <c r="J111" s="231"/>
      <c r="K111" s="170" t="str">
        <f>VLOOKUP(D111,[2]T3!$B$2:$D$328,3,FALSE)</f>
        <v>023124949</v>
      </c>
      <c r="L111" s="226" t="s">
        <v>792</v>
      </c>
      <c r="M111" s="226" t="s">
        <v>1042</v>
      </c>
      <c r="N111" s="827" t="str">
        <f>VLOOKUP(D111,'[6]Bao cao So GDDT'!$D$14:$S$282,11,FALSE)</f>
        <v>Chuyên viên</v>
      </c>
      <c r="O111" s="393" t="s">
        <v>39</v>
      </c>
      <c r="P111" s="170" t="s">
        <v>692</v>
      </c>
      <c r="Q111" s="170">
        <v>2</v>
      </c>
      <c r="R111" s="192">
        <v>3.33</v>
      </c>
      <c r="S111" s="176">
        <f t="shared" si="57"/>
        <v>0</v>
      </c>
      <c r="T111" s="178"/>
      <c r="U111" s="176">
        <f t="shared" si="39"/>
        <v>0</v>
      </c>
      <c r="V111" s="175">
        <f t="shared" ref="V111:V116" si="59">R111*T111*$D$8/100</f>
        <v>0</v>
      </c>
      <c r="W111" s="178"/>
      <c r="X111" s="179">
        <f>VLOOKUP(D111,PCTN!D141:W408,20,FALSE)</f>
        <v>0</v>
      </c>
      <c r="Y111" s="216">
        <f t="shared" si="40"/>
        <v>0</v>
      </c>
      <c r="Z111" s="216">
        <f t="shared" si="41"/>
        <v>3.33</v>
      </c>
      <c r="AA111" s="180">
        <f t="shared" si="42"/>
        <v>7792200</v>
      </c>
      <c r="AB111" s="180"/>
      <c r="AC111" s="180">
        <f t="shared" si="43"/>
        <v>0</v>
      </c>
      <c r="AD111" s="180">
        <f>AA111/24*AB111*75%</f>
        <v>0</v>
      </c>
      <c r="AE111" s="180">
        <f t="shared" si="44"/>
        <v>7792200</v>
      </c>
      <c r="AF111" s="178">
        <f t="shared" si="45"/>
        <v>623376</v>
      </c>
      <c r="AG111" s="178">
        <f t="shared" si="46"/>
        <v>116883</v>
      </c>
      <c r="AH111" s="178">
        <f t="shared" si="47"/>
        <v>77922</v>
      </c>
      <c r="AI111" s="178"/>
      <c r="AJ111" s="178">
        <f t="shared" si="48"/>
        <v>818181</v>
      </c>
      <c r="AK111" s="215"/>
      <c r="AL111" s="535">
        <f t="shared" si="53"/>
        <v>0</v>
      </c>
      <c r="AM111" s="182"/>
      <c r="AN111" s="182"/>
      <c r="AO111" s="216"/>
      <c r="AP111" s="179"/>
      <c r="AQ111" s="194">
        <f t="shared" si="49"/>
        <v>0</v>
      </c>
      <c r="AR111" s="178">
        <f t="shared" si="50"/>
        <v>0</v>
      </c>
      <c r="AS111" s="178"/>
      <c r="AT111" s="178">
        <f t="shared" si="51"/>
        <v>6974019</v>
      </c>
      <c r="AU111" s="469">
        <f t="shared" si="52"/>
        <v>93</v>
      </c>
      <c r="AV111" s="195"/>
      <c r="AW111" s="988" t="s">
        <v>1661</v>
      </c>
      <c r="AX111" s="29"/>
      <c r="AY111" s="29"/>
      <c r="AZ111" s="29"/>
      <c r="BA111" s="29"/>
      <c r="BB111" s="29"/>
      <c r="BC111" s="29"/>
      <c r="BD111" s="29"/>
      <c r="BE111" s="29"/>
      <c r="BF111" s="29"/>
      <c r="BG111" s="29"/>
    </row>
    <row r="112" spans="1:59" s="189" customFormat="1" ht="38.25" x14ac:dyDescent="0.25">
      <c r="A112" s="168">
        <f>_xlfn.AGGREGATE(4,7,A$13:A111)+1</f>
        <v>94</v>
      </c>
      <c r="B112" s="168" t="str">
        <f>VLOOKUP(D112,[1]LuongBC_T01!$B$9:$C$292,2,FALSE)</f>
        <v>0016100006541008</v>
      </c>
      <c r="C112" s="856" t="s">
        <v>1044</v>
      </c>
      <c r="D112" s="169" t="s">
        <v>650</v>
      </c>
      <c r="E112" s="263" t="s">
        <v>1103</v>
      </c>
      <c r="F112" s="169" t="s">
        <v>549</v>
      </c>
      <c r="G112" s="170" t="s">
        <v>25</v>
      </c>
      <c r="H112" s="169"/>
      <c r="I112" s="169" t="s">
        <v>284</v>
      </c>
      <c r="J112" s="169"/>
      <c r="K112" s="170" t="str">
        <f>VLOOKUP(D112,[2]T3!$B$2:$D$328,3,FALSE)</f>
        <v>023660331</v>
      </c>
      <c r="L112" s="197">
        <v>1603205182178</v>
      </c>
      <c r="M112" s="197" t="s">
        <v>1044</v>
      </c>
      <c r="N112" s="827" t="str">
        <f>VLOOKUP(D112,'[6]Bao cao So GDDT'!$D$14:$S$282,11,FALSE)</f>
        <v>Chuyên viên</v>
      </c>
      <c r="O112" s="393" t="s">
        <v>39</v>
      </c>
      <c r="P112" s="170" t="s">
        <v>697</v>
      </c>
      <c r="Q112" s="170">
        <v>3</v>
      </c>
      <c r="R112" s="192">
        <v>3.66</v>
      </c>
      <c r="S112" s="176">
        <f t="shared" si="57"/>
        <v>0</v>
      </c>
      <c r="T112" s="178"/>
      <c r="U112" s="176">
        <f t="shared" si="39"/>
        <v>0</v>
      </c>
      <c r="V112" s="175">
        <f t="shared" si="59"/>
        <v>0</v>
      </c>
      <c r="W112" s="178"/>
      <c r="X112" s="179">
        <f>VLOOKUP(D112,PCTN!D143:W410,20,FALSE)</f>
        <v>0</v>
      </c>
      <c r="Y112" s="216">
        <f t="shared" si="40"/>
        <v>0</v>
      </c>
      <c r="Z112" s="216">
        <f t="shared" si="41"/>
        <v>3.66</v>
      </c>
      <c r="AA112" s="180">
        <f t="shared" si="42"/>
        <v>8564400</v>
      </c>
      <c r="AB112" s="180"/>
      <c r="AC112" s="180">
        <f t="shared" si="43"/>
        <v>0</v>
      </c>
      <c r="AD112" s="532">
        <f>AA112/24*AB112*75%</f>
        <v>0</v>
      </c>
      <c r="AE112" s="180">
        <f t="shared" si="44"/>
        <v>8564400</v>
      </c>
      <c r="AF112" s="533">
        <f t="shared" si="45"/>
        <v>685152</v>
      </c>
      <c r="AG112" s="533">
        <f t="shared" si="46"/>
        <v>128466</v>
      </c>
      <c r="AH112" s="533">
        <f t="shared" si="47"/>
        <v>85644</v>
      </c>
      <c r="AI112" s="178"/>
      <c r="AJ112" s="178">
        <f t="shared" si="48"/>
        <v>899262</v>
      </c>
      <c r="AK112" s="215"/>
      <c r="AL112" s="535">
        <f t="shared" si="53"/>
        <v>0</v>
      </c>
      <c r="AM112" s="182"/>
      <c r="AN112" s="182"/>
      <c r="AO112" s="193"/>
      <c r="AP112" s="179"/>
      <c r="AQ112" s="194">
        <f t="shared" si="49"/>
        <v>0</v>
      </c>
      <c r="AR112" s="178">
        <f t="shared" si="50"/>
        <v>0</v>
      </c>
      <c r="AS112" s="178"/>
      <c r="AT112" s="178">
        <f t="shared" si="51"/>
        <v>7665138</v>
      </c>
      <c r="AU112" s="469">
        <f t="shared" si="52"/>
        <v>94</v>
      </c>
      <c r="AV112" s="221"/>
      <c r="AW112" s="186" t="s">
        <v>709</v>
      </c>
      <c r="AX112" s="29"/>
      <c r="AY112" s="29"/>
      <c r="AZ112" s="29"/>
      <c r="BA112" s="29"/>
      <c r="BB112" s="29"/>
      <c r="BC112" s="29"/>
      <c r="BD112" s="29"/>
      <c r="BE112" s="29"/>
      <c r="BF112" s="29"/>
      <c r="BG112" s="29"/>
    </row>
    <row r="113" spans="1:59" s="189" customFormat="1" ht="38.25" x14ac:dyDescent="0.25">
      <c r="A113" s="168">
        <f>_xlfn.AGGREGATE(4,7,A$13:A112)+1</f>
        <v>95</v>
      </c>
      <c r="B113" s="168" t="str">
        <f>VLOOKUP(D113,[1]LuongBC_T01!$B$9:$C$292,2,FALSE)</f>
        <v>0016100006521007</v>
      </c>
      <c r="C113" s="852" t="s">
        <v>931</v>
      </c>
      <c r="D113" s="169" t="s">
        <v>657</v>
      </c>
      <c r="E113" s="263" t="s">
        <v>1103</v>
      </c>
      <c r="F113" s="169" t="s">
        <v>549</v>
      </c>
      <c r="G113" s="170" t="s">
        <v>25</v>
      </c>
      <c r="H113" s="169"/>
      <c r="I113" s="169" t="s">
        <v>284</v>
      </c>
      <c r="J113" s="169"/>
      <c r="K113" s="170" t="str">
        <f>VLOOKUP(D113,[2]T3!$B$2:$D$328,3,FALSE)</f>
        <v>026005827</v>
      </c>
      <c r="L113" s="197">
        <v>1603205182394</v>
      </c>
      <c r="M113" s="197" t="s">
        <v>931</v>
      </c>
      <c r="N113" s="263" t="str">
        <f>VLOOKUP(D113,'[6]Bao cao So GDDT'!$D$14:$S$282,11,FALSE)</f>
        <v>Chuyên viên</v>
      </c>
      <c r="O113" s="390" t="s">
        <v>39</v>
      </c>
      <c r="P113" s="170" t="s">
        <v>692</v>
      </c>
      <c r="Q113" s="170">
        <v>4</v>
      </c>
      <c r="R113" s="192">
        <v>3.99</v>
      </c>
      <c r="S113" s="176">
        <f t="shared" si="57"/>
        <v>0</v>
      </c>
      <c r="T113" s="178"/>
      <c r="U113" s="176">
        <f t="shared" si="39"/>
        <v>0</v>
      </c>
      <c r="V113" s="175">
        <f t="shared" si="59"/>
        <v>0</v>
      </c>
      <c r="W113" s="178"/>
      <c r="X113" s="179">
        <f>VLOOKUP(D113,PCTN!D148:W415,20,FALSE)</f>
        <v>0</v>
      </c>
      <c r="Y113" s="216">
        <f t="shared" si="40"/>
        <v>0</v>
      </c>
      <c r="Z113" s="216">
        <f t="shared" si="41"/>
        <v>3.99</v>
      </c>
      <c r="AA113" s="180">
        <f t="shared" si="42"/>
        <v>9336600</v>
      </c>
      <c r="AB113" s="180"/>
      <c r="AC113" s="180">
        <f t="shared" si="43"/>
        <v>0</v>
      </c>
      <c r="AD113" s="180">
        <f>AA113/24*AB113*75%</f>
        <v>0</v>
      </c>
      <c r="AE113" s="180">
        <f t="shared" si="44"/>
        <v>9336600</v>
      </c>
      <c r="AF113" s="178">
        <f t="shared" si="45"/>
        <v>746928</v>
      </c>
      <c r="AG113" s="178">
        <f t="shared" si="46"/>
        <v>140049</v>
      </c>
      <c r="AH113" s="178">
        <f t="shared" si="47"/>
        <v>93366</v>
      </c>
      <c r="AI113" s="178"/>
      <c r="AJ113" s="178">
        <f t="shared" si="48"/>
        <v>980343</v>
      </c>
      <c r="AK113" s="215"/>
      <c r="AL113" s="535">
        <f t="shared" si="53"/>
        <v>0</v>
      </c>
      <c r="AM113" s="182"/>
      <c r="AN113" s="182"/>
      <c r="AO113" s="216"/>
      <c r="AP113" s="179"/>
      <c r="AQ113" s="194">
        <f t="shared" si="49"/>
        <v>0</v>
      </c>
      <c r="AR113" s="178">
        <f t="shared" si="50"/>
        <v>0</v>
      </c>
      <c r="AS113" s="178"/>
      <c r="AT113" s="178">
        <f t="shared" si="51"/>
        <v>8356257</v>
      </c>
      <c r="AU113" s="469">
        <f t="shared" si="52"/>
        <v>95</v>
      </c>
      <c r="AV113" s="221"/>
      <c r="AW113" s="223" t="s">
        <v>705</v>
      </c>
      <c r="AX113" s="29"/>
      <c r="AY113" s="29">
        <f>3.66+0.35</f>
        <v>4.01</v>
      </c>
      <c r="AZ113" s="29">
        <f>3.33+0.35</f>
        <v>3.68</v>
      </c>
      <c r="BA113" s="29"/>
      <c r="BB113" s="29"/>
      <c r="BC113" s="29"/>
      <c r="BD113" s="29"/>
      <c r="BE113" s="29"/>
      <c r="BF113" s="29"/>
      <c r="BG113" s="29"/>
    </row>
    <row r="114" spans="1:59" s="189" customFormat="1" ht="38.25" x14ac:dyDescent="0.25">
      <c r="A114" s="168">
        <f>_xlfn.AGGREGATE(4,7,A$13:A113)+1</f>
        <v>96</v>
      </c>
      <c r="B114" s="168" t="str">
        <f>VLOOKUP(D114,[1]LuongBC_T01!$B$9:$C$292,2,FALSE)</f>
        <v>0016100006768002</v>
      </c>
      <c r="C114" s="170" t="s">
        <v>1320</v>
      </c>
      <c r="D114" s="169" t="s">
        <v>1280</v>
      </c>
      <c r="E114" s="263" t="s">
        <v>1103</v>
      </c>
      <c r="F114" s="169"/>
      <c r="G114" s="170"/>
      <c r="H114" s="169"/>
      <c r="I114" s="169"/>
      <c r="J114" s="169"/>
      <c r="K114" s="170" t="str">
        <f>VLOOKUP(D114,[2]T3!$B$2:$D$328,3,FALSE)</f>
        <v>197178714</v>
      </c>
      <c r="L114" s="197"/>
      <c r="M114" s="197"/>
      <c r="N114" s="263" t="str">
        <f>VLOOKUP(D114,'[6]Bao cao So GDDT'!$D$14:$S$282,11,FALSE)</f>
        <v>Chuyên viên</v>
      </c>
      <c r="O114" s="390" t="s">
        <v>39</v>
      </c>
      <c r="P114" s="170"/>
      <c r="Q114" s="170"/>
      <c r="R114" s="192">
        <v>3.66</v>
      </c>
      <c r="S114" s="176">
        <f t="shared" si="57"/>
        <v>0</v>
      </c>
      <c r="T114" s="178"/>
      <c r="U114" s="176">
        <f t="shared" si="39"/>
        <v>0</v>
      </c>
      <c r="V114" s="175">
        <f t="shared" si="59"/>
        <v>0</v>
      </c>
      <c r="W114" s="178"/>
      <c r="X114" s="179">
        <f>VLOOKUP(D114,PCTN!D149:W416,20,FALSE)</f>
        <v>0</v>
      </c>
      <c r="Y114" s="216">
        <f t="shared" si="40"/>
        <v>0</v>
      </c>
      <c r="Z114" s="216">
        <f t="shared" si="41"/>
        <v>3.66</v>
      </c>
      <c r="AA114" s="180">
        <f t="shared" si="42"/>
        <v>8564400</v>
      </c>
      <c r="AB114" s="180"/>
      <c r="AC114" s="180">
        <f t="shared" si="43"/>
        <v>0</v>
      </c>
      <c r="AD114" s="180">
        <v>0</v>
      </c>
      <c r="AE114" s="180">
        <f t="shared" si="44"/>
        <v>8564400</v>
      </c>
      <c r="AF114" s="178">
        <f t="shared" si="45"/>
        <v>685152</v>
      </c>
      <c r="AG114" s="178">
        <f t="shared" si="46"/>
        <v>128466</v>
      </c>
      <c r="AH114" s="178">
        <f t="shared" si="47"/>
        <v>85644</v>
      </c>
      <c r="AI114" s="178"/>
      <c r="AJ114" s="178">
        <f t="shared" si="48"/>
        <v>899262</v>
      </c>
      <c r="AK114" s="215"/>
      <c r="AL114" s="535">
        <f t="shared" si="53"/>
        <v>0</v>
      </c>
      <c r="AM114" s="182"/>
      <c r="AN114" s="182"/>
      <c r="AO114" s="216"/>
      <c r="AP114" s="179"/>
      <c r="AQ114" s="194">
        <f t="shared" si="49"/>
        <v>0</v>
      </c>
      <c r="AR114" s="178">
        <f t="shared" si="50"/>
        <v>0</v>
      </c>
      <c r="AS114" s="178"/>
      <c r="AT114" s="178">
        <f t="shared" si="51"/>
        <v>7665138</v>
      </c>
      <c r="AU114" s="469">
        <f t="shared" si="52"/>
        <v>96</v>
      </c>
      <c r="AV114" s="221"/>
      <c r="AW114" s="223"/>
      <c r="AY114" s="189">
        <f>AY113*1490000</f>
        <v>5974900</v>
      </c>
      <c r="AZ114" s="189">
        <f>AZ113*1490000</f>
        <v>5483200</v>
      </c>
    </row>
    <row r="115" spans="1:59" s="189" customFormat="1" ht="33.75" customHeight="1" x14ac:dyDescent="0.25">
      <c r="A115" s="168">
        <f>_xlfn.AGGREGATE(4,7,A$13:A114)+1</f>
        <v>97</v>
      </c>
      <c r="B115" s="168" t="str">
        <f>VLOOKUP(D115,[1]LuongBC_T01!$B$9:$C$292,2,FALSE)</f>
        <v>0016100006526009</v>
      </c>
      <c r="C115" s="199" t="s">
        <v>938</v>
      </c>
      <c r="D115" s="169" t="s">
        <v>656</v>
      </c>
      <c r="E115" s="263" t="s">
        <v>1103</v>
      </c>
      <c r="F115" s="169" t="s">
        <v>549</v>
      </c>
      <c r="G115" s="170" t="s">
        <v>25</v>
      </c>
      <c r="H115" s="169"/>
      <c r="I115" s="169" t="s">
        <v>284</v>
      </c>
      <c r="J115" s="169"/>
      <c r="K115" s="170" t="str">
        <f>VLOOKUP(D115,[2]T3!$B$2:$D$328,3,FALSE)</f>
        <v>024683155</v>
      </c>
      <c r="L115" s="213" t="s">
        <v>663</v>
      </c>
      <c r="M115" s="213" t="s">
        <v>938</v>
      </c>
      <c r="N115" s="263" t="str">
        <f>VLOOKUP(D115,'[6]Bao cao So GDDT'!$D$14:$S$282,11,FALSE)</f>
        <v>Chuyên viên</v>
      </c>
      <c r="O115" s="393" t="s">
        <v>39</v>
      </c>
      <c r="P115" s="170" t="s">
        <v>698</v>
      </c>
      <c r="Q115" s="170">
        <v>4</v>
      </c>
      <c r="R115" s="192">
        <v>3.66</v>
      </c>
      <c r="S115" s="176">
        <f t="shared" si="57"/>
        <v>0</v>
      </c>
      <c r="T115" s="178"/>
      <c r="U115" s="176">
        <f t="shared" si="39"/>
        <v>0</v>
      </c>
      <c r="V115" s="175">
        <f t="shared" si="59"/>
        <v>0</v>
      </c>
      <c r="W115" s="178"/>
      <c r="X115" s="179">
        <f>VLOOKUP(D115,PCTN!D156:W423,20,FALSE)</f>
        <v>0</v>
      </c>
      <c r="Y115" s="216">
        <f t="shared" si="40"/>
        <v>0</v>
      </c>
      <c r="Z115" s="216">
        <f t="shared" si="41"/>
        <v>3.66</v>
      </c>
      <c r="AA115" s="180">
        <f t="shared" si="42"/>
        <v>8564400</v>
      </c>
      <c r="AB115" s="180"/>
      <c r="AC115" s="180">
        <f t="shared" si="43"/>
        <v>0</v>
      </c>
      <c r="AD115" s="180">
        <v>0</v>
      </c>
      <c r="AE115" s="180">
        <f t="shared" si="44"/>
        <v>8564400</v>
      </c>
      <c r="AF115" s="178">
        <f t="shared" si="45"/>
        <v>685152</v>
      </c>
      <c r="AG115" s="178">
        <f t="shared" si="46"/>
        <v>128466</v>
      </c>
      <c r="AH115" s="178">
        <f t="shared" si="47"/>
        <v>85644</v>
      </c>
      <c r="AI115" s="178"/>
      <c r="AJ115" s="178">
        <f t="shared" si="48"/>
        <v>899262</v>
      </c>
      <c r="AK115" s="215"/>
      <c r="AL115" s="535">
        <f t="shared" si="53"/>
        <v>0</v>
      </c>
      <c r="AM115" s="182"/>
      <c r="AN115" s="182"/>
      <c r="AO115" s="216"/>
      <c r="AP115" s="179"/>
      <c r="AQ115" s="194">
        <f t="shared" si="49"/>
        <v>0</v>
      </c>
      <c r="AR115" s="178">
        <f t="shared" si="50"/>
        <v>0</v>
      </c>
      <c r="AS115" s="178"/>
      <c r="AT115" s="178">
        <f t="shared" si="51"/>
        <v>7665138</v>
      </c>
      <c r="AU115" s="469">
        <f t="shared" si="52"/>
        <v>97</v>
      </c>
      <c r="AV115" s="221"/>
      <c r="AW115" s="187" t="s">
        <v>705</v>
      </c>
    </row>
    <row r="116" spans="1:59" s="189" customFormat="1" ht="39" customHeight="1" x14ac:dyDescent="0.25">
      <c r="A116" s="168">
        <f>_xlfn.AGGREGATE(4,7,A$13:A115)+1</f>
        <v>98</v>
      </c>
      <c r="B116" s="168" t="str">
        <f>VLOOKUP(D116,[1]LuongBC_T01!$B$9:$C$292,2,FALSE)</f>
        <v>0016100006568003</v>
      </c>
      <c r="C116" s="723" t="s">
        <v>1317</v>
      </c>
      <c r="D116" s="169" t="s">
        <v>1124</v>
      </c>
      <c r="E116" s="263" t="s">
        <v>1103</v>
      </c>
      <c r="F116" s="169"/>
      <c r="G116" s="200"/>
      <c r="H116" s="200"/>
      <c r="I116" s="200"/>
      <c r="J116" s="200"/>
      <c r="K116" s="170" t="str">
        <f>VLOOKUP(D116,[2]T3!$B$2:$D$328,3,FALSE)</f>
        <v>023790449</v>
      </c>
      <c r="L116" s="201"/>
      <c r="M116" s="201"/>
      <c r="N116" s="263" t="str">
        <f>VLOOKUP(D116,'[6]Bao cao So GDDT'!$D$14:$S$282,11,FALSE)</f>
        <v>Chuyên viên</v>
      </c>
      <c r="O116" s="390" t="s">
        <v>39</v>
      </c>
      <c r="P116" s="222"/>
      <c r="Q116" s="172">
        <v>3</v>
      </c>
      <c r="R116" s="430">
        <v>3.66</v>
      </c>
      <c r="S116" s="176"/>
      <c r="T116" s="220"/>
      <c r="U116" s="176">
        <f t="shared" si="39"/>
        <v>0</v>
      </c>
      <c r="V116" s="175">
        <f t="shared" si="59"/>
        <v>0</v>
      </c>
      <c r="W116" s="170"/>
      <c r="X116" s="179">
        <f>VLOOKUP(D116,PCTN!D227:W494,20,FALSE)</f>
        <v>0</v>
      </c>
      <c r="Y116" s="216">
        <f t="shared" si="40"/>
        <v>0</v>
      </c>
      <c r="Z116" s="216">
        <f t="shared" si="41"/>
        <v>3.66</v>
      </c>
      <c r="AA116" s="180">
        <f t="shared" si="42"/>
        <v>8564400</v>
      </c>
      <c r="AB116" s="180"/>
      <c r="AC116" s="180">
        <f t="shared" si="43"/>
        <v>0</v>
      </c>
      <c r="AD116" s="180">
        <v>0</v>
      </c>
      <c r="AE116" s="180">
        <f t="shared" si="44"/>
        <v>8564400</v>
      </c>
      <c r="AF116" s="178">
        <f t="shared" si="45"/>
        <v>685152</v>
      </c>
      <c r="AG116" s="178">
        <f t="shared" si="46"/>
        <v>128466</v>
      </c>
      <c r="AH116" s="178">
        <f t="shared" si="47"/>
        <v>85644</v>
      </c>
      <c r="AI116" s="178"/>
      <c r="AJ116" s="178">
        <f t="shared" si="48"/>
        <v>899262</v>
      </c>
      <c r="AK116" s="192"/>
      <c r="AL116" s="535">
        <f t="shared" si="53"/>
        <v>0</v>
      </c>
      <c r="AM116" s="182"/>
      <c r="AN116" s="182"/>
      <c r="AO116" s="193">
        <f>R116+U116+W116</f>
        <v>3.66</v>
      </c>
      <c r="AP116" s="179"/>
      <c r="AQ116" s="194">
        <f t="shared" si="49"/>
        <v>0</v>
      </c>
      <c r="AR116" s="178">
        <f t="shared" si="50"/>
        <v>0</v>
      </c>
      <c r="AS116" s="178"/>
      <c r="AT116" s="178">
        <f t="shared" si="51"/>
        <v>7665138</v>
      </c>
      <c r="AU116" s="469">
        <f t="shared" si="52"/>
        <v>98</v>
      </c>
      <c r="AV116" s="195"/>
      <c r="AW116" s="655" t="s">
        <v>1125</v>
      </c>
    </row>
    <row r="117" spans="1:59" s="189" customFormat="1" ht="38.25" customHeight="1" x14ac:dyDescent="0.25">
      <c r="A117" s="168">
        <f>_xlfn.AGGREGATE(4,7,A$13:A116)+1</f>
        <v>99</v>
      </c>
      <c r="B117" s="168" t="str">
        <f>VLOOKUP(D117,[1]LuongBC_T01!$B$9:$C$292,2,FALSE)</f>
        <v>0016100006535008</v>
      </c>
      <c r="C117" s="199" t="s">
        <v>1023</v>
      </c>
      <c r="D117" s="230" t="s">
        <v>801</v>
      </c>
      <c r="E117" s="263" t="s">
        <v>1103</v>
      </c>
      <c r="F117" s="169"/>
      <c r="G117" s="170" t="s">
        <v>25</v>
      </c>
      <c r="H117" s="170"/>
      <c r="I117" s="170"/>
      <c r="J117" s="169"/>
      <c r="K117" s="170" t="str">
        <f>VLOOKUP(D117,[2]T3!$B$2:$D$328,3,FALSE)</f>
        <v>024985581</v>
      </c>
      <c r="L117" s="253"/>
      <c r="M117" s="253" t="s">
        <v>1023</v>
      </c>
      <c r="N117" s="263" t="str">
        <f>VLOOKUP(D117,'[6]Bao cao So GDDT'!$D$14:$S$282,11,FALSE)</f>
        <v>Cán sự</v>
      </c>
      <c r="O117" s="391" t="s">
        <v>43</v>
      </c>
      <c r="P117" s="222" t="s">
        <v>698</v>
      </c>
      <c r="Q117" s="172">
        <v>7</v>
      </c>
      <c r="R117" s="174">
        <v>3.96</v>
      </c>
      <c r="S117" s="176">
        <f t="shared" ref="S117:S138" si="60">U117+W117+Y117</f>
        <v>0</v>
      </c>
      <c r="T117" s="370"/>
      <c r="U117" s="176">
        <f t="shared" si="39"/>
        <v>0</v>
      </c>
      <c r="V117" s="175"/>
      <c r="W117" s="170"/>
      <c r="X117" s="179">
        <f>VLOOKUP(D117,PCTN!D150:W417,20,FALSE)</f>
        <v>0</v>
      </c>
      <c r="Y117" s="216">
        <f t="shared" si="40"/>
        <v>0</v>
      </c>
      <c r="Z117" s="216">
        <f t="shared" si="41"/>
        <v>3.96</v>
      </c>
      <c r="AA117" s="180">
        <f t="shared" si="42"/>
        <v>9266400</v>
      </c>
      <c r="AB117" s="180"/>
      <c r="AC117" s="180">
        <f t="shared" si="43"/>
        <v>0</v>
      </c>
      <c r="AD117" s="180">
        <f>AA117/24*AB117*75%</f>
        <v>0</v>
      </c>
      <c r="AE117" s="180">
        <f t="shared" si="44"/>
        <v>9266400</v>
      </c>
      <c r="AF117" s="178">
        <f t="shared" si="45"/>
        <v>741312</v>
      </c>
      <c r="AG117" s="178">
        <f t="shared" si="46"/>
        <v>138996</v>
      </c>
      <c r="AH117" s="178">
        <f t="shared" si="47"/>
        <v>92664</v>
      </c>
      <c r="AI117" s="178"/>
      <c r="AJ117" s="178">
        <f t="shared" si="48"/>
        <v>972972</v>
      </c>
      <c r="AK117" s="192"/>
      <c r="AL117" s="535">
        <f t="shared" si="53"/>
        <v>0</v>
      </c>
      <c r="AM117" s="182"/>
      <c r="AN117" s="182"/>
      <c r="AO117" s="193">
        <f>R117+U117+W117</f>
        <v>3.96</v>
      </c>
      <c r="AP117" s="246"/>
      <c r="AQ117" s="194">
        <f t="shared" si="49"/>
        <v>0</v>
      </c>
      <c r="AR117" s="178">
        <f t="shared" si="50"/>
        <v>0</v>
      </c>
      <c r="AS117" s="178"/>
      <c r="AT117" s="178">
        <f t="shared" si="51"/>
        <v>8293428</v>
      </c>
      <c r="AU117" s="469">
        <f t="shared" si="52"/>
        <v>99</v>
      </c>
      <c r="AV117" s="244"/>
      <c r="AW117" s="656" t="s">
        <v>1129</v>
      </c>
      <c r="AY117" s="189">
        <f>AY114*10.5%</f>
        <v>627364.5</v>
      </c>
      <c r="AZ117" s="189">
        <f>AZ114*10.5%</f>
        <v>575736</v>
      </c>
    </row>
    <row r="118" spans="1:59" s="191" customFormat="1" ht="42" customHeight="1" x14ac:dyDescent="0.25">
      <c r="A118" s="168">
        <f>_xlfn.AGGREGATE(4,7,A$13:A117)+1</f>
        <v>100</v>
      </c>
      <c r="B118" s="168" t="str">
        <f>VLOOKUP(D118,[1]LuongBC_T01!$B$9:$C$292,2,FALSE)</f>
        <v>0016100006711008</v>
      </c>
      <c r="C118" s="199" t="s">
        <v>967</v>
      </c>
      <c r="D118" s="169" t="s">
        <v>60</v>
      </c>
      <c r="E118" s="263" t="s">
        <v>1643</v>
      </c>
      <c r="F118" s="220" t="s">
        <v>549</v>
      </c>
      <c r="G118" s="200" t="s">
        <v>25</v>
      </c>
      <c r="H118" s="200" t="s">
        <v>283</v>
      </c>
      <c r="I118" s="200" t="s">
        <v>283</v>
      </c>
      <c r="J118" s="220" t="s">
        <v>242</v>
      </c>
      <c r="K118" s="170" t="str">
        <f>VLOOKUP(D118,[2]T3!$B$2:$D$328,3,FALSE)</f>
        <v>023444718</v>
      </c>
      <c r="L118" s="241" t="s">
        <v>163</v>
      </c>
      <c r="M118" s="241" t="s">
        <v>967</v>
      </c>
      <c r="N118" s="263" t="str">
        <f>VLOOKUP(D118,'[6]Bao cao So GDDT'!$D$14:$S$282,11,FALSE)</f>
        <v>Chuyên viên</v>
      </c>
      <c r="O118" s="390" t="s">
        <v>39</v>
      </c>
      <c r="P118" s="172" t="s">
        <v>692</v>
      </c>
      <c r="Q118" s="173">
        <v>4</v>
      </c>
      <c r="R118" s="174">
        <v>4.32</v>
      </c>
      <c r="S118" s="176">
        <f t="shared" si="60"/>
        <v>0</v>
      </c>
      <c r="T118" s="377"/>
      <c r="U118" s="176">
        <f t="shared" si="39"/>
        <v>0</v>
      </c>
      <c r="V118" s="175">
        <f t="shared" ref="V118:V124" si="61">R118*T118*$D$8/100</f>
        <v>0</v>
      </c>
      <c r="W118" s="200"/>
      <c r="X118" s="179">
        <f>VLOOKUP(D118,PCTN!D184:W451,20,FALSE)</f>
        <v>0</v>
      </c>
      <c r="Y118" s="216">
        <f t="shared" si="40"/>
        <v>0</v>
      </c>
      <c r="Z118" s="216">
        <f t="shared" si="41"/>
        <v>4.32</v>
      </c>
      <c r="AA118" s="180">
        <f t="shared" si="42"/>
        <v>10108800</v>
      </c>
      <c r="AB118" s="180"/>
      <c r="AC118" s="180">
        <f t="shared" si="43"/>
        <v>0</v>
      </c>
      <c r="AD118" s="180">
        <f>AA118/24*AB118*75%</f>
        <v>0</v>
      </c>
      <c r="AE118" s="180">
        <f t="shared" si="44"/>
        <v>10108800</v>
      </c>
      <c r="AF118" s="178">
        <f t="shared" si="45"/>
        <v>808704</v>
      </c>
      <c r="AG118" s="178">
        <f t="shared" si="46"/>
        <v>151632</v>
      </c>
      <c r="AH118" s="178">
        <f t="shared" si="47"/>
        <v>101088</v>
      </c>
      <c r="AI118" s="178"/>
      <c r="AJ118" s="178">
        <f t="shared" si="48"/>
        <v>1061424</v>
      </c>
      <c r="AK118" s="181"/>
      <c r="AL118" s="535">
        <f t="shared" si="53"/>
        <v>0</v>
      </c>
      <c r="AM118" s="182"/>
      <c r="AN118" s="182"/>
      <c r="AO118" s="193">
        <f>R118+U118+W118</f>
        <v>4.32</v>
      </c>
      <c r="AP118" s="179">
        <v>0</v>
      </c>
      <c r="AQ118" s="194">
        <f t="shared" si="49"/>
        <v>0</v>
      </c>
      <c r="AR118" s="178">
        <f t="shared" si="50"/>
        <v>0</v>
      </c>
      <c r="AS118" s="178"/>
      <c r="AT118" s="178">
        <f t="shared" si="51"/>
        <v>9047376</v>
      </c>
      <c r="AU118" s="469">
        <f t="shared" si="52"/>
        <v>100</v>
      </c>
      <c r="AV118" s="195"/>
      <c r="AW118" s="187"/>
    </row>
    <row r="119" spans="1:59" s="189" customFormat="1" ht="48" customHeight="1" x14ac:dyDescent="0.25">
      <c r="A119" s="168">
        <f>_xlfn.AGGREGATE(4,7,A$13:A118)+1</f>
        <v>101</v>
      </c>
      <c r="B119" s="168" t="str">
        <f>VLOOKUP(D119,[1]LuongBC_T01!$B$9:$C$292,2,FALSE)</f>
        <v>0016100006654007</v>
      </c>
      <c r="C119" s="199" t="s">
        <v>1021</v>
      </c>
      <c r="D119" s="230" t="s">
        <v>804</v>
      </c>
      <c r="E119" s="263" t="s">
        <v>1103</v>
      </c>
      <c r="F119" s="169"/>
      <c r="G119" s="170" t="s">
        <v>25</v>
      </c>
      <c r="H119" s="170"/>
      <c r="I119" s="170"/>
      <c r="J119" s="169"/>
      <c r="K119" s="170" t="str">
        <f>VLOOKUP(D119,[2]T3!$B$2:$D$328,3,FALSE)</f>
        <v>020155632</v>
      </c>
      <c r="L119" s="253"/>
      <c r="M119" s="253" t="s">
        <v>1021</v>
      </c>
      <c r="N119" s="263" t="str">
        <f>VLOOKUP(D119,'[6]Bao cao So GDDT'!$D$14:$S$282,11,FALSE)</f>
        <v>Chuyên viên</v>
      </c>
      <c r="O119" s="391" t="s">
        <v>39</v>
      </c>
      <c r="P119" s="222" t="s">
        <v>692</v>
      </c>
      <c r="Q119" s="172">
        <v>5</v>
      </c>
      <c r="R119" s="174">
        <v>4.6500000000000004</v>
      </c>
      <c r="S119" s="176">
        <f t="shared" si="60"/>
        <v>0</v>
      </c>
      <c r="T119" s="370"/>
      <c r="U119" s="176">
        <f t="shared" si="39"/>
        <v>0</v>
      </c>
      <c r="V119" s="175">
        <f t="shared" si="61"/>
        <v>0</v>
      </c>
      <c r="W119" s="170"/>
      <c r="X119" s="179">
        <f>VLOOKUP(D119,PCTN!D133:W400,20,FALSE)</f>
        <v>0</v>
      </c>
      <c r="Y119" s="216">
        <f t="shared" si="40"/>
        <v>0</v>
      </c>
      <c r="Z119" s="216">
        <f t="shared" si="41"/>
        <v>4.6500000000000004</v>
      </c>
      <c r="AA119" s="180">
        <f t="shared" si="42"/>
        <v>10881000</v>
      </c>
      <c r="AB119" s="180"/>
      <c r="AC119" s="180">
        <f t="shared" si="43"/>
        <v>0</v>
      </c>
      <c r="AD119" s="180">
        <v>0</v>
      </c>
      <c r="AE119" s="180">
        <f t="shared" si="44"/>
        <v>10881000</v>
      </c>
      <c r="AF119" s="178">
        <f t="shared" si="45"/>
        <v>870480</v>
      </c>
      <c r="AG119" s="178">
        <f t="shared" si="46"/>
        <v>163215</v>
      </c>
      <c r="AH119" s="178">
        <f t="shared" si="47"/>
        <v>108810</v>
      </c>
      <c r="AI119" s="178"/>
      <c r="AJ119" s="178">
        <f t="shared" si="48"/>
        <v>1142505</v>
      </c>
      <c r="AK119" s="192"/>
      <c r="AL119" s="535">
        <f t="shared" si="53"/>
        <v>0</v>
      </c>
      <c r="AM119" s="182"/>
      <c r="AN119" s="182"/>
      <c r="AO119" s="193">
        <f>R119+U119+W119</f>
        <v>4.6500000000000004</v>
      </c>
      <c r="AP119" s="246"/>
      <c r="AQ119" s="194">
        <f t="shared" si="49"/>
        <v>0</v>
      </c>
      <c r="AR119" s="178">
        <f t="shared" si="50"/>
        <v>0</v>
      </c>
      <c r="AS119" s="178"/>
      <c r="AT119" s="178">
        <f t="shared" si="51"/>
        <v>9738495</v>
      </c>
      <c r="AU119" s="469">
        <f t="shared" si="52"/>
        <v>101</v>
      </c>
      <c r="AV119" s="195"/>
      <c r="AW119" s="195" t="s">
        <v>1130</v>
      </c>
    </row>
    <row r="120" spans="1:59" s="189" customFormat="1" ht="42" customHeight="1" x14ac:dyDescent="0.25">
      <c r="A120" s="168">
        <f>_xlfn.AGGREGATE(4,7,A$13:A119)+1</f>
        <v>102</v>
      </c>
      <c r="B120" s="168" t="str">
        <f>VLOOKUP(D120,[1]LuongBC_T01!$B$9:$C$292,2,FALSE)</f>
        <v>0016100006714007</v>
      </c>
      <c r="C120" s="199" t="s">
        <v>1001</v>
      </c>
      <c r="D120" s="169" t="s">
        <v>567</v>
      </c>
      <c r="E120" s="263" t="s">
        <v>1643</v>
      </c>
      <c r="F120" s="169" t="s">
        <v>549</v>
      </c>
      <c r="G120" s="200" t="s">
        <v>25</v>
      </c>
      <c r="H120" s="200" t="s">
        <v>284</v>
      </c>
      <c r="I120" s="200" t="s">
        <v>283</v>
      </c>
      <c r="J120" s="200" t="s">
        <v>576</v>
      </c>
      <c r="K120" s="170" t="str">
        <f>VLOOKUP(D120,[2]T3!$B$2:$D$328,3,FALSE)</f>
        <v>250443735</v>
      </c>
      <c r="L120" s="201" t="s">
        <v>598</v>
      </c>
      <c r="M120" s="201" t="s">
        <v>1001</v>
      </c>
      <c r="N120" s="263" t="str">
        <f>VLOOKUP(D120,'[6]Bao cao So GDDT'!$D$14:$S$282,11,FALSE)</f>
        <v>Chuyên viên</v>
      </c>
      <c r="O120" s="390" t="s">
        <v>39</v>
      </c>
      <c r="P120" s="170" t="s">
        <v>692</v>
      </c>
      <c r="Q120" s="170">
        <v>3</v>
      </c>
      <c r="R120" s="177">
        <v>3.66</v>
      </c>
      <c r="S120" s="176">
        <f t="shared" si="60"/>
        <v>0</v>
      </c>
      <c r="T120" s="220"/>
      <c r="U120" s="176">
        <f t="shared" si="39"/>
        <v>0</v>
      </c>
      <c r="V120" s="175">
        <f t="shared" si="61"/>
        <v>0</v>
      </c>
      <c r="W120" s="170"/>
      <c r="X120" s="179">
        <f>VLOOKUP(D120,PCTN!D226:W493,20,FALSE)</f>
        <v>0</v>
      </c>
      <c r="Y120" s="216">
        <f t="shared" si="40"/>
        <v>0</v>
      </c>
      <c r="Z120" s="216">
        <f t="shared" si="41"/>
        <v>3.66</v>
      </c>
      <c r="AA120" s="180">
        <f t="shared" si="42"/>
        <v>8564400</v>
      </c>
      <c r="AB120" s="180"/>
      <c r="AC120" s="180">
        <f t="shared" si="43"/>
        <v>0</v>
      </c>
      <c r="AD120" s="180">
        <v>0</v>
      </c>
      <c r="AE120" s="180">
        <f t="shared" si="44"/>
        <v>8564400</v>
      </c>
      <c r="AF120" s="178">
        <f t="shared" si="45"/>
        <v>685152</v>
      </c>
      <c r="AG120" s="178">
        <f t="shared" si="46"/>
        <v>128466</v>
      </c>
      <c r="AH120" s="178">
        <f t="shared" si="47"/>
        <v>85644</v>
      </c>
      <c r="AI120" s="178"/>
      <c r="AJ120" s="178">
        <f t="shared" si="48"/>
        <v>899262</v>
      </c>
      <c r="AK120" s="192"/>
      <c r="AL120" s="535">
        <f t="shared" si="53"/>
        <v>0</v>
      </c>
      <c r="AM120" s="182"/>
      <c r="AN120" s="182"/>
      <c r="AO120" s="193">
        <f>R120+U120+W120</f>
        <v>3.66</v>
      </c>
      <c r="AP120" s="179"/>
      <c r="AQ120" s="194">
        <f t="shared" si="49"/>
        <v>0</v>
      </c>
      <c r="AR120" s="178">
        <f t="shared" si="50"/>
        <v>0</v>
      </c>
      <c r="AS120" s="178"/>
      <c r="AT120" s="178">
        <f t="shared" si="51"/>
        <v>7665138</v>
      </c>
      <c r="AU120" s="469">
        <f t="shared" si="52"/>
        <v>102</v>
      </c>
      <c r="AV120" s="195"/>
      <c r="AW120" s="198" t="s">
        <v>728</v>
      </c>
      <c r="AX120" s="29"/>
      <c r="AY120" s="29"/>
      <c r="AZ120" s="29"/>
      <c r="BA120" s="29"/>
      <c r="BB120" s="29"/>
      <c r="BC120" s="29"/>
      <c r="BD120" s="29"/>
      <c r="BE120" s="29"/>
      <c r="BF120" s="29"/>
      <c r="BG120" s="29"/>
    </row>
    <row r="121" spans="1:59" s="189" customFormat="1" ht="42" customHeight="1" x14ac:dyDescent="0.25">
      <c r="A121" s="168">
        <f>_xlfn.AGGREGATE(4,7,A$13:A120)+1</f>
        <v>103</v>
      </c>
      <c r="B121" s="168" t="str">
        <f>VLOOKUP(D121,[1]LuongBC_T01!$B$9:$C$292,2,FALSE)</f>
        <v>0016100006719001</v>
      </c>
      <c r="C121" s="371" t="s">
        <v>1036</v>
      </c>
      <c r="D121" s="169" t="s">
        <v>649</v>
      </c>
      <c r="E121" s="263" t="s">
        <v>1643</v>
      </c>
      <c r="F121" s="169" t="s">
        <v>549</v>
      </c>
      <c r="G121" s="170" t="s">
        <v>25</v>
      </c>
      <c r="H121" s="169"/>
      <c r="I121" s="169" t="s">
        <v>284</v>
      </c>
      <c r="J121" s="169"/>
      <c r="K121" s="170" t="str">
        <f>VLOOKUP(D121,[2]T3!$B$2:$D$328,3,FALSE)</f>
        <v>025240565</v>
      </c>
      <c r="L121" s="197">
        <v>1603205189653</v>
      </c>
      <c r="M121" s="197" t="s">
        <v>1036</v>
      </c>
      <c r="N121" s="263" t="str">
        <f>VLOOKUP(D121,'[6]Bao cao So GDDT'!$D$14:$S$282,11,FALSE)</f>
        <v>Chuyên viên</v>
      </c>
      <c r="O121" s="393" t="s">
        <v>39</v>
      </c>
      <c r="P121" s="170" t="s">
        <v>692</v>
      </c>
      <c r="Q121" s="170">
        <v>4</v>
      </c>
      <c r="R121" s="192">
        <v>3.99</v>
      </c>
      <c r="S121" s="176">
        <f t="shared" si="60"/>
        <v>0</v>
      </c>
      <c r="T121" s="178"/>
      <c r="U121" s="176">
        <f t="shared" si="39"/>
        <v>0</v>
      </c>
      <c r="V121" s="175">
        <f t="shared" si="61"/>
        <v>0</v>
      </c>
      <c r="W121" s="178"/>
      <c r="X121" s="179">
        <f>VLOOKUP(D121,PCTN!D134:W401,20,FALSE)</f>
        <v>0</v>
      </c>
      <c r="Y121" s="216">
        <f t="shared" si="40"/>
        <v>0</v>
      </c>
      <c r="Z121" s="216">
        <f t="shared" si="41"/>
        <v>3.99</v>
      </c>
      <c r="AA121" s="180">
        <f t="shared" si="42"/>
        <v>9336600</v>
      </c>
      <c r="AB121" s="180"/>
      <c r="AC121" s="180">
        <f t="shared" si="43"/>
        <v>0</v>
      </c>
      <c r="AD121" s="180">
        <v>0</v>
      </c>
      <c r="AE121" s="180">
        <f t="shared" si="44"/>
        <v>9336600</v>
      </c>
      <c r="AF121" s="178">
        <f t="shared" si="45"/>
        <v>746928</v>
      </c>
      <c r="AG121" s="178">
        <f t="shared" si="46"/>
        <v>140049</v>
      </c>
      <c r="AH121" s="178">
        <f t="shared" si="47"/>
        <v>93366</v>
      </c>
      <c r="AI121" s="178"/>
      <c r="AJ121" s="178">
        <f t="shared" si="48"/>
        <v>980343</v>
      </c>
      <c r="AK121" s="215"/>
      <c r="AL121" s="535">
        <f t="shared" si="53"/>
        <v>0</v>
      </c>
      <c r="AM121" s="182"/>
      <c r="AN121" s="182"/>
      <c r="AO121" s="193"/>
      <c r="AP121" s="179"/>
      <c r="AQ121" s="194">
        <f t="shared" si="49"/>
        <v>0</v>
      </c>
      <c r="AR121" s="178">
        <f t="shared" si="50"/>
        <v>0</v>
      </c>
      <c r="AS121" s="178"/>
      <c r="AT121" s="178">
        <f t="shared" si="51"/>
        <v>8356257</v>
      </c>
      <c r="AU121" s="469">
        <f t="shared" si="52"/>
        <v>103</v>
      </c>
      <c r="AV121" s="221"/>
      <c r="AW121" s="245" t="s">
        <v>706</v>
      </c>
    </row>
    <row r="122" spans="1:59" s="189" customFormat="1" ht="41.25" customHeight="1" x14ac:dyDescent="0.25">
      <c r="A122" s="168">
        <f>_xlfn.AGGREGATE(4,7,A$13:A121)+1</f>
        <v>104</v>
      </c>
      <c r="B122" s="168" t="str">
        <f>VLOOKUP(D122,[1]LuongBC_T01!$B$9:$C$292,2,FALSE)</f>
        <v>0016100006498005</v>
      </c>
      <c r="C122" s="371" t="s">
        <v>1049</v>
      </c>
      <c r="D122" s="230" t="s">
        <v>1214</v>
      </c>
      <c r="E122" s="263" t="s">
        <v>1643</v>
      </c>
      <c r="F122" s="231"/>
      <c r="G122" s="251" t="s">
        <v>25</v>
      </c>
      <c r="H122" s="231"/>
      <c r="I122" s="231"/>
      <c r="J122" s="231"/>
      <c r="K122" s="170" t="str">
        <f>VLOOKUP(D122,[2]T3!$B$2:$D$328,3,FALSE)</f>
        <v>036186004635</v>
      </c>
      <c r="L122" s="226"/>
      <c r="M122" s="226" t="s">
        <v>1049</v>
      </c>
      <c r="N122" s="263" t="str">
        <f>VLOOKUP(D122,'[6]Bao cao So GDDT'!$D$14:$S$282,11,FALSE)</f>
        <v>Kế toán viên</v>
      </c>
      <c r="O122" s="393" t="s">
        <v>38</v>
      </c>
      <c r="P122" s="170" t="s">
        <v>692</v>
      </c>
      <c r="Q122" s="170">
        <v>3</v>
      </c>
      <c r="R122" s="177">
        <v>3.66</v>
      </c>
      <c r="S122" s="176">
        <f t="shared" si="60"/>
        <v>0</v>
      </c>
      <c r="T122" s="169"/>
      <c r="U122" s="176">
        <f t="shared" si="39"/>
        <v>0</v>
      </c>
      <c r="V122" s="175">
        <f t="shared" si="61"/>
        <v>0</v>
      </c>
      <c r="W122" s="170"/>
      <c r="X122" s="179">
        <f>VLOOKUP(D122,PCTN!D160:W427,20,FALSE)</f>
        <v>0</v>
      </c>
      <c r="Y122" s="216">
        <f t="shared" si="40"/>
        <v>0</v>
      </c>
      <c r="Z122" s="216">
        <f t="shared" si="41"/>
        <v>3.66</v>
      </c>
      <c r="AA122" s="180">
        <f t="shared" si="42"/>
        <v>8564400</v>
      </c>
      <c r="AB122" s="180"/>
      <c r="AC122" s="180">
        <f t="shared" si="43"/>
        <v>0</v>
      </c>
      <c r="AD122" s="180">
        <f t="shared" ref="AD122:AD130" si="62">AA122/24*AB122*75%</f>
        <v>0</v>
      </c>
      <c r="AE122" s="180">
        <f t="shared" si="44"/>
        <v>8564400</v>
      </c>
      <c r="AF122" s="178">
        <f t="shared" si="45"/>
        <v>685152</v>
      </c>
      <c r="AG122" s="178">
        <f t="shared" si="46"/>
        <v>128466</v>
      </c>
      <c r="AH122" s="178">
        <f t="shared" si="47"/>
        <v>85644</v>
      </c>
      <c r="AI122" s="178"/>
      <c r="AJ122" s="178">
        <f t="shared" si="48"/>
        <v>899262</v>
      </c>
      <c r="AK122" s="192"/>
      <c r="AL122" s="535">
        <f t="shared" si="53"/>
        <v>0</v>
      </c>
      <c r="AM122" s="182"/>
      <c r="AN122" s="182"/>
      <c r="AO122" s="183"/>
      <c r="AP122" s="179"/>
      <c r="AQ122" s="194">
        <f t="shared" si="49"/>
        <v>0</v>
      </c>
      <c r="AR122" s="178">
        <f t="shared" si="50"/>
        <v>0</v>
      </c>
      <c r="AS122" s="178"/>
      <c r="AT122" s="178">
        <f t="shared" si="51"/>
        <v>7665138</v>
      </c>
      <c r="AU122" s="469">
        <f t="shared" si="52"/>
        <v>104</v>
      </c>
      <c r="AV122" s="244"/>
      <c r="AW122" s="255" t="e">
        <f>AW92*3</f>
        <v>#VALUE!</v>
      </c>
      <c r="AY122" s="189">
        <f>3.33*1490000*1.8*3</f>
        <v>26793180</v>
      </c>
    </row>
    <row r="123" spans="1:59" s="189" customFormat="1" ht="35.25" customHeight="1" x14ac:dyDescent="0.25">
      <c r="A123" s="168">
        <f>_xlfn.AGGREGATE(4,7,A$13:A122)+1</f>
        <v>105</v>
      </c>
      <c r="B123" s="168" t="str">
        <f>VLOOKUP(D123,[1]LuongBC_T01!$B$9:$C$292,2,FALSE)</f>
        <v>0016100006682008</v>
      </c>
      <c r="C123" s="512" t="s">
        <v>912</v>
      </c>
      <c r="D123" s="524" t="s">
        <v>1200</v>
      </c>
      <c r="E123" s="521" t="s">
        <v>1569</v>
      </c>
      <c r="F123" s="524" t="s">
        <v>549</v>
      </c>
      <c r="G123" s="525" t="s">
        <v>25</v>
      </c>
      <c r="H123" s="525"/>
      <c r="I123" s="525" t="s">
        <v>284</v>
      </c>
      <c r="J123" s="524" t="s">
        <v>276</v>
      </c>
      <c r="K123" s="484" t="s">
        <v>1348</v>
      </c>
      <c r="L123" s="609" t="s">
        <v>129</v>
      </c>
      <c r="M123" s="609" t="s">
        <v>912</v>
      </c>
      <c r="N123" s="263" t="str">
        <f>VLOOKUP(D123,'[6]Bao cao So GDDT'!$D$14:$S$282,11,FALSE)</f>
        <v>Kế toán viên</v>
      </c>
      <c r="O123" s="610" t="s">
        <v>38</v>
      </c>
      <c r="P123" s="612" t="s">
        <v>692</v>
      </c>
      <c r="Q123" s="612">
        <v>5</v>
      </c>
      <c r="R123" s="613">
        <v>4.32</v>
      </c>
      <c r="S123" s="463">
        <f>U123+W123+Y123</f>
        <v>0.35</v>
      </c>
      <c r="T123" s="614"/>
      <c r="U123" s="463">
        <f>ROUND(R123*T123/100,4)</f>
        <v>0</v>
      </c>
      <c r="V123" s="529">
        <f>R123*T123*$D$8/100</f>
        <v>0</v>
      </c>
      <c r="W123" s="525">
        <v>0.35</v>
      </c>
      <c r="X123" s="179">
        <f>VLOOKUP(D123,PCTN!D106:W373,20,FALSE)</f>
        <v>0</v>
      </c>
      <c r="Y123" s="531">
        <f>ROUND((R123+U123+W123)*X123,4)</f>
        <v>0</v>
      </c>
      <c r="Z123" s="531">
        <f>R123+U123+W123+Y123</f>
        <v>4.67</v>
      </c>
      <c r="AA123" s="532">
        <f>ROUND(Z123*$D$8,0)</f>
        <v>10927800</v>
      </c>
      <c r="AB123" s="532"/>
      <c r="AC123" s="532">
        <f>AA123/24*AB123</f>
        <v>0</v>
      </c>
      <c r="AD123" s="532">
        <f>AA123/24*AB123*75%</f>
        <v>0</v>
      </c>
      <c r="AE123" s="532">
        <f>ROUND(AA123-AC123+AD123,0)</f>
        <v>10927800</v>
      </c>
      <c r="AF123" s="533">
        <f>AA123*8%</f>
        <v>874224</v>
      </c>
      <c r="AG123" s="533">
        <f>AA123*1.5%</f>
        <v>163917</v>
      </c>
      <c r="AH123" s="533">
        <f>AA123*1%</f>
        <v>109278</v>
      </c>
      <c r="AI123" s="533"/>
      <c r="AJ123" s="533">
        <f>SUM(AF123:AI123)</f>
        <v>1147419</v>
      </c>
      <c r="AK123" s="534"/>
      <c r="AL123" s="535">
        <f t="shared" si="53"/>
        <v>0</v>
      </c>
      <c r="AM123" s="535"/>
      <c r="AN123" s="535"/>
      <c r="AO123" s="615">
        <f>R123+U123+W123</f>
        <v>4.67</v>
      </c>
      <c r="AP123" s="530"/>
      <c r="AQ123" s="537">
        <f>ROUND(AO123*AP123,4)</f>
        <v>0</v>
      </c>
      <c r="AR123" s="533">
        <f>ROUND(AQ123*$D$8,0)</f>
        <v>0</v>
      </c>
      <c r="AS123" s="533"/>
      <c r="AT123" s="533">
        <f>ROUND(AE123-AJ123+AL123+AN123+AR123,0)</f>
        <v>9780381</v>
      </c>
      <c r="AU123" s="538">
        <f>A123</f>
        <v>105</v>
      </c>
      <c r="AV123" s="539"/>
      <c r="AW123" s="187"/>
      <c r="AX123" s="29"/>
      <c r="AY123" s="29"/>
      <c r="AZ123" s="29"/>
      <c r="BA123" s="29"/>
      <c r="BB123" s="29"/>
      <c r="BC123" s="29"/>
      <c r="BD123" s="29"/>
      <c r="BE123" s="29"/>
      <c r="BF123" s="29"/>
      <c r="BG123" s="29"/>
    </row>
    <row r="124" spans="1:59" s="189" customFormat="1" ht="31.5" customHeight="1" x14ac:dyDescent="0.25">
      <c r="A124" s="168">
        <f>_xlfn.AGGREGATE(4,7,A$13:A123)+1</f>
        <v>106</v>
      </c>
      <c r="B124" s="168" t="str">
        <f>VLOOKUP(D124,[1]LuongBC_T01!$B$9:$C$292,2,FALSE)</f>
        <v>0016100006792008</v>
      </c>
      <c r="C124" s="371" t="s">
        <v>1040</v>
      </c>
      <c r="D124" s="230" t="s">
        <v>780</v>
      </c>
      <c r="E124" s="263" t="s">
        <v>1470</v>
      </c>
      <c r="F124" s="231"/>
      <c r="G124" s="231"/>
      <c r="H124" s="231"/>
      <c r="I124" s="169" t="s">
        <v>284</v>
      </c>
      <c r="J124" s="231"/>
      <c r="K124" s="170" t="str">
        <f>VLOOKUP(D124,[2]T3!$B$2:$D$328,3,FALSE)</f>
        <v>079089006525</v>
      </c>
      <c r="L124" s="226">
        <v>1603205286752</v>
      </c>
      <c r="M124" s="226" t="s">
        <v>1040</v>
      </c>
      <c r="N124" s="263" t="str">
        <f>VLOOKUP(D124,'[6]Bao cao So GDDT'!$D$14:$S$282,11,FALSE)</f>
        <v>Kỹ sư (hạng III)</v>
      </c>
      <c r="O124" s="393" t="s">
        <v>1116</v>
      </c>
      <c r="P124" s="170" t="s">
        <v>692</v>
      </c>
      <c r="Q124" s="170">
        <v>3</v>
      </c>
      <c r="R124" s="192">
        <v>3.66</v>
      </c>
      <c r="S124" s="176">
        <f t="shared" si="60"/>
        <v>0</v>
      </c>
      <c r="T124" s="178"/>
      <c r="U124" s="176">
        <f t="shared" si="39"/>
        <v>0</v>
      </c>
      <c r="V124" s="175">
        <f t="shared" si="61"/>
        <v>0</v>
      </c>
      <c r="W124" s="178"/>
      <c r="X124" s="179">
        <f>VLOOKUP(D124,PCTN!D138:W405,20,FALSE)</f>
        <v>0</v>
      </c>
      <c r="Y124" s="216">
        <f t="shared" si="40"/>
        <v>0</v>
      </c>
      <c r="Z124" s="216">
        <f t="shared" si="41"/>
        <v>3.66</v>
      </c>
      <c r="AA124" s="180">
        <f t="shared" si="42"/>
        <v>8564400</v>
      </c>
      <c r="AB124" s="180"/>
      <c r="AC124" s="180">
        <f t="shared" si="43"/>
        <v>0</v>
      </c>
      <c r="AD124" s="180">
        <f t="shared" si="62"/>
        <v>0</v>
      </c>
      <c r="AE124" s="180">
        <f t="shared" si="44"/>
        <v>8564400</v>
      </c>
      <c r="AF124" s="178">
        <f t="shared" si="45"/>
        <v>685152</v>
      </c>
      <c r="AG124" s="178">
        <f t="shared" si="46"/>
        <v>128466</v>
      </c>
      <c r="AH124" s="178">
        <f t="shared" si="47"/>
        <v>85644</v>
      </c>
      <c r="AI124" s="178"/>
      <c r="AJ124" s="178">
        <f t="shared" si="48"/>
        <v>899262</v>
      </c>
      <c r="AK124" s="215"/>
      <c r="AL124" s="535">
        <f t="shared" si="53"/>
        <v>0</v>
      </c>
      <c r="AM124" s="182"/>
      <c r="AN124" s="182"/>
      <c r="AO124" s="216"/>
      <c r="AP124" s="179"/>
      <c r="AQ124" s="194">
        <f t="shared" si="49"/>
        <v>0</v>
      </c>
      <c r="AR124" s="178">
        <f t="shared" si="50"/>
        <v>0</v>
      </c>
      <c r="AS124" s="178"/>
      <c r="AT124" s="178">
        <f t="shared" si="51"/>
        <v>7665138</v>
      </c>
      <c r="AU124" s="469">
        <f t="shared" si="52"/>
        <v>106</v>
      </c>
      <c r="AV124" s="195"/>
      <c r="AW124" s="242"/>
    </row>
    <row r="125" spans="1:59" s="189" customFormat="1" ht="33.75" customHeight="1" x14ac:dyDescent="0.25">
      <c r="A125" s="168">
        <f>_xlfn.AGGREGATE(4,7,A$13:A124)+1</f>
        <v>107</v>
      </c>
      <c r="B125" s="168" t="str">
        <f>VLOOKUP(D125,[1]LuongBC_T01!$B$9:$C$292,2,FALSE)</f>
        <v>0016100006733004</v>
      </c>
      <c r="C125" s="199" t="s">
        <v>1022</v>
      </c>
      <c r="D125" s="230" t="s">
        <v>802</v>
      </c>
      <c r="E125" s="263" t="s">
        <v>1470</v>
      </c>
      <c r="F125" s="169"/>
      <c r="G125" s="170" t="s">
        <v>25</v>
      </c>
      <c r="H125" s="170"/>
      <c r="I125" s="170"/>
      <c r="J125" s="169"/>
      <c r="K125" s="170" t="str">
        <f>VLOOKUP(D125,[2]T3!$B$2:$D$328,3,FALSE)</f>
        <v>025442983</v>
      </c>
      <c r="L125" s="253"/>
      <c r="M125" s="253" t="s">
        <v>1022</v>
      </c>
      <c r="N125" s="263" t="str">
        <f>VLOOKUP(D125,'[6]Bao cao So GDDT'!$D$14:$S$282,11,FALSE)</f>
        <v>Chuyên viên</v>
      </c>
      <c r="O125" s="391" t="s">
        <v>39</v>
      </c>
      <c r="P125" s="222" t="s">
        <v>697</v>
      </c>
      <c r="Q125" s="172">
        <v>1</v>
      </c>
      <c r="R125" s="174">
        <v>3.66</v>
      </c>
      <c r="S125" s="176">
        <f t="shared" si="60"/>
        <v>0</v>
      </c>
      <c r="T125" s="370"/>
      <c r="U125" s="176">
        <f t="shared" si="39"/>
        <v>0</v>
      </c>
      <c r="V125" s="175"/>
      <c r="W125" s="170"/>
      <c r="X125" s="179">
        <f>VLOOKUP(D125,PCTN!D144:W411,20,FALSE)</f>
        <v>0</v>
      </c>
      <c r="Y125" s="216">
        <f t="shared" si="40"/>
        <v>0</v>
      </c>
      <c r="Z125" s="216">
        <f t="shared" si="41"/>
        <v>3.66</v>
      </c>
      <c r="AA125" s="180">
        <f t="shared" si="42"/>
        <v>8564400</v>
      </c>
      <c r="AB125" s="180"/>
      <c r="AC125" s="180">
        <f t="shared" si="43"/>
        <v>0</v>
      </c>
      <c r="AD125" s="180">
        <f t="shared" si="62"/>
        <v>0</v>
      </c>
      <c r="AE125" s="180">
        <f t="shared" si="44"/>
        <v>8564400</v>
      </c>
      <c r="AF125" s="178">
        <f t="shared" si="45"/>
        <v>685152</v>
      </c>
      <c r="AG125" s="178">
        <f t="shared" si="46"/>
        <v>128466</v>
      </c>
      <c r="AH125" s="178">
        <f t="shared" si="47"/>
        <v>85644</v>
      </c>
      <c r="AI125" s="178"/>
      <c r="AJ125" s="178">
        <f t="shared" si="48"/>
        <v>899262</v>
      </c>
      <c r="AK125" s="192"/>
      <c r="AL125" s="535">
        <f t="shared" si="53"/>
        <v>0</v>
      </c>
      <c r="AM125" s="182"/>
      <c r="AN125" s="182"/>
      <c r="AO125" s="193">
        <f>R125+U125+W125</f>
        <v>3.66</v>
      </c>
      <c r="AP125" s="246"/>
      <c r="AQ125" s="194">
        <f t="shared" si="49"/>
        <v>0</v>
      </c>
      <c r="AR125" s="178">
        <f t="shared" si="50"/>
        <v>0</v>
      </c>
      <c r="AS125" s="178"/>
      <c r="AT125" s="178">
        <f t="shared" si="51"/>
        <v>7665138</v>
      </c>
      <c r="AU125" s="469">
        <f t="shared" si="52"/>
        <v>107</v>
      </c>
      <c r="AV125" s="195"/>
      <c r="AW125" s="198"/>
    </row>
    <row r="126" spans="1:59" s="189" customFormat="1" ht="36.75" customHeight="1" x14ac:dyDescent="0.25">
      <c r="A126" s="168">
        <f>_xlfn.AGGREGATE(4,7,A$13:A125)+1</f>
        <v>108</v>
      </c>
      <c r="B126" s="168" t="str">
        <f>VLOOKUP(D126,[1]LuongBC_T01!$B$9:$C$292,2,FALSE)</f>
        <v>0016100006685007</v>
      </c>
      <c r="C126" s="199" t="s">
        <v>935</v>
      </c>
      <c r="D126" s="169" t="s">
        <v>653</v>
      </c>
      <c r="E126" s="263" t="s">
        <v>1470</v>
      </c>
      <c r="F126" s="169" t="s">
        <v>553</v>
      </c>
      <c r="G126" s="170" t="s">
        <v>25</v>
      </c>
      <c r="H126" s="169"/>
      <c r="I126" s="169" t="s">
        <v>284</v>
      </c>
      <c r="J126" s="169"/>
      <c r="K126" s="170" t="str">
        <f>VLOOKUP(D126,[2]T3!$B$2:$D$328,3,FALSE)</f>
        <v>030186001391</v>
      </c>
      <c r="L126" s="197">
        <v>1603205182575</v>
      </c>
      <c r="M126" s="197" t="s">
        <v>935</v>
      </c>
      <c r="N126" s="263" t="str">
        <f>VLOOKUP(D126,'[6]Bao cao So GDDT'!$D$14:$S$282,11,FALSE)</f>
        <v>Chuyên viên</v>
      </c>
      <c r="O126" s="393" t="s">
        <v>39</v>
      </c>
      <c r="P126" s="170" t="s">
        <v>698</v>
      </c>
      <c r="Q126" s="170">
        <v>6</v>
      </c>
      <c r="R126" s="192">
        <v>3.66</v>
      </c>
      <c r="S126" s="176">
        <f t="shared" si="60"/>
        <v>0</v>
      </c>
      <c r="T126" s="178"/>
      <c r="U126" s="176">
        <f t="shared" si="39"/>
        <v>0</v>
      </c>
      <c r="V126" s="175">
        <f t="shared" ref="V126:V134" si="63">R126*T126*$D$8/100</f>
        <v>0</v>
      </c>
      <c r="W126" s="178"/>
      <c r="X126" s="179">
        <f>VLOOKUP(D126,PCTN!D154:W421,20,FALSE)</f>
        <v>0</v>
      </c>
      <c r="Y126" s="216">
        <f t="shared" si="40"/>
        <v>0</v>
      </c>
      <c r="Z126" s="216">
        <f t="shared" si="41"/>
        <v>3.66</v>
      </c>
      <c r="AA126" s="180">
        <f t="shared" si="42"/>
        <v>8564400</v>
      </c>
      <c r="AB126" s="180"/>
      <c r="AC126" s="180">
        <f t="shared" si="43"/>
        <v>0</v>
      </c>
      <c r="AD126" s="180">
        <f t="shared" si="62"/>
        <v>0</v>
      </c>
      <c r="AE126" s="180">
        <f t="shared" si="44"/>
        <v>8564400</v>
      </c>
      <c r="AF126" s="178">
        <f t="shared" si="45"/>
        <v>685152</v>
      </c>
      <c r="AG126" s="178">
        <f t="shared" si="46"/>
        <v>128466</v>
      </c>
      <c r="AH126" s="178">
        <f t="shared" si="47"/>
        <v>85644</v>
      </c>
      <c r="AI126" s="178"/>
      <c r="AJ126" s="178">
        <f t="shared" si="48"/>
        <v>899262</v>
      </c>
      <c r="AK126" s="215"/>
      <c r="AL126" s="535">
        <f t="shared" si="53"/>
        <v>0</v>
      </c>
      <c r="AM126" s="182"/>
      <c r="AN126" s="182"/>
      <c r="AO126" s="216"/>
      <c r="AP126" s="179"/>
      <c r="AQ126" s="194">
        <f t="shared" si="49"/>
        <v>0</v>
      </c>
      <c r="AR126" s="178">
        <f t="shared" si="50"/>
        <v>0</v>
      </c>
      <c r="AS126" s="178"/>
      <c r="AT126" s="178">
        <f t="shared" si="51"/>
        <v>7665138</v>
      </c>
      <c r="AU126" s="469">
        <f t="shared" si="52"/>
        <v>108</v>
      </c>
      <c r="AV126" s="195"/>
      <c r="AW126" s="217">
        <f>3.99*1800000*1.8</f>
        <v>12927600</v>
      </c>
    </row>
    <row r="127" spans="1:59" s="189" customFormat="1" ht="39" customHeight="1" x14ac:dyDescent="0.25">
      <c r="A127" s="681">
        <f>_xlfn.AGGREGATE(4,7,A$13:A126)+1</f>
        <v>109</v>
      </c>
      <c r="B127" s="681" t="str">
        <f>VLOOKUP(D127,[1]LuongBC_T01!$B$9:$C$292,2,FALSE)</f>
        <v>0016100006648007</v>
      </c>
      <c r="C127" s="702" t="s">
        <v>941</v>
      </c>
      <c r="D127" s="682" t="s">
        <v>823</v>
      </c>
      <c r="E127" s="683" t="s">
        <v>1426</v>
      </c>
      <c r="F127" s="682"/>
      <c r="G127" s="684"/>
      <c r="H127" s="684"/>
      <c r="I127" s="684"/>
      <c r="J127" s="682"/>
      <c r="K127" s="684" t="str">
        <f>VLOOKUP(D127,[2]T3!$B$2:$D$328,3,FALSE)</f>
        <v>024858065</v>
      </c>
      <c r="L127" s="706"/>
      <c r="M127" s="706" t="s">
        <v>941</v>
      </c>
      <c r="N127" s="683" t="s">
        <v>1594</v>
      </c>
      <c r="O127" s="685" t="s">
        <v>1593</v>
      </c>
      <c r="P127" s="707" t="s">
        <v>692</v>
      </c>
      <c r="Q127" s="686">
        <v>5</v>
      </c>
      <c r="R127" s="688">
        <v>4.74</v>
      </c>
      <c r="S127" s="689">
        <f t="shared" si="60"/>
        <v>1.488</v>
      </c>
      <c r="T127" s="690"/>
      <c r="U127" s="689">
        <f t="shared" si="39"/>
        <v>0</v>
      </c>
      <c r="V127" s="691">
        <f t="shared" si="63"/>
        <v>0</v>
      </c>
      <c r="W127" s="684">
        <v>0.45</v>
      </c>
      <c r="X127" s="692">
        <v>0.2</v>
      </c>
      <c r="Y127" s="693">
        <f t="shared" si="40"/>
        <v>1.038</v>
      </c>
      <c r="Z127" s="693">
        <f t="shared" si="41"/>
        <v>6.2280000000000006</v>
      </c>
      <c r="AA127" s="694">
        <f t="shared" si="42"/>
        <v>14573520</v>
      </c>
      <c r="AB127" s="694"/>
      <c r="AC127" s="694">
        <f t="shared" si="43"/>
        <v>0</v>
      </c>
      <c r="AD127" s="694">
        <f t="shared" si="62"/>
        <v>0</v>
      </c>
      <c r="AE127" s="694">
        <f t="shared" si="44"/>
        <v>14573520</v>
      </c>
      <c r="AF127" s="695">
        <f t="shared" si="45"/>
        <v>1165881.6000000001</v>
      </c>
      <c r="AG127" s="695">
        <f t="shared" si="46"/>
        <v>218602.8</v>
      </c>
      <c r="AH127" s="695">
        <f t="shared" si="47"/>
        <v>145735.20000000001</v>
      </c>
      <c r="AI127" s="695"/>
      <c r="AJ127" s="695">
        <f t="shared" si="48"/>
        <v>1530219.6</v>
      </c>
      <c r="AK127" s="700"/>
      <c r="AL127" s="939">
        <f t="shared" si="53"/>
        <v>0</v>
      </c>
      <c r="AM127" s="696"/>
      <c r="AN127" s="696"/>
      <c r="AO127" s="705">
        <f>R127+U127+W127</f>
        <v>5.19</v>
      </c>
      <c r="AP127" s="701">
        <v>0.25</v>
      </c>
      <c r="AQ127" s="703">
        <f t="shared" si="49"/>
        <v>1.2975000000000001</v>
      </c>
      <c r="AR127" s="695">
        <f t="shared" si="50"/>
        <v>3036150</v>
      </c>
      <c r="AS127" s="695"/>
      <c r="AT127" s="695">
        <f t="shared" si="51"/>
        <v>16079450</v>
      </c>
      <c r="AU127" s="697">
        <f t="shared" si="52"/>
        <v>109</v>
      </c>
      <c r="AV127" s="708"/>
      <c r="AW127" s="242">
        <f>3.66*1800000*1.8</f>
        <v>11858400</v>
      </c>
    </row>
    <row r="128" spans="1:59" s="189" customFormat="1" ht="46.5" customHeight="1" x14ac:dyDescent="0.25">
      <c r="A128" s="168">
        <f>_xlfn.AGGREGATE(4,7,A$13:A127)+1</f>
        <v>110</v>
      </c>
      <c r="B128" s="168" t="str">
        <f>VLOOKUP(D128,[1]LuongBC_T01!$B$9:$C$292,2,FALSE)</f>
        <v>0016100006548002</v>
      </c>
      <c r="C128" s="852" t="s">
        <v>911</v>
      </c>
      <c r="D128" s="230" t="s">
        <v>782</v>
      </c>
      <c r="E128" s="263" t="s">
        <v>1642</v>
      </c>
      <c r="F128" s="231"/>
      <c r="G128" s="231"/>
      <c r="H128" s="200"/>
      <c r="I128" s="200" t="s">
        <v>284</v>
      </c>
      <c r="J128" s="231"/>
      <c r="K128" s="170" t="str">
        <f>VLOOKUP(D128,[2]T3!$B$2:$D$328,3,FALSE)</f>
        <v>250411489</v>
      </c>
      <c r="L128" s="226" t="s">
        <v>791</v>
      </c>
      <c r="M128" s="226" t="s">
        <v>911</v>
      </c>
      <c r="N128" s="827" t="str">
        <f>VLOOKUP(D128,'[6]Bao cao So GDDT'!$D$14:$S$282,11,FALSE)</f>
        <v>Kỹ sư (hạng III)</v>
      </c>
      <c r="O128" s="393" t="s">
        <v>1116</v>
      </c>
      <c r="P128" s="170" t="s">
        <v>692</v>
      </c>
      <c r="Q128" s="170">
        <v>5</v>
      </c>
      <c r="R128" s="177">
        <v>4.32</v>
      </c>
      <c r="S128" s="176">
        <f t="shared" si="60"/>
        <v>0.45</v>
      </c>
      <c r="T128" s="169"/>
      <c r="U128" s="176">
        <f t="shared" si="39"/>
        <v>0</v>
      </c>
      <c r="V128" s="175">
        <f t="shared" si="63"/>
        <v>0</v>
      </c>
      <c r="W128" s="170">
        <v>0.45</v>
      </c>
      <c r="X128" s="179">
        <f>VLOOKUP(D128,PCTN!D103:W370,20,FALSE)</f>
        <v>0</v>
      </c>
      <c r="Y128" s="216">
        <f t="shared" si="40"/>
        <v>0</v>
      </c>
      <c r="Z128" s="216">
        <f t="shared" si="41"/>
        <v>4.7700000000000005</v>
      </c>
      <c r="AA128" s="180">
        <f t="shared" si="42"/>
        <v>11161800</v>
      </c>
      <c r="AB128" s="180"/>
      <c r="AC128" s="180">
        <f t="shared" si="43"/>
        <v>0</v>
      </c>
      <c r="AD128" s="180">
        <f t="shared" si="62"/>
        <v>0</v>
      </c>
      <c r="AE128" s="180">
        <f t="shared" si="44"/>
        <v>11161800</v>
      </c>
      <c r="AF128" s="178">
        <f t="shared" si="45"/>
        <v>892944</v>
      </c>
      <c r="AG128" s="178">
        <f t="shared" si="46"/>
        <v>167427</v>
      </c>
      <c r="AH128" s="178">
        <f t="shared" si="47"/>
        <v>111618</v>
      </c>
      <c r="AI128" s="178"/>
      <c r="AJ128" s="178">
        <f t="shared" si="48"/>
        <v>1171989</v>
      </c>
      <c r="AK128" s="192"/>
      <c r="AL128" s="535">
        <f t="shared" si="53"/>
        <v>0</v>
      </c>
      <c r="AM128" s="182"/>
      <c r="AN128" s="182"/>
      <c r="AO128" s="183">
        <f>R128+U128+W128</f>
        <v>4.7700000000000005</v>
      </c>
      <c r="AP128" s="179"/>
      <c r="AQ128" s="194">
        <f t="shared" si="49"/>
        <v>0</v>
      </c>
      <c r="AR128" s="178">
        <f t="shared" si="50"/>
        <v>0</v>
      </c>
      <c r="AS128" s="178"/>
      <c r="AT128" s="178">
        <f t="shared" si="51"/>
        <v>9989811</v>
      </c>
      <c r="AU128" s="469">
        <f t="shared" si="52"/>
        <v>110</v>
      </c>
      <c r="AV128" s="195"/>
      <c r="AW128" s="259">
        <f>AW126-AW127</f>
        <v>1069200</v>
      </c>
      <c r="AX128" s="29"/>
      <c r="AY128" s="29"/>
      <c r="AZ128" s="29"/>
      <c r="BA128" s="29"/>
      <c r="BB128" s="29"/>
      <c r="BC128" s="29"/>
      <c r="BD128" s="29"/>
      <c r="BE128" s="29"/>
      <c r="BF128" s="29"/>
      <c r="BG128" s="29"/>
    </row>
    <row r="129" spans="1:59" s="189" customFormat="1" ht="45" customHeight="1" x14ac:dyDescent="0.25">
      <c r="A129" s="168">
        <f>_xlfn.AGGREGATE(4,7,A$13:A128)+1</f>
        <v>111</v>
      </c>
      <c r="B129" s="168" t="str">
        <f>VLOOKUP(D129,[1]LuongBC_T01!$B$9:$C$292,2,FALSE)</f>
        <v>0016100006640006</v>
      </c>
      <c r="C129" s="199" t="s">
        <v>1082</v>
      </c>
      <c r="D129" s="169" t="s">
        <v>741</v>
      </c>
      <c r="E129" s="263" t="s">
        <v>1643</v>
      </c>
      <c r="F129" s="169"/>
      <c r="G129" s="170" t="s">
        <v>25</v>
      </c>
      <c r="H129" s="170"/>
      <c r="I129" s="200"/>
      <c r="J129" s="220" t="s">
        <v>689</v>
      </c>
      <c r="K129" s="170" t="str">
        <f>VLOOKUP(D129,[2]T3!$B$2:$D$328,3,FALSE)</f>
        <v>025638694</v>
      </c>
      <c r="L129" s="201" t="s">
        <v>688</v>
      </c>
      <c r="M129" s="201" t="s">
        <v>1082</v>
      </c>
      <c r="N129" s="263" t="str">
        <f>VLOOKUP(D129,'[6]Bao cao So GDDT'!$D$14:$S$282,11,FALSE)</f>
        <v>Giáo viên Trung học</v>
      </c>
      <c r="O129" s="390" t="s">
        <v>39</v>
      </c>
      <c r="P129" s="172" t="s">
        <v>692</v>
      </c>
      <c r="Q129" s="173">
        <v>4</v>
      </c>
      <c r="R129" s="174">
        <v>4.32</v>
      </c>
      <c r="S129" s="176">
        <f t="shared" si="60"/>
        <v>0</v>
      </c>
      <c r="T129" s="370"/>
      <c r="U129" s="176">
        <f t="shared" si="39"/>
        <v>0</v>
      </c>
      <c r="V129" s="175">
        <f t="shared" si="63"/>
        <v>0</v>
      </c>
      <c r="W129" s="170"/>
      <c r="X129" s="179">
        <f>VLOOKUP(D129,PCTN!D279:W546,20,FALSE)</f>
        <v>0</v>
      </c>
      <c r="Y129" s="216">
        <f t="shared" si="40"/>
        <v>0</v>
      </c>
      <c r="Z129" s="216">
        <f t="shared" si="41"/>
        <v>4.32</v>
      </c>
      <c r="AA129" s="180">
        <f t="shared" si="42"/>
        <v>10108800</v>
      </c>
      <c r="AB129" s="180"/>
      <c r="AC129" s="180">
        <f t="shared" si="43"/>
        <v>0</v>
      </c>
      <c r="AD129" s="180">
        <f t="shared" si="62"/>
        <v>0</v>
      </c>
      <c r="AE129" s="180">
        <f t="shared" si="44"/>
        <v>10108800</v>
      </c>
      <c r="AF129" s="178">
        <f t="shared" si="45"/>
        <v>808704</v>
      </c>
      <c r="AG129" s="178">
        <f t="shared" si="46"/>
        <v>151632</v>
      </c>
      <c r="AH129" s="178">
        <f t="shared" si="47"/>
        <v>101088</v>
      </c>
      <c r="AI129" s="178"/>
      <c r="AJ129" s="178">
        <f t="shared" si="48"/>
        <v>1061424</v>
      </c>
      <c r="AK129" s="192"/>
      <c r="AL129" s="535">
        <f t="shared" si="53"/>
        <v>0</v>
      </c>
      <c r="AM129" s="182"/>
      <c r="AN129" s="182"/>
      <c r="AO129" s="193">
        <f>R129+U129+W129</f>
        <v>4.32</v>
      </c>
      <c r="AP129" s="179">
        <v>0</v>
      </c>
      <c r="AQ129" s="194">
        <f t="shared" si="49"/>
        <v>0</v>
      </c>
      <c r="AR129" s="178">
        <f t="shared" si="50"/>
        <v>0</v>
      </c>
      <c r="AS129" s="178"/>
      <c r="AT129" s="178">
        <f t="shared" si="51"/>
        <v>9047376</v>
      </c>
      <c r="AU129" s="469">
        <f t="shared" si="52"/>
        <v>111</v>
      </c>
      <c r="AV129" s="195"/>
      <c r="AW129" s="198" t="s">
        <v>704</v>
      </c>
    </row>
    <row r="130" spans="1:59" s="189" customFormat="1" ht="42" customHeight="1" x14ac:dyDescent="0.25">
      <c r="A130" s="681">
        <f>_xlfn.AGGREGATE(4,7,A$13:A129)+1</f>
        <v>112</v>
      </c>
      <c r="B130" s="681" t="str">
        <f>VLOOKUP(D130,[1]LuongBC_T01!$B$9:$C$292,2,FALSE)</f>
        <v>0016100006563001</v>
      </c>
      <c r="C130" s="702" t="s">
        <v>916</v>
      </c>
      <c r="D130" s="682" t="s">
        <v>1202</v>
      </c>
      <c r="E130" s="683" t="s">
        <v>1553</v>
      </c>
      <c r="F130" s="682" t="s">
        <v>549</v>
      </c>
      <c r="G130" s="684"/>
      <c r="H130" s="684"/>
      <c r="I130" s="684" t="s">
        <v>284</v>
      </c>
      <c r="J130" s="682" t="s">
        <v>279</v>
      </c>
      <c r="K130" s="684" t="str">
        <f>VLOOKUP(D130,[2]T3!$B$2:$D$328,3,FALSE)</f>
        <v>023809591</v>
      </c>
      <c r="L130" s="699" t="s">
        <v>143</v>
      </c>
      <c r="M130" s="699" t="s">
        <v>916</v>
      </c>
      <c r="N130" s="683" t="str">
        <f>VLOOKUP(D130,'[6]Bao cao So GDDT'!$D$14:$S$282,11,FALSE)</f>
        <v>Giảng viên GDNN LT (hạng III)</v>
      </c>
      <c r="O130" s="685" t="s">
        <v>1438</v>
      </c>
      <c r="P130" s="707" t="s">
        <v>692</v>
      </c>
      <c r="Q130" s="686">
        <v>3</v>
      </c>
      <c r="R130" s="688">
        <v>3.66</v>
      </c>
      <c r="S130" s="689">
        <f t="shared" si="60"/>
        <v>0.94320000000000004</v>
      </c>
      <c r="T130" s="690"/>
      <c r="U130" s="689">
        <f t="shared" si="39"/>
        <v>0</v>
      </c>
      <c r="V130" s="691">
        <f t="shared" si="63"/>
        <v>0</v>
      </c>
      <c r="W130" s="684">
        <v>0.45</v>
      </c>
      <c r="X130" s="692">
        <v>0.12</v>
      </c>
      <c r="Y130" s="693">
        <f t="shared" si="40"/>
        <v>0.49320000000000003</v>
      </c>
      <c r="Z130" s="693">
        <f t="shared" si="41"/>
        <v>4.6032000000000002</v>
      </c>
      <c r="AA130" s="694">
        <f t="shared" si="42"/>
        <v>10771488</v>
      </c>
      <c r="AB130" s="694"/>
      <c r="AC130" s="694">
        <f t="shared" si="43"/>
        <v>0</v>
      </c>
      <c r="AD130" s="694">
        <f t="shared" si="62"/>
        <v>0</v>
      </c>
      <c r="AE130" s="694">
        <f t="shared" si="44"/>
        <v>10771488</v>
      </c>
      <c r="AF130" s="695">
        <f t="shared" si="45"/>
        <v>861719.04000000004</v>
      </c>
      <c r="AG130" s="695">
        <f t="shared" si="46"/>
        <v>161572.32</v>
      </c>
      <c r="AH130" s="695">
        <f t="shared" si="47"/>
        <v>107714.88</v>
      </c>
      <c r="AI130" s="695"/>
      <c r="AJ130" s="695">
        <f t="shared" si="48"/>
        <v>1131006.2400000002</v>
      </c>
      <c r="AK130" s="700"/>
      <c r="AL130" s="939">
        <f t="shared" si="53"/>
        <v>0</v>
      </c>
      <c r="AM130" s="696"/>
      <c r="AN130" s="696"/>
      <c r="AO130" s="705">
        <f>R130+U130+W130</f>
        <v>4.1100000000000003</v>
      </c>
      <c r="AP130" s="701">
        <v>0.25</v>
      </c>
      <c r="AQ130" s="703">
        <f t="shared" si="49"/>
        <v>1.0275000000000001</v>
      </c>
      <c r="AR130" s="695">
        <f t="shared" si="50"/>
        <v>2404350</v>
      </c>
      <c r="AS130" s="695"/>
      <c r="AT130" s="695">
        <f t="shared" si="51"/>
        <v>12044832</v>
      </c>
      <c r="AU130" s="697">
        <f t="shared" si="52"/>
        <v>112</v>
      </c>
      <c r="AV130" s="698"/>
      <c r="AW130" s="186" t="s">
        <v>715</v>
      </c>
      <c r="AY130" s="189">
        <f>(4.01+0.33)*1800000</f>
        <v>7812000</v>
      </c>
    </row>
    <row r="131" spans="1:59" s="189" customFormat="1" ht="38.25" customHeight="1" x14ac:dyDescent="0.25">
      <c r="A131" s="168">
        <f>_xlfn.AGGREGATE(4,7,A$13:A130)+1</f>
        <v>113</v>
      </c>
      <c r="B131" s="168" t="s">
        <v>1429</v>
      </c>
      <c r="C131" s="565" t="s">
        <v>1414</v>
      </c>
      <c r="D131" s="544" t="s">
        <v>1404</v>
      </c>
      <c r="E131" s="263" t="s">
        <v>1634</v>
      </c>
      <c r="F131" s="564"/>
      <c r="G131" s="564"/>
      <c r="H131" s="564"/>
      <c r="I131" s="564"/>
      <c r="J131" s="564"/>
      <c r="K131" s="565"/>
      <c r="L131" s="564"/>
      <c r="M131" s="545"/>
      <c r="N131" s="263" t="str">
        <f>VLOOKUP(D131,'[6]Bao cao So GDDT'!$D$14:$S$282,11,FALSE)</f>
        <v>Giảng viên
(hạng III)</v>
      </c>
      <c r="O131" s="263" t="s">
        <v>807</v>
      </c>
      <c r="P131" s="566"/>
      <c r="Q131" s="566"/>
      <c r="R131" s="551">
        <v>3</v>
      </c>
      <c r="S131" s="546"/>
      <c r="T131" s="564"/>
      <c r="U131" s="546">
        <f>ROUND(R131*T131/100,4)</f>
        <v>0</v>
      </c>
      <c r="V131" s="547"/>
      <c r="W131" s="545">
        <v>0.35</v>
      </c>
      <c r="X131" s="179">
        <v>0.17</v>
      </c>
      <c r="Y131" s="548">
        <f>ROUND((R131+U131+W131)*X131,4)</f>
        <v>0.56950000000000001</v>
      </c>
      <c r="Z131" s="548">
        <f>R131+U131+W131+Y131</f>
        <v>3.9195000000000002</v>
      </c>
      <c r="AA131" s="549">
        <f>ROUND(Z131*$D$8,0)</f>
        <v>9171630</v>
      </c>
      <c r="AB131" s="549"/>
      <c r="AC131" s="549">
        <f>AA131/24*AB131</f>
        <v>0</v>
      </c>
      <c r="AD131" s="180">
        <f>AA131/24*AB131*75%</f>
        <v>0</v>
      </c>
      <c r="AE131" s="549">
        <f>ROUND(AA131-AC131+AD131,0)</f>
        <v>9171630</v>
      </c>
      <c r="AF131" s="550">
        <f>AA131*8%</f>
        <v>733730.4</v>
      </c>
      <c r="AG131" s="550">
        <f>AA131*1.5%</f>
        <v>137574.44999999998</v>
      </c>
      <c r="AH131" s="550">
        <f>AA131*1%</f>
        <v>91716.3</v>
      </c>
      <c r="AI131" s="550"/>
      <c r="AJ131" s="550">
        <f>SUM(AF131:AI131)</f>
        <v>963021.15</v>
      </c>
      <c r="AK131" s="567"/>
      <c r="AL131" s="535">
        <f t="shared" si="53"/>
        <v>0</v>
      </c>
      <c r="AM131" s="568"/>
      <c r="AN131" s="568"/>
      <c r="AO131" s="569">
        <f>R131+U131+W131</f>
        <v>3.35</v>
      </c>
      <c r="AP131" s="639">
        <v>0.25</v>
      </c>
      <c r="AQ131" s="185">
        <f>ROUND(AO131*AP131,4)</f>
        <v>0.83750000000000002</v>
      </c>
      <c r="AR131" s="178">
        <f>ROUND(AQ131*$D$8,0)</f>
        <v>1959750</v>
      </c>
      <c r="AS131" s="550"/>
      <c r="AT131" s="178">
        <f>ROUND(AE131-AJ131+AL131+AN131+AR131,0)</f>
        <v>10168359</v>
      </c>
      <c r="AU131" s="469">
        <f>A131</f>
        <v>113</v>
      </c>
      <c r="AV131" s="195"/>
      <c r="AW131" s="485"/>
    </row>
    <row r="132" spans="1:59" s="189" customFormat="1" ht="43.5" customHeight="1" x14ac:dyDescent="0.25">
      <c r="A132" s="168">
        <f>_xlfn.AGGREGATE(4,7,A$13:A131)+1</f>
        <v>114</v>
      </c>
      <c r="B132" s="168" t="str">
        <f>VLOOKUP(D132,[1]LuongBC_T01!$B$9:$C$292,2,FALSE)</f>
        <v>0016100006542004</v>
      </c>
      <c r="C132" s="199" t="s">
        <v>953</v>
      </c>
      <c r="D132" s="169" t="s">
        <v>756</v>
      </c>
      <c r="E132" s="263" t="s">
        <v>1403</v>
      </c>
      <c r="F132" s="169"/>
      <c r="G132" s="170"/>
      <c r="H132" s="170"/>
      <c r="I132" s="170"/>
      <c r="J132" s="169"/>
      <c r="K132" s="170" t="str">
        <f>VLOOKUP(D132,[2]T3!$B$2:$D$328,3,FALSE)</f>
        <v>079085002906</v>
      </c>
      <c r="L132" s="397" t="s">
        <v>764</v>
      </c>
      <c r="M132" s="397" t="s">
        <v>953</v>
      </c>
      <c r="N132" s="263" t="str">
        <f>VLOOKUP(D132,'[6]Bao cao So GDDT'!$D$14:$S$282,11,FALSE)</f>
        <v>Kỹ thuật viên (hạng IV)</v>
      </c>
      <c r="O132" s="390" t="s">
        <v>1118</v>
      </c>
      <c r="P132" s="222" t="s">
        <v>698</v>
      </c>
      <c r="Q132" s="172">
        <v>3</v>
      </c>
      <c r="R132" s="174">
        <v>3.26</v>
      </c>
      <c r="S132" s="176">
        <f t="shared" si="60"/>
        <v>0</v>
      </c>
      <c r="T132" s="370"/>
      <c r="U132" s="176">
        <f t="shared" si="39"/>
        <v>0</v>
      </c>
      <c r="V132" s="175">
        <f t="shared" si="63"/>
        <v>0</v>
      </c>
      <c r="W132" s="170"/>
      <c r="X132" s="179">
        <f>VLOOKUP(D132,PCTN!D167:W434,20,FALSE)</f>
        <v>0</v>
      </c>
      <c r="Y132" s="216">
        <f t="shared" si="40"/>
        <v>0</v>
      </c>
      <c r="Z132" s="216">
        <f t="shared" si="41"/>
        <v>3.26</v>
      </c>
      <c r="AA132" s="180">
        <f t="shared" si="42"/>
        <v>7628400</v>
      </c>
      <c r="AB132" s="180"/>
      <c r="AC132" s="180">
        <f t="shared" si="43"/>
        <v>0</v>
      </c>
      <c r="AD132" s="180">
        <v>0</v>
      </c>
      <c r="AE132" s="180">
        <f t="shared" si="44"/>
        <v>7628400</v>
      </c>
      <c r="AF132" s="178">
        <f t="shared" si="45"/>
        <v>610272</v>
      </c>
      <c r="AG132" s="178">
        <f t="shared" si="46"/>
        <v>114426</v>
      </c>
      <c r="AH132" s="178">
        <f t="shared" si="47"/>
        <v>76284</v>
      </c>
      <c r="AI132" s="178"/>
      <c r="AJ132" s="178">
        <f t="shared" si="48"/>
        <v>800982</v>
      </c>
      <c r="AK132" s="181"/>
      <c r="AL132" s="535">
        <f t="shared" si="53"/>
        <v>0</v>
      </c>
      <c r="AM132" s="182"/>
      <c r="AN132" s="182"/>
      <c r="AO132" s="193"/>
      <c r="AP132" s="179"/>
      <c r="AQ132" s="194">
        <f t="shared" si="49"/>
        <v>0</v>
      </c>
      <c r="AR132" s="178">
        <f t="shared" si="50"/>
        <v>0</v>
      </c>
      <c r="AS132" s="178"/>
      <c r="AT132" s="178">
        <f t="shared" si="51"/>
        <v>6827418</v>
      </c>
      <c r="AU132" s="469">
        <f t="shared" si="52"/>
        <v>114</v>
      </c>
      <c r="AV132" s="195"/>
      <c r="AW132" s="223"/>
      <c r="AY132" s="189">
        <f>AY130*10.5%</f>
        <v>820260</v>
      </c>
    </row>
    <row r="133" spans="1:59" s="189" customFormat="1" ht="42.75" customHeight="1" x14ac:dyDescent="0.25">
      <c r="A133" s="168">
        <f>_xlfn.AGGREGATE(4,7,A$13:A132)+1</f>
        <v>115</v>
      </c>
      <c r="B133" s="168" t="str">
        <f>VLOOKUP(D133,[1]LuongBC_T01!$B$9:$C$292,2,FALSE)</f>
        <v>0016100006562005</v>
      </c>
      <c r="C133" s="856" t="s">
        <v>1038</v>
      </c>
      <c r="D133" s="169" t="s">
        <v>783</v>
      </c>
      <c r="E133" s="263" t="s">
        <v>1403</v>
      </c>
      <c r="F133" s="169"/>
      <c r="G133" s="169"/>
      <c r="H133" s="169"/>
      <c r="I133" s="169" t="s">
        <v>284</v>
      </c>
      <c r="J133" s="169"/>
      <c r="K133" s="170" t="str">
        <f>VLOOKUP(D133,[2]T3!$B$2:$D$328,3,FALSE)</f>
        <v>025326360</v>
      </c>
      <c r="L133" s="213"/>
      <c r="M133" s="213" t="s">
        <v>1038</v>
      </c>
      <c r="N133" s="827" t="str">
        <f>VLOOKUP(D133,'[6]Bao cao So GDDT'!$D$14:$S$282,11,FALSE)</f>
        <v>Chuyên viên</v>
      </c>
      <c r="O133" s="393" t="s">
        <v>39</v>
      </c>
      <c r="P133" s="170" t="s">
        <v>692</v>
      </c>
      <c r="Q133" s="170">
        <v>3</v>
      </c>
      <c r="R133" s="192">
        <v>3.66</v>
      </c>
      <c r="S133" s="176">
        <f t="shared" si="60"/>
        <v>0</v>
      </c>
      <c r="T133" s="178"/>
      <c r="U133" s="176">
        <f t="shared" si="39"/>
        <v>0</v>
      </c>
      <c r="V133" s="175">
        <f t="shared" si="63"/>
        <v>0</v>
      </c>
      <c r="W133" s="178"/>
      <c r="X133" s="179">
        <f>VLOOKUP(D133,PCTN!D136:W403,20,FALSE)</f>
        <v>0</v>
      </c>
      <c r="Y133" s="216">
        <f t="shared" si="40"/>
        <v>0</v>
      </c>
      <c r="Z133" s="216">
        <f t="shared" si="41"/>
        <v>3.66</v>
      </c>
      <c r="AA133" s="180">
        <f t="shared" si="42"/>
        <v>8564400</v>
      </c>
      <c r="AB133" s="180"/>
      <c r="AC133" s="180">
        <f t="shared" si="43"/>
        <v>0</v>
      </c>
      <c r="AD133" s="180">
        <f t="shared" ref="AD133:AD160" si="64">AA133/24*AB133*75%</f>
        <v>0</v>
      </c>
      <c r="AE133" s="180">
        <f t="shared" si="44"/>
        <v>8564400</v>
      </c>
      <c r="AF133" s="178">
        <f t="shared" si="45"/>
        <v>685152</v>
      </c>
      <c r="AG133" s="178">
        <f t="shared" si="46"/>
        <v>128466</v>
      </c>
      <c r="AH133" s="178">
        <f t="shared" si="47"/>
        <v>85644</v>
      </c>
      <c r="AI133" s="178"/>
      <c r="AJ133" s="178">
        <f t="shared" si="48"/>
        <v>899262</v>
      </c>
      <c r="AK133" s="215"/>
      <c r="AL133" s="535">
        <f t="shared" si="53"/>
        <v>0</v>
      </c>
      <c r="AM133" s="182"/>
      <c r="AN133" s="182"/>
      <c r="AO133" s="193"/>
      <c r="AP133" s="179"/>
      <c r="AQ133" s="194">
        <f t="shared" si="49"/>
        <v>0</v>
      </c>
      <c r="AR133" s="178">
        <f t="shared" si="50"/>
        <v>0</v>
      </c>
      <c r="AS133" s="178"/>
      <c r="AT133" s="178">
        <f t="shared" si="51"/>
        <v>7665138</v>
      </c>
      <c r="AU133" s="469">
        <f t="shared" si="52"/>
        <v>115</v>
      </c>
      <c r="AV133" s="195"/>
      <c r="AW133" s="223"/>
      <c r="AX133" s="29"/>
      <c r="AY133" s="29">
        <f>AY130-AY132</f>
        <v>6991740</v>
      </c>
      <c r="AZ133" s="29"/>
      <c r="BA133" s="29"/>
      <c r="BB133" s="29"/>
      <c r="BC133" s="29"/>
      <c r="BD133" s="29"/>
      <c r="BE133" s="29"/>
      <c r="BF133" s="29"/>
      <c r="BG133" s="29"/>
    </row>
    <row r="134" spans="1:59" s="189" customFormat="1" ht="33" customHeight="1" x14ac:dyDescent="0.25">
      <c r="A134" s="168">
        <f>_xlfn.AGGREGATE(4,7,A$13:A133)+1</f>
        <v>116</v>
      </c>
      <c r="B134" s="168" t="str">
        <f>VLOOKUP(D134,[1]LuongBC_T01!$B$9:$C$292,2,FALSE)</f>
        <v>0016100006608005</v>
      </c>
      <c r="C134" s="199" t="s">
        <v>942</v>
      </c>
      <c r="D134" s="169" t="s">
        <v>818</v>
      </c>
      <c r="E134" s="263" t="s">
        <v>1245</v>
      </c>
      <c r="F134" s="169"/>
      <c r="G134" s="170"/>
      <c r="H134" s="170"/>
      <c r="I134" s="170"/>
      <c r="J134" s="169"/>
      <c r="K134" s="170" t="str">
        <f>VLOOKUP(D134,[2]T3!$B$2:$D$328,3,FALSE)</f>
        <v>022962107</v>
      </c>
      <c r="L134" s="249"/>
      <c r="M134" s="249" t="s">
        <v>942</v>
      </c>
      <c r="N134" s="263" t="str">
        <f>VLOOKUP(D134,'[6]Bao cao So GDDT'!$D$14:$S$282,11,FALSE)</f>
        <v>Giảng viên GDNN LT (hạng III)</v>
      </c>
      <c r="O134" s="390" t="s">
        <v>1438</v>
      </c>
      <c r="P134" s="222" t="s">
        <v>692</v>
      </c>
      <c r="Q134" s="172">
        <v>4</v>
      </c>
      <c r="R134" s="174">
        <v>3.99</v>
      </c>
      <c r="S134" s="176">
        <f t="shared" si="60"/>
        <v>1.2048000000000001</v>
      </c>
      <c r="T134" s="370"/>
      <c r="U134" s="176">
        <f t="shared" si="39"/>
        <v>0</v>
      </c>
      <c r="V134" s="175">
        <f t="shared" si="63"/>
        <v>0</v>
      </c>
      <c r="W134" s="170">
        <v>0.45</v>
      </c>
      <c r="X134" s="179">
        <v>0.17</v>
      </c>
      <c r="Y134" s="216">
        <f t="shared" si="40"/>
        <v>0.75480000000000003</v>
      </c>
      <c r="Z134" s="216">
        <f t="shared" si="41"/>
        <v>5.1948000000000008</v>
      </c>
      <c r="AA134" s="180">
        <f t="shared" si="42"/>
        <v>12155832</v>
      </c>
      <c r="AB134" s="180"/>
      <c r="AC134" s="180">
        <f t="shared" si="43"/>
        <v>0</v>
      </c>
      <c r="AD134" s="180">
        <f t="shared" si="64"/>
        <v>0</v>
      </c>
      <c r="AE134" s="180">
        <f t="shared" si="44"/>
        <v>12155832</v>
      </c>
      <c r="AF134" s="178">
        <f t="shared" si="45"/>
        <v>972466.56</v>
      </c>
      <c r="AG134" s="178">
        <f t="shared" si="46"/>
        <v>182337.47999999998</v>
      </c>
      <c r="AH134" s="178">
        <f t="shared" si="47"/>
        <v>121558.32</v>
      </c>
      <c r="AI134" s="178"/>
      <c r="AJ134" s="178">
        <f t="shared" si="48"/>
        <v>1276362.3600000001</v>
      </c>
      <c r="AK134" s="192"/>
      <c r="AL134" s="535">
        <f t="shared" si="53"/>
        <v>0</v>
      </c>
      <c r="AM134" s="182"/>
      <c r="AN134" s="182"/>
      <c r="AO134" s="193">
        <f t="shared" ref="AO134:AO197" si="65">R134+U134+W134</f>
        <v>4.4400000000000004</v>
      </c>
      <c r="AP134" s="246">
        <v>0.25</v>
      </c>
      <c r="AQ134" s="194">
        <f t="shared" si="49"/>
        <v>1.1100000000000001</v>
      </c>
      <c r="AR134" s="178">
        <f t="shared" si="50"/>
        <v>2597400</v>
      </c>
      <c r="AS134" s="178"/>
      <c r="AT134" s="178">
        <f t="shared" si="51"/>
        <v>13476870</v>
      </c>
      <c r="AU134" s="469">
        <f t="shared" si="52"/>
        <v>116</v>
      </c>
      <c r="AV134" s="244"/>
      <c r="AW134" s="242"/>
    </row>
    <row r="135" spans="1:59" s="189" customFormat="1" ht="33" customHeight="1" x14ac:dyDescent="0.25">
      <c r="A135" s="168">
        <f>_xlfn.AGGREGATE(4,7,A$13:A134)+1</f>
        <v>117</v>
      </c>
      <c r="B135" s="168" t="str">
        <f>VLOOKUP(D135,[1]LuongBC_T01!$B$9:$C$292,2,FALSE)</f>
        <v>0016100006633007</v>
      </c>
      <c r="C135" s="199" t="s">
        <v>1030</v>
      </c>
      <c r="D135" s="230" t="s">
        <v>754</v>
      </c>
      <c r="E135" s="263" t="s">
        <v>1416</v>
      </c>
      <c r="F135" s="231"/>
      <c r="G135" s="251" t="s">
        <v>25</v>
      </c>
      <c r="H135" s="231"/>
      <c r="I135" s="231"/>
      <c r="J135" s="231"/>
      <c r="K135" s="170" t="str">
        <f>VLOOKUP(D135,[2]T3!$B$2:$D$328,3,FALSE)</f>
        <v>025548580</v>
      </c>
      <c r="L135" s="913" t="s">
        <v>763</v>
      </c>
      <c r="M135" s="913" t="s">
        <v>1030</v>
      </c>
      <c r="N135" s="263" t="str">
        <f>VLOOKUP(D135,'[6]Bao cao So GDDT'!$D$14:$S$282,11,FALSE)</f>
        <v>Thư viện viên (hạng 3)</v>
      </c>
      <c r="O135" s="393" t="s">
        <v>1121</v>
      </c>
      <c r="P135" s="170" t="s">
        <v>692</v>
      </c>
      <c r="Q135" s="170">
        <v>2</v>
      </c>
      <c r="R135" s="177">
        <v>3.33</v>
      </c>
      <c r="S135" s="176">
        <f t="shared" si="60"/>
        <v>0</v>
      </c>
      <c r="T135" s="169"/>
      <c r="U135" s="176">
        <f t="shared" si="39"/>
        <v>0</v>
      </c>
      <c r="V135" s="175"/>
      <c r="W135" s="170"/>
      <c r="X135" s="179">
        <f>VLOOKUP(D135,PCTN!D281:W548,20,FALSE)</f>
        <v>0</v>
      </c>
      <c r="Y135" s="216">
        <f t="shared" si="40"/>
        <v>0</v>
      </c>
      <c r="Z135" s="216">
        <f t="shared" si="41"/>
        <v>3.33</v>
      </c>
      <c r="AA135" s="180">
        <f t="shared" si="42"/>
        <v>7792200</v>
      </c>
      <c r="AB135" s="180"/>
      <c r="AC135" s="180">
        <f t="shared" si="43"/>
        <v>0</v>
      </c>
      <c r="AD135" s="180">
        <f t="shared" si="64"/>
        <v>0</v>
      </c>
      <c r="AE135" s="180">
        <f t="shared" si="44"/>
        <v>7792200</v>
      </c>
      <c r="AF135" s="178">
        <f t="shared" si="45"/>
        <v>623376</v>
      </c>
      <c r="AG135" s="178">
        <f t="shared" si="46"/>
        <v>116883</v>
      </c>
      <c r="AH135" s="178">
        <f t="shared" si="47"/>
        <v>77922</v>
      </c>
      <c r="AI135" s="178"/>
      <c r="AJ135" s="178">
        <f t="shared" si="48"/>
        <v>818181</v>
      </c>
      <c r="AK135" s="192"/>
      <c r="AL135" s="535">
        <f t="shared" si="53"/>
        <v>0</v>
      </c>
      <c r="AM135" s="182"/>
      <c r="AN135" s="182"/>
      <c r="AO135" s="183">
        <f t="shared" si="65"/>
        <v>3.33</v>
      </c>
      <c r="AP135" s="179"/>
      <c r="AQ135" s="194">
        <f t="shared" si="49"/>
        <v>0</v>
      </c>
      <c r="AR135" s="178">
        <f t="shared" si="50"/>
        <v>0</v>
      </c>
      <c r="AS135" s="178"/>
      <c r="AT135" s="178">
        <f t="shared" si="51"/>
        <v>6974019</v>
      </c>
      <c r="AU135" s="469">
        <f t="shared" si="52"/>
        <v>117</v>
      </c>
      <c r="AV135" s="195"/>
      <c r="AW135" s="196"/>
    </row>
    <row r="136" spans="1:59" s="189" customFormat="1" ht="33" customHeight="1" x14ac:dyDescent="0.25">
      <c r="A136" s="168">
        <f>_xlfn.AGGREGATE(4,7,A$13:A135)+1</f>
        <v>118</v>
      </c>
      <c r="B136" s="168" t="str">
        <f>VLOOKUP(D136,[1]LuongBC_T01!$B$9:$C$292,2,FALSE)</f>
        <v>0016100006561009</v>
      </c>
      <c r="C136" s="856" t="s">
        <v>1043</v>
      </c>
      <c r="D136" s="230" t="s">
        <v>770</v>
      </c>
      <c r="E136" s="263" t="s">
        <v>1416</v>
      </c>
      <c r="F136" s="231"/>
      <c r="G136" s="251" t="s">
        <v>25</v>
      </c>
      <c r="H136" s="231"/>
      <c r="I136" s="169" t="s">
        <v>284</v>
      </c>
      <c r="J136" s="231"/>
      <c r="K136" s="170" t="str">
        <f>VLOOKUP(D136,[2]T3!$B$2:$D$328,3,FALSE)</f>
        <v>310895348</v>
      </c>
      <c r="L136" s="249">
        <v>1603205185623</v>
      </c>
      <c r="M136" s="249" t="s">
        <v>1043</v>
      </c>
      <c r="N136" s="263" t="str">
        <f>VLOOKUP(D136,'[6]Bao cao So GDDT'!$D$14:$S$282,11,FALSE)</f>
        <v>Chuyên viên</v>
      </c>
      <c r="O136" s="393" t="s">
        <v>39</v>
      </c>
      <c r="P136" s="170" t="s">
        <v>692</v>
      </c>
      <c r="Q136" s="170">
        <v>2</v>
      </c>
      <c r="R136" s="177">
        <v>3.33</v>
      </c>
      <c r="S136" s="176">
        <f t="shared" si="60"/>
        <v>0</v>
      </c>
      <c r="T136" s="169"/>
      <c r="U136" s="176">
        <f t="shared" si="39"/>
        <v>0</v>
      </c>
      <c r="V136" s="175">
        <f>R136*T136*$D$8/100</f>
        <v>0</v>
      </c>
      <c r="W136" s="170"/>
      <c r="X136" s="179">
        <f>VLOOKUP(D136,PCTN!D142:W409,20,FALSE)</f>
        <v>0</v>
      </c>
      <c r="Y136" s="216">
        <f t="shared" si="40"/>
        <v>0</v>
      </c>
      <c r="Z136" s="216">
        <f t="shared" si="41"/>
        <v>3.33</v>
      </c>
      <c r="AA136" s="180">
        <f t="shared" si="42"/>
        <v>7792200</v>
      </c>
      <c r="AB136" s="180"/>
      <c r="AC136" s="180">
        <f t="shared" si="43"/>
        <v>0</v>
      </c>
      <c r="AD136" s="180">
        <f t="shared" si="64"/>
        <v>0</v>
      </c>
      <c r="AE136" s="180">
        <f t="shared" si="44"/>
        <v>7792200</v>
      </c>
      <c r="AF136" s="178">
        <f t="shared" si="45"/>
        <v>623376</v>
      </c>
      <c r="AG136" s="178">
        <f t="shared" si="46"/>
        <v>116883</v>
      </c>
      <c r="AH136" s="178">
        <f t="shared" si="47"/>
        <v>77922</v>
      </c>
      <c r="AI136" s="178"/>
      <c r="AJ136" s="178">
        <f t="shared" si="48"/>
        <v>818181</v>
      </c>
      <c r="AK136" s="192"/>
      <c r="AL136" s="535">
        <f t="shared" si="53"/>
        <v>0</v>
      </c>
      <c r="AM136" s="182"/>
      <c r="AN136" s="182"/>
      <c r="AO136" s="183">
        <f t="shared" si="65"/>
        <v>3.33</v>
      </c>
      <c r="AP136" s="179"/>
      <c r="AQ136" s="194">
        <f t="shared" si="49"/>
        <v>0</v>
      </c>
      <c r="AR136" s="178">
        <f t="shared" si="50"/>
        <v>0</v>
      </c>
      <c r="AS136" s="178"/>
      <c r="AT136" s="178">
        <f t="shared" si="51"/>
        <v>6974019</v>
      </c>
      <c r="AU136" s="469">
        <f t="shared" si="52"/>
        <v>118</v>
      </c>
      <c r="AV136" s="195"/>
      <c r="AW136" s="239" t="s">
        <v>769</v>
      </c>
      <c r="AX136" s="29"/>
      <c r="AY136" s="29"/>
      <c r="AZ136" s="29"/>
      <c r="BA136" s="29"/>
      <c r="BB136" s="29"/>
      <c r="BC136" s="29"/>
      <c r="BD136" s="29"/>
      <c r="BE136" s="29"/>
      <c r="BF136" s="29"/>
      <c r="BG136" s="29"/>
    </row>
    <row r="137" spans="1:59" s="228" customFormat="1" ht="33" customHeight="1" x14ac:dyDescent="0.25">
      <c r="A137" s="168">
        <f>_xlfn.AGGREGATE(4,7,A$13:A136)+1</f>
        <v>119</v>
      </c>
      <c r="B137" s="168" t="str">
        <f>VLOOKUP(D137,[1]LuongBC_T01!$B$9:$C$292,2,FALSE)</f>
        <v>0016100006552007</v>
      </c>
      <c r="C137" s="199" t="s">
        <v>936</v>
      </c>
      <c r="D137" s="169" t="s">
        <v>1213</v>
      </c>
      <c r="E137" s="263" t="s">
        <v>1258</v>
      </c>
      <c r="F137" s="169" t="s">
        <v>553</v>
      </c>
      <c r="G137" s="170" t="s">
        <v>25</v>
      </c>
      <c r="H137" s="170"/>
      <c r="I137" s="170" t="s">
        <v>284</v>
      </c>
      <c r="J137" s="169" t="s">
        <v>277</v>
      </c>
      <c r="K137" s="170" t="str">
        <f>VLOOKUP(D137,[2]T3!$B$2:$D$328,3,FALSE)</f>
        <v>025530360</v>
      </c>
      <c r="L137" s="171" t="s">
        <v>130</v>
      </c>
      <c r="M137" s="171" t="s">
        <v>936</v>
      </c>
      <c r="N137" s="263" t="str">
        <f>VLOOKUP(D137,'[6]Bao cao So GDDT'!$D$14:$S$282,11,FALSE)</f>
        <v>Cán sự</v>
      </c>
      <c r="O137" s="391" t="s">
        <v>43</v>
      </c>
      <c r="P137" s="222" t="s">
        <v>698</v>
      </c>
      <c r="Q137" s="172">
        <v>6</v>
      </c>
      <c r="R137" s="174">
        <v>3.34</v>
      </c>
      <c r="S137" s="176">
        <f t="shared" si="60"/>
        <v>0</v>
      </c>
      <c r="T137" s="370"/>
      <c r="U137" s="176">
        <f t="shared" si="39"/>
        <v>0</v>
      </c>
      <c r="V137" s="175">
        <f>R137*T137*$D$8/100</f>
        <v>0</v>
      </c>
      <c r="W137" s="170"/>
      <c r="X137" s="179">
        <f>VLOOKUP(D137,PCTN!D155:W422,20,FALSE)</f>
        <v>0</v>
      </c>
      <c r="Y137" s="216">
        <f t="shared" si="40"/>
        <v>0</v>
      </c>
      <c r="Z137" s="216">
        <f t="shared" si="41"/>
        <v>3.34</v>
      </c>
      <c r="AA137" s="180">
        <f t="shared" si="42"/>
        <v>7815600</v>
      </c>
      <c r="AB137" s="180"/>
      <c r="AC137" s="180">
        <f t="shared" si="43"/>
        <v>0</v>
      </c>
      <c r="AD137" s="180">
        <f t="shared" si="64"/>
        <v>0</v>
      </c>
      <c r="AE137" s="180">
        <f t="shared" si="44"/>
        <v>7815600</v>
      </c>
      <c r="AF137" s="178">
        <f t="shared" si="45"/>
        <v>625248</v>
      </c>
      <c r="AG137" s="178">
        <f t="shared" si="46"/>
        <v>117234</v>
      </c>
      <c r="AH137" s="178">
        <f t="shared" si="47"/>
        <v>78156</v>
      </c>
      <c r="AI137" s="178"/>
      <c r="AJ137" s="178">
        <f t="shared" si="48"/>
        <v>820638</v>
      </c>
      <c r="AK137" s="192"/>
      <c r="AL137" s="535">
        <f t="shared" si="53"/>
        <v>0</v>
      </c>
      <c r="AM137" s="182"/>
      <c r="AN137" s="182"/>
      <c r="AO137" s="193">
        <f t="shared" si="65"/>
        <v>3.34</v>
      </c>
      <c r="AP137" s="179"/>
      <c r="AQ137" s="194">
        <f t="shared" si="49"/>
        <v>0</v>
      </c>
      <c r="AR137" s="178">
        <f t="shared" si="50"/>
        <v>0</v>
      </c>
      <c r="AS137" s="178"/>
      <c r="AT137" s="178">
        <f t="shared" si="51"/>
        <v>6994962</v>
      </c>
      <c r="AU137" s="469">
        <f t="shared" si="52"/>
        <v>119</v>
      </c>
      <c r="AV137" s="195"/>
      <c r="AW137" s="198" t="s">
        <v>701</v>
      </c>
    </row>
    <row r="138" spans="1:59" s="189" customFormat="1" ht="31.5" customHeight="1" x14ac:dyDescent="0.25">
      <c r="A138" s="168">
        <f>_xlfn.AGGREGATE(4,7,A$13:A137)+1</f>
        <v>120</v>
      </c>
      <c r="B138" s="168" t="str">
        <f>VLOOKUP(D138,[1]LuongBC_T01!$B$9:$C$292,2,FALSE)</f>
        <v>0016100007211001</v>
      </c>
      <c r="C138" s="170" t="s">
        <v>1318</v>
      </c>
      <c r="D138" s="169" t="s">
        <v>1281</v>
      </c>
      <c r="E138" s="263" t="s">
        <v>1644</v>
      </c>
      <c r="F138" s="169"/>
      <c r="G138" s="170"/>
      <c r="H138" s="170"/>
      <c r="I138" s="170"/>
      <c r="J138" s="169"/>
      <c r="K138" s="170" t="str">
        <f>VLOOKUP(D138,[2]T3!$B$2:$D$328,3,FALSE)</f>
        <v>240895328</v>
      </c>
      <c r="L138" s="249"/>
      <c r="M138" s="249"/>
      <c r="N138" s="263" t="str">
        <f>VLOOKUP(D138,'[6]Bao cao So GDDT'!$D$14:$S$282,11,FALSE)</f>
        <v>Giảng viên GDNN LT (hạng III)</v>
      </c>
      <c r="O138" s="390" t="s">
        <v>1438</v>
      </c>
      <c r="P138" s="222"/>
      <c r="Q138" s="172"/>
      <c r="R138" s="174">
        <v>3.66</v>
      </c>
      <c r="S138" s="176">
        <f t="shared" si="60"/>
        <v>0.98429999999999995</v>
      </c>
      <c r="T138" s="370"/>
      <c r="U138" s="176">
        <f t="shared" si="39"/>
        <v>0</v>
      </c>
      <c r="V138" s="175"/>
      <c r="W138" s="170">
        <v>0.45</v>
      </c>
      <c r="X138" s="179">
        <v>0.13</v>
      </c>
      <c r="Y138" s="216">
        <f t="shared" si="40"/>
        <v>0.5343</v>
      </c>
      <c r="Z138" s="216">
        <f t="shared" si="41"/>
        <v>4.6443000000000003</v>
      </c>
      <c r="AA138" s="180">
        <f t="shared" si="42"/>
        <v>10867662</v>
      </c>
      <c r="AB138" s="180"/>
      <c r="AC138" s="180">
        <f t="shared" si="43"/>
        <v>0</v>
      </c>
      <c r="AD138" s="180">
        <f t="shared" si="64"/>
        <v>0</v>
      </c>
      <c r="AE138" s="180">
        <f t="shared" si="44"/>
        <v>10867662</v>
      </c>
      <c r="AF138" s="178">
        <f t="shared" si="45"/>
        <v>869412.96</v>
      </c>
      <c r="AG138" s="178">
        <f t="shared" si="46"/>
        <v>163014.93</v>
      </c>
      <c r="AH138" s="178">
        <f t="shared" si="47"/>
        <v>108676.62</v>
      </c>
      <c r="AI138" s="178"/>
      <c r="AJ138" s="178">
        <f t="shared" si="48"/>
        <v>1141104.5099999998</v>
      </c>
      <c r="AK138" s="192"/>
      <c r="AL138" s="535">
        <f t="shared" si="53"/>
        <v>0</v>
      </c>
      <c r="AM138" s="182"/>
      <c r="AN138" s="182"/>
      <c r="AO138" s="183">
        <f t="shared" si="65"/>
        <v>4.1100000000000003</v>
      </c>
      <c r="AP138" s="179">
        <v>0.25</v>
      </c>
      <c r="AQ138" s="194">
        <f t="shared" si="49"/>
        <v>1.0275000000000001</v>
      </c>
      <c r="AR138" s="178">
        <f t="shared" si="50"/>
        <v>2404350</v>
      </c>
      <c r="AS138" s="178"/>
      <c r="AT138" s="178">
        <f t="shared" si="51"/>
        <v>12130907</v>
      </c>
      <c r="AU138" s="469">
        <f t="shared" si="52"/>
        <v>120</v>
      </c>
      <c r="AV138" s="244"/>
      <c r="AW138" s="242"/>
      <c r="AY138" s="669"/>
    </row>
    <row r="139" spans="1:59" s="189" customFormat="1" ht="43.5" customHeight="1" x14ac:dyDescent="0.25">
      <c r="A139" s="168">
        <f>_xlfn.AGGREGATE(4,7,A$13:A138)+1</f>
        <v>121</v>
      </c>
      <c r="B139" s="168" t="s">
        <v>1501</v>
      </c>
      <c r="C139" s="659" t="s">
        <v>1564</v>
      </c>
      <c r="D139" s="169" t="s">
        <v>1440</v>
      </c>
      <c r="E139" s="263" t="s">
        <v>1638</v>
      </c>
      <c r="F139" s="220"/>
      <c r="G139" s="220"/>
      <c r="H139" s="220"/>
      <c r="I139" s="220"/>
      <c r="J139" s="220"/>
      <c r="K139" s="168"/>
      <c r="L139" s="490" t="s">
        <v>1444</v>
      </c>
      <c r="M139" s="170"/>
      <c r="N139" s="263" t="str">
        <f>VLOOKUP(D139,'[6]Bao cao So GDDT'!$D$14:$S$282,11,FALSE)</f>
        <v>Giảng viên GDNN LT (hạng III)</v>
      </c>
      <c r="O139" s="661" t="s">
        <v>1438</v>
      </c>
      <c r="P139" s="251"/>
      <c r="Q139" s="251"/>
      <c r="R139" s="177">
        <v>3</v>
      </c>
      <c r="S139" s="176"/>
      <c r="T139" s="220"/>
      <c r="U139" s="176">
        <f>ROUND(R139*T139/100,4)</f>
        <v>0</v>
      </c>
      <c r="V139" s="175"/>
      <c r="W139" s="170"/>
      <c r="X139" s="179">
        <f>VLOOKUP(D139,PCTN!D90:W357,20,FALSE)</f>
        <v>0</v>
      </c>
      <c r="Y139" s="216">
        <f>ROUND((R139+U139+W139)*X139,4)</f>
        <v>0</v>
      </c>
      <c r="Z139" s="216">
        <f>R139+U139+W139+Y139</f>
        <v>3</v>
      </c>
      <c r="AA139" s="180">
        <f>ROUND(Z139*$D$8,0)</f>
        <v>7020000</v>
      </c>
      <c r="AB139" s="180"/>
      <c r="AC139" s="180">
        <f>AA139/24*AB139</f>
        <v>0</v>
      </c>
      <c r="AD139" s="180">
        <f t="shared" si="64"/>
        <v>0</v>
      </c>
      <c r="AE139" s="180">
        <f>ROUND(AA139-AC139+AD139,0)</f>
        <v>7020000</v>
      </c>
      <c r="AF139" s="178">
        <f>AA139*8%</f>
        <v>561600</v>
      </c>
      <c r="AG139" s="178">
        <f>AA139*1.5%</f>
        <v>105300</v>
      </c>
      <c r="AH139" s="178">
        <f>AA139*1%</f>
        <v>70200</v>
      </c>
      <c r="AI139" s="178"/>
      <c r="AJ139" s="178">
        <f>SUM(AF139:AI139)</f>
        <v>737100</v>
      </c>
      <c r="AK139" s="192"/>
      <c r="AL139" s="535">
        <f t="shared" si="53"/>
        <v>0</v>
      </c>
      <c r="AM139" s="182"/>
      <c r="AN139" s="182"/>
      <c r="AO139" s="183">
        <f>R139+U139+W139</f>
        <v>3</v>
      </c>
      <c r="AP139" s="639">
        <v>0.25</v>
      </c>
      <c r="AQ139" s="185">
        <f>ROUND(AO139*AP139,4)</f>
        <v>0.75</v>
      </c>
      <c r="AR139" s="178">
        <f>ROUND(AQ139*$D$8,0)</f>
        <v>1755000</v>
      </c>
      <c r="AS139" s="178"/>
      <c r="AT139" s="178">
        <f>ROUND(AE139-AJ139+AL139+AN139+AR139,0)</f>
        <v>8037900</v>
      </c>
      <c r="AU139" s="538">
        <f>A139</f>
        <v>121</v>
      </c>
      <c r="AV139" s="195"/>
      <c r="AW139" s="658"/>
      <c r="AY139" s="669">
        <v>494563684</v>
      </c>
      <c r="AZ139" s="189">
        <v>459674048</v>
      </c>
    </row>
    <row r="140" spans="1:59" s="189" customFormat="1" ht="43.5" customHeight="1" x14ac:dyDescent="0.25">
      <c r="A140" s="168">
        <f>_xlfn.AGGREGATE(4,7,A$13:A139)+1</f>
        <v>122</v>
      </c>
      <c r="B140" s="168" t="s">
        <v>1496</v>
      </c>
      <c r="C140" s="659" t="s">
        <v>1563</v>
      </c>
      <c r="D140" s="169" t="s">
        <v>1485</v>
      </c>
      <c r="E140" s="263" t="s">
        <v>1638</v>
      </c>
      <c r="F140" s="220"/>
      <c r="G140" s="220"/>
      <c r="H140" s="220"/>
      <c r="I140" s="220"/>
      <c r="J140" s="220"/>
      <c r="K140" s="168">
        <v>273529511</v>
      </c>
      <c r="L140" s="490" t="s">
        <v>1488</v>
      </c>
      <c r="M140" s="170"/>
      <c r="N140" s="263" t="str">
        <f>VLOOKUP(D140,'[6]Bao cao So GDDT'!$D$14:$S$282,11,FALSE)</f>
        <v>Giảng viên GDNN LT (hạng III)</v>
      </c>
      <c r="O140" s="661" t="s">
        <v>1438</v>
      </c>
      <c r="P140" s="251"/>
      <c r="Q140" s="251"/>
      <c r="R140" s="170">
        <v>2.34</v>
      </c>
      <c r="S140" s="176"/>
      <c r="T140" s="220"/>
      <c r="U140" s="176">
        <f>ROUND(R140*T140/100,4)</f>
        <v>0</v>
      </c>
      <c r="V140" s="175"/>
      <c r="W140" s="170"/>
      <c r="X140" s="179">
        <v>0</v>
      </c>
      <c r="Y140" s="216">
        <f>ROUND((R140+U140+W140)*X140,4)</f>
        <v>0</v>
      </c>
      <c r="Z140" s="216">
        <f>R140+U140+W140+Y140</f>
        <v>2.34</v>
      </c>
      <c r="AA140" s="180">
        <f>ROUND(Z140*$D$8,0)</f>
        <v>5475600</v>
      </c>
      <c r="AB140" s="180"/>
      <c r="AC140" s="180">
        <f>AA140/24*AB140</f>
        <v>0</v>
      </c>
      <c r="AD140" s="180">
        <f t="shared" si="64"/>
        <v>0</v>
      </c>
      <c r="AE140" s="180">
        <f>ROUND(AA140-AC140+AD140,0)</f>
        <v>5475600</v>
      </c>
      <c r="AF140" s="178">
        <f>AA140*8%</f>
        <v>438048</v>
      </c>
      <c r="AG140" s="178">
        <f>AA140*1.5%</f>
        <v>82134</v>
      </c>
      <c r="AH140" s="178">
        <f>AA140*1%</f>
        <v>54756</v>
      </c>
      <c r="AI140" s="178"/>
      <c r="AJ140" s="178">
        <f>SUM(AF140:AI140)</f>
        <v>574938</v>
      </c>
      <c r="AK140" s="192"/>
      <c r="AL140" s="535">
        <f t="shared" si="53"/>
        <v>0</v>
      </c>
      <c r="AM140" s="182"/>
      <c r="AN140" s="182"/>
      <c r="AO140" s="183">
        <f>R140+U140+W140</f>
        <v>2.34</v>
      </c>
      <c r="AP140" s="639">
        <v>0.25</v>
      </c>
      <c r="AQ140" s="185">
        <f>ROUND(AO140*AP140,4)</f>
        <v>0.58499999999999996</v>
      </c>
      <c r="AR140" s="178">
        <f>ROUND(AQ140*$D$8,0)</f>
        <v>1368900</v>
      </c>
      <c r="AS140" s="178"/>
      <c r="AT140" s="178">
        <f>ROUND(AE140-AJ140+AL140+AN140+AR140,0)</f>
        <v>6269562</v>
      </c>
      <c r="AU140" s="538">
        <f>A140</f>
        <v>122</v>
      </c>
      <c r="AV140" s="195"/>
      <c r="AW140" s="195" t="s">
        <v>1483</v>
      </c>
      <c r="AX140" s="29"/>
      <c r="AY140" s="863">
        <f>AY139/12</f>
        <v>41213640.333333336</v>
      </c>
      <c r="AZ140" s="863">
        <f>AZ139/12</f>
        <v>38306170.666666664</v>
      </c>
      <c r="BA140" s="29"/>
      <c r="BB140" s="29"/>
      <c r="BC140" s="29"/>
      <c r="BD140" s="29"/>
      <c r="BE140" s="29"/>
      <c r="BF140" s="29"/>
      <c r="BG140" s="29"/>
    </row>
    <row r="141" spans="1:59" s="189" customFormat="1" ht="31.5" customHeight="1" x14ac:dyDescent="0.25">
      <c r="A141" s="168">
        <f>_xlfn.AGGREGATE(4,7,A$13:A140)+1</f>
        <v>123</v>
      </c>
      <c r="B141" s="168" t="str">
        <f>VLOOKUP(D141,[1]LuongBC_T01!$B$9:$C$292,2,FALSE)</f>
        <v>0016100006603003</v>
      </c>
      <c r="C141" s="199" t="s">
        <v>945</v>
      </c>
      <c r="D141" s="169" t="s">
        <v>817</v>
      </c>
      <c r="E141" s="263" t="s">
        <v>1590</v>
      </c>
      <c r="F141" s="169"/>
      <c r="G141" s="170" t="s">
        <v>25</v>
      </c>
      <c r="H141" s="170"/>
      <c r="I141" s="170"/>
      <c r="J141" s="169"/>
      <c r="K141" s="170" t="str">
        <f>VLOOKUP(D141,[2]T3!$B$2:$D$328,3,FALSE)</f>
        <v>054182000015</v>
      </c>
      <c r="L141" s="249"/>
      <c r="M141" s="249" t="s">
        <v>945</v>
      </c>
      <c r="N141" s="263" t="str">
        <f>VLOOKUP(D141,'[6]Bao cao So GDDT'!$D$14:$S$282,11,FALSE)</f>
        <v>Giảng viên GDNN LT (hạng III)</v>
      </c>
      <c r="O141" s="390" t="s">
        <v>1438</v>
      </c>
      <c r="P141" s="222" t="s">
        <v>692</v>
      </c>
      <c r="Q141" s="172">
        <v>3</v>
      </c>
      <c r="R141" s="174">
        <v>3.66</v>
      </c>
      <c r="S141" s="176">
        <f t="shared" ref="S141:S145" si="66">U141+W141+Y141</f>
        <v>0.87129999999999996</v>
      </c>
      <c r="T141" s="370"/>
      <c r="U141" s="176">
        <f t="shared" si="39"/>
        <v>0</v>
      </c>
      <c r="V141" s="175">
        <f t="shared" ref="V141:V145" si="67">R141*T141*$D$8/100</f>
        <v>0</v>
      </c>
      <c r="W141" s="170">
        <v>0.35</v>
      </c>
      <c r="X141" s="179">
        <v>0.13</v>
      </c>
      <c r="Y141" s="216">
        <f t="shared" si="40"/>
        <v>0.52129999999999999</v>
      </c>
      <c r="Z141" s="216">
        <f t="shared" si="41"/>
        <v>4.5312999999999999</v>
      </c>
      <c r="AA141" s="180">
        <f t="shared" si="42"/>
        <v>10603242</v>
      </c>
      <c r="AB141" s="180"/>
      <c r="AC141" s="180">
        <f t="shared" si="43"/>
        <v>0</v>
      </c>
      <c r="AD141" s="180">
        <f t="shared" si="64"/>
        <v>0</v>
      </c>
      <c r="AE141" s="180">
        <f t="shared" si="44"/>
        <v>10603242</v>
      </c>
      <c r="AF141" s="178">
        <f t="shared" si="45"/>
        <v>848259.36</v>
      </c>
      <c r="AG141" s="178">
        <f t="shared" si="46"/>
        <v>159048.63</v>
      </c>
      <c r="AH141" s="178">
        <f t="shared" si="47"/>
        <v>106032.42</v>
      </c>
      <c r="AI141" s="178"/>
      <c r="AJ141" s="178">
        <f t="shared" si="48"/>
        <v>1113340.4099999999</v>
      </c>
      <c r="AK141" s="192"/>
      <c r="AL141" s="535">
        <f t="shared" si="53"/>
        <v>0</v>
      </c>
      <c r="AM141" s="182"/>
      <c r="AN141" s="182"/>
      <c r="AO141" s="193">
        <f t="shared" si="65"/>
        <v>4.01</v>
      </c>
      <c r="AP141" s="246">
        <v>0.25</v>
      </c>
      <c r="AQ141" s="194">
        <f t="shared" si="49"/>
        <v>1.0024999999999999</v>
      </c>
      <c r="AR141" s="178">
        <f t="shared" si="50"/>
        <v>2345850</v>
      </c>
      <c r="AS141" s="178"/>
      <c r="AT141" s="178">
        <f t="shared" si="51"/>
        <v>11835752</v>
      </c>
      <c r="AU141" s="469">
        <f t="shared" si="52"/>
        <v>123</v>
      </c>
      <c r="AV141" s="244"/>
      <c r="AW141" s="242"/>
      <c r="AY141" s="669"/>
    </row>
    <row r="142" spans="1:59" s="189" customFormat="1" ht="40.5" customHeight="1" x14ac:dyDescent="0.25">
      <c r="A142" s="168">
        <f>_xlfn.AGGREGATE(4,7,A$13:A141)+1</f>
        <v>124</v>
      </c>
      <c r="B142" s="168"/>
      <c r="C142" s="952"/>
      <c r="D142" s="169" t="s">
        <v>1581</v>
      </c>
      <c r="E142" s="263" t="s">
        <v>1259</v>
      </c>
      <c r="F142" s="169"/>
      <c r="G142" s="170"/>
      <c r="H142" s="170"/>
      <c r="I142" s="170"/>
      <c r="J142" s="169"/>
      <c r="K142" s="170"/>
      <c r="L142" s="249"/>
      <c r="M142" s="249"/>
      <c r="N142" s="263" t="s">
        <v>1597</v>
      </c>
      <c r="O142" s="390" t="s">
        <v>1438</v>
      </c>
      <c r="P142" s="222"/>
      <c r="Q142" s="172"/>
      <c r="R142" s="174">
        <v>3.66</v>
      </c>
      <c r="S142" s="176"/>
      <c r="T142" s="370"/>
      <c r="U142" s="176">
        <f t="shared" si="39"/>
        <v>0</v>
      </c>
      <c r="V142" s="175"/>
      <c r="W142" s="170"/>
      <c r="X142" s="179">
        <v>0.12</v>
      </c>
      <c r="Y142" s="216">
        <f t="shared" si="40"/>
        <v>0.43919999999999998</v>
      </c>
      <c r="Z142" s="216">
        <f t="shared" si="41"/>
        <v>4.0991999999999997</v>
      </c>
      <c r="AA142" s="180">
        <f t="shared" si="42"/>
        <v>9592128</v>
      </c>
      <c r="AB142" s="180"/>
      <c r="AC142" s="180">
        <f t="shared" si="43"/>
        <v>0</v>
      </c>
      <c r="AD142" s="180">
        <f t="shared" si="64"/>
        <v>0</v>
      </c>
      <c r="AE142" s="180">
        <f t="shared" si="44"/>
        <v>9592128</v>
      </c>
      <c r="AF142" s="178">
        <f t="shared" si="45"/>
        <v>767370.23999999999</v>
      </c>
      <c r="AG142" s="178">
        <f t="shared" si="46"/>
        <v>143881.91999999998</v>
      </c>
      <c r="AH142" s="178">
        <f t="shared" si="47"/>
        <v>95921.279999999999</v>
      </c>
      <c r="AI142" s="178"/>
      <c r="AJ142" s="178">
        <f t="shared" si="48"/>
        <v>1007173.44</v>
      </c>
      <c r="AK142" s="192"/>
      <c r="AL142" s="535">
        <f t="shared" si="53"/>
        <v>0</v>
      </c>
      <c r="AM142" s="182"/>
      <c r="AN142" s="182"/>
      <c r="AO142" s="193">
        <f t="shared" si="65"/>
        <v>3.66</v>
      </c>
      <c r="AP142" s="246">
        <v>0.25</v>
      </c>
      <c r="AQ142" s="194">
        <f t="shared" si="49"/>
        <v>0.91500000000000004</v>
      </c>
      <c r="AR142" s="178">
        <f t="shared" si="50"/>
        <v>2141100</v>
      </c>
      <c r="AS142" s="178"/>
      <c r="AT142" s="178">
        <f t="shared" si="51"/>
        <v>10726055</v>
      </c>
      <c r="AU142" s="469">
        <f t="shared" si="52"/>
        <v>124</v>
      </c>
      <c r="AV142" s="244"/>
      <c r="AW142" s="223"/>
      <c r="AY142" s="669"/>
    </row>
    <row r="143" spans="1:59" s="189" customFormat="1" ht="40.5" customHeight="1" x14ac:dyDescent="0.25">
      <c r="A143" s="725">
        <f>_xlfn.AGGREGATE(4,7,A$13:A142)+1</f>
        <v>125</v>
      </c>
      <c r="B143" s="725"/>
      <c r="C143" s="993"/>
      <c r="D143" s="994" t="s">
        <v>1621</v>
      </c>
      <c r="E143" s="728" t="s">
        <v>1259</v>
      </c>
      <c r="F143" s="727"/>
      <c r="G143" s="729"/>
      <c r="H143" s="729"/>
      <c r="I143" s="729"/>
      <c r="J143" s="727"/>
      <c r="K143" s="729"/>
      <c r="L143" s="995"/>
      <c r="M143" s="995"/>
      <c r="N143" s="728"/>
      <c r="O143" s="731" t="s">
        <v>807</v>
      </c>
      <c r="P143" s="752"/>
      <c r="Q143" s="732"/>
      <c r="R143" s="734">
        <v>3.66</v>
      </c>
      <c r="S143" s="735"/>
      <c r="T143" s="736"/>
      <c r="U143" s="735">
        <f t="shared" si="39"/>
        <v>0</v>
      </c>
      <c r="V143" s="737"/>
      <c r="W143" s="729"/>
      <c r="X143" s="738">
        <v>0.11</v>
      </c>
      <c r="Y143" s="739">
        <f t="shared" si="40"/>
        <v>0.40260000000000001</v>
      </c>
      <c r="Z143" s="739">
        <f t="shared" si="41"/>
        <v>4.0625999999999998</v>
      </c>
      <c r="AA143" s="740">
        <f t="shared" si="42"/>
        <v>9506484</v>
      </c>
      <c r="AB143" s="740">
        <v>0</v>
      </c>
      <c r="AC143" s="740">
        <f t="shared" si="43"/>
        <v>0</v>
      </c>
      <c r="AD143" s="740">
        <v>0</v>
      </c>
      <c r="AE143" s="740">
        <f t="shared" si="44"/>
        <v>9506484</v>
      </c>
      <c r="AF143" s="741">
        <f t="shared" si="45"/>
        <v>760518.72</v>
      </c>
      <c r="AG143" s="741">
        <f t="shared" si="46"/>
        <v>142597.25999999998</v>
      </c>
      <c r="AH143" s="741">
        <f t="shared" si="47"/>
        <v>95064.84</v>
      </c>
      <c r="AI143" s="741"/>
      <c r="AJ143" s="741">
        <f t="shared" si="48"/>
        <v>998180.82</v>
      </c>
      <c r="AK143" s="742"/>
      <c r="AL143" s="954">
        <f t="shared" si="53"/>
        <v>0</v>
      </c>
      <c r="AM143" s="743"/>
      <c r="AN143" s="743"/>
      <c r="AO143" s="755">
        <f t="shared" si="65"/>
        <v>3.66</v>
      </c>
      <c r="AP143" s="756">
        <v>0.25</v>
      </c>
      <c r="AQ143" s="757">
        <f t="shared" si="49"/>
        <v>0.91500000000000004</v>
      </c>
      <c r="AR143" s="741">
        <f t="shared" si="50"/>
        <v>2141100</v>
      </c>
      <c r="AS143" s="741"/>
      <c r="AT143" s="741">
        <f t="shared" si="51"/>
        <v>10649403</v>
      </c>
      <c r="AU143" s="747">
        <f t="shared" si="52"/>
        <v>125</v>
      </c>
      <c r="AV143" s="996" t="s">
        <v>1673</v>
      </c>
      <c r="AW143" s="244" t="s">
        <v>1622</v>
      </c>
      <c r="AY143" s="669"/>
    </row>
    <row r="144" spans="1:59" s="189" customFormat="1" ht="31.5" customHeight="1" x14ac:dyDescent="0.25">
      <c r="A144" s="168">
        <f>_xlfn.AGGREGATE(4,7,A$13:A143)+1</f>
        <v>126</v>
      </c>
      <c r="B144" s="168" t="str">
        <f>VLOOKUP(D144,[1]LuongBC_T01!$B$9:$C$292,2,FALSE)</f>
        <v>0016100006606002</v>
      </c>
      <c r="C144" s="387" t="s">
        <v>900</v>
      </c>
      <c r="D144" s="169" t="s">
        <v>808</v>
      </c>
      <c r="E144" s="263" t="s">
        <v>1259</v>
      </c>
      <c r="F144" s="220"/>
      <c r="G144" s="220" t="s">
        <v>25</v>
      </c>
      <c r="H144" s="220"/>
      <c r="I144" s="220"/>
      <c r="J144" s="220"/>
      <c r="K144" s="170" t="str">
        <f>VLOOKUP(D144,[2]T3!$B$2:$D$328,3,FALSE)</f>
        <v>285085296</v>
      </c>
      <c r="L144" s="220"/>
      <c r="M144" s="170" t="s">
        <v>900</v>
      </c>
      <c r="N144" s="263" t="str">
        <f>VLOOKUP(D144,'[6]Bao cao So GDDT'!$D$14:$S$282,11,FALSE)</f>
        <v>Giảng viên GDNN LT (hạng III)</v>
      </c>
      <c r="O144" s="390" t="s">
        <v>1438</v>
      </c>
      <c r="P144" s="170" t="s">
        <v>692</v>
      </c>
      <c r="Q144" s="170">
        <v>2</v>
      </c>
      <c r="R144" s="177">
        <v>3.33</v>
      </c>
      <c r="S144" s="176">
        <f t="shared" si="66"/>
        <v>0.26640000000000003</v>
      </c>
      <c r="T144" s="220"/>
      <c r="U144" s="176">
        <f t="shared" si="39"/>
        <v>0</v>
      </c>
      <c r="V144" s="175">
        <f t="shared" si="67"/>
        <v>0</v>
      </c>
      <c r="W144" s="170"/>
      <c r="X144" s="179">
        <v>0.08</v>
      </c>
      <c r="Y144" s="216">
        <f t="shared" si="40"/>
        <v>0.26640000000000003</v>
      </c>
      <c r="Z144" s="216">
        <f t="shared" si="41"/>
        <v>3.5964</v>
      </c>
      <c r="AA144" s="180">
        <f t="shared" si="42"/>
        <v>8415576</v>
      </c>
      <c r="AB144" s="180"/>
      <c r="AC144" s="180">
        <f t="shared" si="43"/>
        <v>0</v>
      </c>
      <c r="AD144" s="180">
        <f t="shared" si="64"/>
        <v>0</v>
      </c>
      <c r="AE144" s="180">
        <f t="shared" si="44"/>
        <v>8415576</v>
      </c>
      <c r="AF144" s="178">
        <f t="shared" si="45"/>
        <v>673246.08</v>
      </c>
      <c r="AG144" s="178">
        <f t="shared" si="46"/>
        <v>126233.64</v>
      </c>
      <c r="AH144" s="178">
        <f t="shared" si="47"/>
        <v>84155.76</v>
      </c>
      <c r="AI144" s="178"/>
      <c r="AJ144" s="178">
        <f t="shared" si="48"/>
        <v>883635.48</v>
      </c>
      <c r="AK144" s="192"/>
      <c r="AL144" s="535">
        <f t="shared" si="53"/>
        <v>0</v>
      </c>
      <c r="AM144" s="182"/>
      <c r="AN144" s="182"/>
      <c r="AO144" s="183">
        <f t="shared" si="65"/>
        <v>3.33</v>
      </c>
      <c r="AP144" s="246">
        <v>0.25</v>
      </c>
      <c r="AQ144" s="185">
        <f t="shared" si="49"/>
        <v>0.83250000000000002</v>
      </c>
      <c r="AR144" s="178">
        <f t="shared" si="50"/>
        <v>1948050</v>
      </c>
      <c r="AS144" s="178"/>
      <c r="AT144" s="178">
        <f t="shared" si="51"/>
        <v>9479991</v>
      </c>
      <c r="AU144" s="469">
        <f t="shared" si="52"/>
        <v>126</v>
      </c>
      <c r="AV144" s="195"/>
      <c r="AW144" s="198"/>
      <c r="AY144" s="895"/>
    </row>
    <row r="145" spans="1:59" s="189" customFormat="1" ht="31.5" customHeight="1" x14ac:dyDescent="0.25">
      <c r="A145" s="168">
        <f>_xlfn.AGGREGATE(4,7,A$13:A144)+1</f>
        <v>127</v>
      </c>
      <c r="B145" s="168" t="str">
        <f>VLOOKUP(D145,[1]LuongBC_T01!$B$9:$C$292,2,FALSE)</f>
        <v>0016100006605006</v>
      </c>
      <c r="C145" s="199" t="s">
        <v>947</v>
      </c>
      <c r="D145" s="169" t="s">
        <v>816</v>
      </c>
      <c r="E145" s="263" t="s">
        <v>1259</v>
      </c>
      <c r="F145" s="169"/>
      <c r="G145" s="170" t="s">
        <v>25</v>
      </c>
      <c r="H145" s="170"/>
      <c r="I145" s="170"/>
      <c r="J145" s="169"/>
      <c r="K145" s="170" t="str">
        <f>VLOOKUP(D145,[2]T3!$B$2:$D$328,3,FALSE)</f>
        <v>025180149</v>
      </c>
      <c r="L145" s="249"/>
      <c r="M145" s="249" t="s">
        <v>947</v>
      </c>
      <c r="N145" s="263" t="str">
        <f>VLOOKUP(D145,'[6]Bao cao So GDDT'!$D$14:$S$282,11,FALSE)</f>
        <v>Giảng viên GDNN LT (hạng III)</v>
      </c>
      <c r="O145" s="390" t="s">
        <v>1438</v>
      </c>
      <c r="P145" s="222" t="s">
        <v>692</v>
      </c>
      <c r="Q145" s="172">
        <v>3</v>
      </c>
      <c r="R145" s="174">
        <v>3.66</v>
      </c>
      <c r="S145" s="176">
        <f t="shared" si="66"/>
        <v>0.65880000000000005</v>
      </c>
      <c r="T145" s="370"/>
      <c r="U145" s="176">
        <f t="shared" si="39"/>
        <v>0</v>
      </c>
      <c r="V145" s="175">
        <f t="shared" si="67"/>
        <v>0</v>
      </c>
      <c r="W145" s="170"/>
      <c r="X145" s="179">
        <v>0.18</v>
      </c>
      <c r="Y145" s="216">
        <f t="shared" si="40"/>
        <v>0.65880000000000005</v>
      </c>
      <c r="Z145" s="216">
        <f t="shared" si="41"/>
        <v>4.3188000000000004</v>
      </c>
      <c r="AA145" s="180">
        <f t="shared" si="42"/>
        <v>10105992</v>
      </c>
      <c r="AB145" s="180"/>
      <c r="AC145" s="180">
        <f t="shared" si="43"/>
        <v>0</v>
      </c>
      <c r="AD145" s="180">
        <f t="shared" si="64"/>
        <v>0</v>
      </c>
      <c r="AE145" s="180">
        <f t="shared" si="44"/>
        <v>10105992</v>
      </c>
      <c r="AF145" s="178">
        <f t="shared" si="45"/>
        <v>808479.36</v>
      </c>
      <c r="AG145" s="178">
        <f t="shared" si="46"/>
        <v>151589.88</v>
      </c>
      <c r="AH145" s="178">
        <f t="shared" si="47"/>
        <v>101059.92</v>
      </c>
      <c r="AI145" s="178"/>
      <c r="AJ145" s="178">
        <f t="shared" si="48"/>
        <v>1061129.1599999999</v>
      </c>
      <c r="AK145" s="192"/>
      <c r="AL145" s="535">
        <f t="shared" si="53"/>
        <v>0</v>
      </c>
      <c r="AM145" s="182"/>
      <c r="AN145" s="182"/>
      <c r="AO145" s="193">
        <f t="shared" si="65"/>
        <v>3.66</v>
      </c>
      <c r="AP145" s="246">
        <v>0.25</v>
      </c>
      <c r="AQ145" s="194">
        <f t="shared" si="49"/>
        <v>0.91500000000000004</v>
      </c>
      <c r="AR145" s="178">
        <f t="shared" si="50"/>
        <v>2141100</v>
      </c>
      <c r="AS145" s="178"/>
      <c r="AT145" s="178">
        <f t="shared" si="51"/>
        <v>11185963</v>
      </c>
      <c r="AU145" s="469">
        <f t="shared" si="52"/>
        <v>127</v>
      </c>
      <c r="AV145" s="244"/>
      <c r="AW145" s="242"/>
      <c r="AY145" s="895"/>
    </row>
    <row r="146" spans="1:59" s="189" customFormat="1" ht="31.5" customHeight="1" x14ac:dyDescent="0.25">
      <c r="A146" s="168">
        <f>_xlfn.AGGREGATE(4,7,A$13:A145)+1</f>
        <v>128</v>
      </c>
      <c r="B146" s="168" t="str">
        <f>VLOOKUP(D146,[1]LuongBC_T01!$B$9:$C$292,2,FALSE)</f>
        <v>0016100006516003</v>
      </c>
      <c r="C146" s="565" t="s">
        <v>1412</v>
      </c>
      <c r="D146" s="544" t="s">
        <v>1410</v>
      </c>
      <c r="E146" s="263" t="s">
        <v>1259</v>
      </c>
      <c r="F146" s="564"/>
      <c r="G146" s="564"/>
      <c r="H146" s="564"/>
      <c r="I146" s="564"/>
      <c r="J146" s="564"/>
      <c r="K146" s="565"/>
      <c r="L146" s="564"/>
      <c r="M146" s="545"/>
      <c r="N146" s="263" t="str">
        <f>VLOOKUP(D146,'[6]Bao cao So GDDT'!$D$14:$S$282,11,FALSE)</f>
        <v>Giảng viên GDNN LT (hạng III)</v>
      </c>
      <c r="O146" s="263" t="s">
        <v>1438</v>
      </c>
      <c r="P146" s="566"/>
      <c r="Q146" s="566"/>
      <c r="R146" s="551">
        <v>3</v>
      </c>
      <c r="S146" s="546"/>
      <c r="T146" s="564"/>
      <c r="U146" s="546">
        <f t="shared" si="39"/>
        <v>0</v>
      </c>
      <c r="V146" s="547"/>
      <c r="W146" s="545"/>
      <c r="X146" s="179">
        <v>0</v>
      </c>
      <c r="Y146" s="548">
        <f t="shared" si="40"/>
        <v>0</v>
      </c>
      <c r="Z146" s="548">
        <f t="shared" si="41"/>
        <v>3</v>
      </c>
      <c r="AA146" s="549">
        <f t="shared" si="42"/>
        <v>7020000</v>
      </c>
      <c r="AB146" s="549"/>
      <c r="AC146" s="549">
        <f t="shared" si="43"/>
        <v>0</v>
      </c>
      <c r="AD146" s="549">
        <f t="shared" si="64"/>
        <v>0</v>
      </c>
      <c r="AE146" s="549">
        <f t="shared" si="44"/>
        <v>7020000</v>
      </c>
      <c r="AF146" s="550">
        <f t="shared" si="45"/>
        <v>561600</v>
      </c>
      <c r="AG146" s="550">
        <f t="shared" si="46"/>
        <v>105300</v>
      </c>
      <c r="AH146" s="550">
        <f t="shared" si="47"/>
        <v>70200</v>
      </c>
      <c r="AI146" s="550"/>
      <c r="AJ146" s="550">
        <f t="shared" si="48"/>
        <v>737100</v>
      </c>
      <c r="AK146" s="567"/>
      <c r="AL146" s="535">
        <f t="shared" si="53"/>
        <v>0</v>
      </c>
      <c r="AM146" s="568"/>
      <c r="AN146" s="568"/>
      <c r="AO146" s="569">
        <f t="shared" si="65"/>
        <v>3</v>
      </c>
      <c r="AP146" s="639">
        <v>0.25</v>
      </c>
      <c r="AQ146" s="185">
        <f t="shared" si="49"/>
        <v>0.75</v>
      </c>
      <c r="AR146" s="178">
        <f t="shared" si="50"/>
        <v>1755000</v>
      </c>
      <c r="AS146" s="550"/>
      <c r="AT146" s="178">
        <f t="shared" si="51"/>
        <v>8037900</v>
      </c>
      <c r="AU146" s="469">
        <f t="shared" si="52"/>
        <v>128</v>
      </c>
      <c r="AV146" s="195"/>
      <c r="AW146" s="485"/>
    </row>
    <row r="147" spans="1:59" s="189" customFormat="1" ht="31.5" customHeight="1" x14ac:dyDescent="0.25">
      <c r="A147" s="168">
        <f>_xlfn.AGGREGATE(4,7,A$13:A146)+1</f>
        <v>129</v>
      </c>
      <c r="B147" s="168" t="str">
        <f>VLOOKUP(D147,[1]LuongBC_T01!$B$9:$C$292,2,FALSE)</f>
        <v>0016100006638001</v>
      </c>
      <c r="C147" s="997" t="s">
        <v>1313</v>
      </c>
      <c r="D147" s="169" t="s">
        <v>1135</v>
      </c>
      <c r="E147" s="263" t="s">
        <v>1259</v>
      </c>
      <c r="F147" s="220"/>
      <c r="G147" s="220"/>
      <c r="H147" s="220"/>
      <c r="I147" s="220"/>
      <c r="J147" s="220"/>
      <c r="K147" s="170" t="str">
        <f>VLOOKUP(D147,[2]T3!$B$2:$D$328,3,FALSE)</f>
        <v>385523828</v>
      </c>
      <c r="L147" s="220"/>
      <c r="M147" s="170"/>
      <c r="N147" s="263" t="str">
        <f>VLOOKUP(D147,'[6]Bao cao So GDDT'!$D$14:$S$282,11,FALSE)</f>
        <v>Giảng viên GDNN LT (hạng III)</v>
      </c>
      <c r="O147" s="390" t="s">
        <v>1438</v>
      </c>
      <c r="P147" s="251"/>
      <c r="Q147" s="251">
        <v>2</v>
      </c>
      <c r="R147" s="177">
        <v>3.33</v>
      </c>
      <c r="S147" s="176"/>
      <c r="T147" s="220"/>
      <c r="U147" s="176">
        <f t="shared" ref="U147:U209" si="68">ROUND(R147*T147/100,4)</f>
        <v>0</v>
      </c>
      <c r="V147" s="175"/>
      <c r="W147" s="170"/>
      <c r="X147" s="179">
        <v>0.06</v>
      </c>
      <c r="Y147" s="216">
        <f t="shared" ref="Y147:Y209" si="69">ROUND((R147+U147+W147)*X147,4)</f>
        <v>0.19980000000000001</v>
      </c>
      <c r="Z147" s="216">
        <f t="shared" ref="Z147:Z209" si="70">R147+U147+W147+Y147</f>
        <v>3.5298000000000003</v>
      </c>
      <c r="AA147" s="180">
        <f t="shared" ref="AA147:AA209" si="71">ROUND(Z147*$D$8,0)</f>
        <v>8259732</v>
      </c>
      <c r="AB147" s="180"/>
      <c r="AC147" s="180">
        <f t="shared" ref="AC147:AC209" si="72">AA147/24*AB147</f>
        <v>0</v>
      </c>
      <c r="AD147" s="180">
        <f t="shared" si="64"/>
        <v>0</v>
      </c>
      <c r="AE147" s="180">
        <f t="shared" ref="AE147:AE209" si="73">ROUND(AA147-AC147+AD147,0)</f>
        <v>8259732</v>
      </c>
      <c r="AF147" s="178">
        <f t="shared" ref="AF147:AF209" si="74">AA147*8%</f>
        <v>660778.56000000006</v>
      </c>
      <c r="AG147" s="178">
        <f t="shared" ref="AG147:AG209" si="75">AA147*1.5%</f>
        <v>123895.98</v>
      </c>
      <c r="AH147" s="178">
        <f t="shared" ref="AH147:AH209" si="76">AA147*1%</f>
        <v>82597.320000000007</v>
      </c>
      <c r="AI147" s="178"/>
      <c r="AJ147" s="178">
        <f t="shared" ref="AJ147:AJ190" si="77">SUM(AF147:AI147)</f>
        <v>867271.8600000001</v>
      </c>
      <c r="AK147" s="567"/>
      <c r="AL147" s="535">
        <f t="shared" si="53"/>
        <v>0</v>
      </c>
      <c r="AM147" s="182"/>
      <c r="AN147" s="182"/>
      <c r="AO147" s="183">
        <f t="shared" si="65"/>
        <v>3.33</v>
      </c>
      <c r="AP147" s="246">
        <v>0.25</v>
      </c>
      <c r="AQ147" s="185">
        <f t="shared" ref="AQ147:AQ209" si="78">ROUND(AO147*AP147,4)</f>
        <v>0.83250000000000002</v>
      </c>
      <c r="AR147" s="178">
        <f t="shared" ref="AR147:AR209" si="79">ROUND(AQ147*$D$8,0)</f>
        <v>1948050</v>
      </c>
      <c r="AS147" s="178"/>
      <c r="AT147" s="178">
        <f t="shared" ref="AT147:AT209" si="80">ROUND(AE147-AJ147+AL147+AN147+AR147,0)</f>
        <v>9340510</v>
      </c>
      <c r="AU147" s="469">
        <f t="shared" ref="AU147:AU209" si="81">A147</f>
        <v>129</v>
      </c>
      <c r="AV147" s="195"/>
      <c r="AW147" s="485" t="s">
        <v>1139</v>
      </c>
    </row>
    <row r="148" spans="1:59" s="189" customFormat="1" ht="31.5" customHeight="1" x14ac:dyDescent="0.25">
      <c r="A148" s="168">
        <f>_xlfn.AGGREGATE(4,7,A$13:A147)+1</f>
        <v>130</v>
      </c>
      <c r="B148" s="168" t="str">
        <f>VLOOKUP(D148,[1]LuongBC_T01!$B$9:$C$292,2,FALSE)</f>
        <v>0016100006602007</v>
      </c>
      <c r="C148" s="997" t="s">
        <v>1312</v>
      </c>
      <c r="D148" s="169" t="s">
        <v>1137</v>
      </c>
      <c r="E148" s="263" t="s">
        <v>1259</v>
      </c>
      <c r="F148" s="220"/>
      <c r="G148" s="220"/>
      <c r="H148" s="220"/>
      <c r="I148" s="220"/>
      <c r="J148" s="220"/>
      <c r="K148" s="170" t="str">
        <f>VLOOKUP(D148,[2]T3!$B$2:$D$328,3,FALSE)</f>
        <v>025522918</v>
      </c>
      <c r="L148" s="220"/>
      <c r="M148" s="170"/>
      <c r="N148" s="263" t="str">
        <f>VLOOKUP(D148,'[6]Bao cao So GDDT'!$D$14:$S$282,11,FALSE)</f>
        <v>Giảng viên GDNN LT (hạng III)</v>
      </c>
      <c r="O148" s="390" t="s">
        <v>1438</v>
      </c>
      <c r="P148" s="251"/>
      <c r="Q148" s="251">
        <v>2</v>
      </c>
      <c r="R148" s="177">
        <v>3.33</v>
      </c>
      <c r="S148" s="176"/>
      <c r="T148" s="220"/>
      <c r="U148" s="176">
        <f t="shared" si="68"/>
        <v>0</v>
      </c>
      <c r="V148" s="175"/>
      <c r="W148" s="170"/>
      <c r="X148" s="179">
        <v>0.06</v>
      </c>
      <c r="Y148" s="216">
        <f t="shared" si="69"/>
        <v>0.19980000000000001</v>
      </c>
      <c r="Z148" s="216">
        <f t="shared" si="70"/>
        <v>3.5298000000000003</v>
      </c>
      <c r="AA148" s="180">
        <f t="shared" si="71"/>
        <v>8259732</v>
      </c>
      <c r="AB148" s="180"/>
      <c r="AC148" s="180">
        <f t="shared" si="72"/>
        <v>0</v>
      </c>
      <c r="AD148" s="180">
        <f t="shared" si="64"/>
        <v>0</v>
      </c>
      <c r="AE148" s="180">
        <f t="shared" si="73"/>
        <v>8259732</v>
      </c>
      <c r="AF148" s="178">
        <f t="shared" si="74"/>
        <v>660778.56000000006</v>
      </c>
      <c r="AG148" s="178">
        <f t="shared" si="75"/>
        <v>123895.98</v>
      </c>
      <c r="AH148" s="178">
        <f t="shared" si="76"/>
        <v>82597.320000000007</v>
      </c>
      <c r="AI148" s="178"/>
      <c r="AJ148" s="178">
        <f t="shared" si="77"/>
        <v>867271.8600000001</v>
      </c>
      <c r="AK148" s="567"/>
      <c r="AL148" s="535">
        <f t="shared" ref="AL148:AL187" si="82">AK148*$D$8</f>
        <v>0</v>
      </c>
      <c r="AM148" s="182"/>
      <c r="AN148" s="182"/>
      <c r="AO148" s="183">
        <f t="shared" si="65"/>
        <v>3.33</v>
      </c>
      <c r="AP148" s="246">
        <v>0.25</v>
      </c>
      <c r="AQ148" s="185">
        <f t="shared" si="78"/>
        <v>0.83250000000000002</v>
      </c>
      <c r="AR148" s="178">
        <f t="shared" si="79"/>
        <v>1948050</v>
      </c>
      <c r="AS148" s="178"/>
      <c r="AT148" s="178">
        <f t="shared" si="80"/>
        <v>9340510</v>
      </c>
      <c r="AU148" s="469">
        <f t="shared" si="81"/>
        <v>130</v>
      </c>
      <c r="AV148" s="195"/>
      <c r="AW148" s="485" t="s">
        <v>1139</v>
      </c>
    </row>
    <row r="149" spans="1:59" s="189" customFormat="1" ht="30.75" customHeight="1" x14ac:dyDescent="0.25">
      <c r="A149" s="168">
        <f>_xlfn.AGGREGATE(4,7,A$13:A148)+1</f>
        <v>131</v>
      </c>
      <c r="B149" s="168" t="str">
        <f>VLOOKUP(D149,[1]LuongBC_T01!$B$9:$C$292,2,FALSE)</f>
        <v>0016100007755001</v>
      </c>
      <c r="C149" s="170" t="s">
        <v>1323</v>
      </c>
      <c r="D149" s="169" t="s">
        <v>1290</v>
      </c>
      <c r="E149" s="263" t="s">
        <v>1300</v>
      </c>
      <c r="F149" s="220"/>
      <c r="G149" s="220"/>
      <c r="H149" s="220"/>
      <c r="I149" s="220"/>
      <c r="J149" s="220"/>
      <c r="K149" s="170" t="str">
        <f>VLOOKUP(D149,[2]T3!$B$2:$D$328,3,FALSE)</f>
        <v>072089003417</v>
      </c>
      <c r="L149" s="220"/>
      <c r="M149" s="170"/>
      <c r="N149" s="263" t="str">
        <f>VLOOKUP(D149,'[6]Bao cao So GDDT'!$D$14:$S$282,11,FALSE)</f>
        <v>Giảng viên GDNN LT (hạng III)</v>
      </c>
      <c r="O149" s="390" t="s">
        <v>1438</v>
      </c>
      <c r="P149" s="251"/>
      <c r="Q149" s="251"/>
      <c r="R149" s="177">
        <v>3</v>
      </c>
      <c r="S149" s="176"/>
      <c r="T149" s="220"/>
      <c r="U149" s="176">
        <f t="shared" si="68"/>
        <v>0</v>
      </c>
      <c r="V149" s="175"/>
      <c r="W149" s="170"/>
      <c r="X149" s="179">
        <v>0.05</v>
      </c>
      <c r="Y149" s="216">
        <f t="shared" si="69"/>
        <v>0.15</v>
      </c>
      <c r="Z149" s="216">
        <f t="shared" si="70"/>
        <v>3.15</v>
      </c>
      <c r="AA149" s="180">
        <f t="shared" si="71"/>
        <v>7371000</v>
      </c>
      <c r="AB149" s="180"/>
      <c r="AC149" s="180">
        <f t="shared" si="72"/>
        <v>0</v>
      </c>
      <c r="AD149" s="180">
        <f t="shared" si="64"/>
        <v>0</v>
      </c>
      <c r="AE149" s="180">
        <f t="shared" si="73"/>
        <v>7371000</v>
      </c>
      <c r="AF149" s="178">
        <f t="shared" si="74"/>
        <v>589680</v>
      </c>
      <c r="AG149" s="178">
        <f t="shared" si="75"/>
        <v>110565</v>
      </c>
      <c r="AH149" s="178">
        <f t="shared" si="76"/>
        <v>73710</v>
      </c>
      <c r="AI149" s="178"/>
      <c r="AJ149" s="178">
        <f t="shared" si="77"/>
        <v>773955</v>
      </c>
      <c r="AK149" s="567"/>
      <c r="AL149" s="535">
        <f t="shared" si="82"/>
        <v>0</v>
      </c>
      <c r="AM149" s="182"/>
      <c r="AN149" s="182"/>
      <c r="AO149" s="183">
        <f t="shared" si="65"/>
        <v>3</v>
      </c>
      <c r="AP149" s="246">
        <v>0.25</v>
      </c>
      <c r="AQ149" s="185">
        <f t="shared" si="78"/>
        <v>0.75</v>
      </c>
      <c r="AR149" s="178">
        <f t="shared" si="79"/>
        <v>1755000</v>
      </c>
      <c r="AS149" s="178"/>
      <c r="AT149" s="178">
        <f t="shared" si="80"/>
        <v>8352045</v>
      </c>
      <c r="AU149" s="469">
        <f t="shared" si="81"/>
        <v>131</v>
      </c>
      <c r="AV149" s="195"/>
      <c r="AW149" s="485"/>
    </row>
    <row r="150" spans="1:59" s="189" customFormat="1" ht="42.75" customHeight="1" x14ac:dyDescent="0.25">
      <c r="A150" s="1014">
        <f>_xlfn.AGGREGATE(4,7,A$13:A149)+1</f>
        <v>132</v>
      </c>
      <c r="B150" s="1014"/>
      <c r="C150" s="1014"/>
      <c r="D150" s="1025" t="s">
        <v>1585</v>
      </c>
      <c r="E150" s="1017" t="s">
        <v>1259</v>
      </c>
      <c r="F150" s="1040"/>
      <c r="G150" s="1040"/>
      <c r="H150" s="1040"/>
      <c r="I150" s="1040"/>
      <c r="J150" s="1040"/>
      <c r="K150" s="1014"/>
      <c r="L150" s="1041"/>
      <c r="M150" s="1020"/>
      <c r="N150" s="1017" t="s">
        <v>1597</v>
      </c>
      <c r="O150" s="1017" t="s">
        <v>1438</v>
      </c>
      <c r="P150" s="1020"/>
      <c r="Q150" s="1020"/>
      <c r="R150" s="1023">
        <v>3</v>
      </c>
      <c r="S150" s="1024"/>
      <c r="T150" s="1040"/>
      <c r="U150" s="1024">
        <f t="shared" si="68"/>
        <v>0</v>
      </c>
      <c r="V150" s="1026"/>
      <c r="W150" s="1020"/>
      <c r="X150" s="1027">
        <v>0.05</v>
      </c>
      <c r="Y150" s="1028">
        <f t="shared" si="69"/>
        <v>0.15</v>
      </c>
      <c r="Z150" s="1028">
        <f t="shared" si="70"/>
        <v>3.15</v>
      </c>
      <c r="AA150" s="1029">
        <f t="shared" si="71"/>
        <v>7371000</v>
      </c>
      <c r="AB150" s="1029"/>
      <c r="AC150" s="1029">
        <f>AA150/24*AB150</f>
        <v>0</v>
      </c>
      <c r="AD150" s="1029">
        <v>0</v>
      </c>
      <c r="AE150" s="1029">
        <f t="shared" si="73"/>
        <v>7371000</v>
      </c>
      <c r="AF150" s="1030">
        <f t="shared" si="74"/>
        <v>589680</v>
      </c>
      <c r="AG150" s="1030">
        <f>AA150*1.5%</f>
        <v>110565</v>
      </c>
      <c r="AH150" s="1030">
        <f t="shared" si="76"/>
        <v>73710</v>
      </c>
      <c r="AI150" s="1030"/>
      <c r="AJ150" s="1030">
        <f t="shared" si="77"/>
        <v>773955</v>
      </c>
      <c r="AK150" s="1042"/>
      <c r="AL150" s="1032">
        <f t="shared" si="82"/>
        <v>0</v>
      </c>
      <c r="AM150" s="1033"/>
      <c r="AN150" s="1033"/>
      <c r="AO150" s="1034">
        <f t="shared" si="65"/>
        <v>3</v>
      </c>
      <c r="AP150" s="1035">
        <v>0.25</v>
      </c>
      <c r="AQ150" s="1043">
        <f t="shared" si="78"/>
        <v>0.75</v>
      </c>
      <c r="AR150" s="1030">
        <f t="shared" si="79"/>
        <v>1755000</v>
      </c>
      <c r="AS150" s="1030"/>
      <c r="AT150" s="1030">
        <f t="shared" si="80"/>
        <v>8352045</v>
      </c>
      <c r="AU150" s="1037">
        <f t="shared" si="81"/>
        <v>132</v>
      </c>
      <c r="AV150" s="1038"/>
      <c r="AW150" s="195" t="s">
        <v>1584</v>
      </c>
    </row>
    <row r="151" spans="1:59" s="189" customFormat="1" ht="42.75" customHeight="1" x14ac:dyDescent="0.25">
      <c r="A151" s="168">
        <f>_xlfn.AGGREGATE(4,7,A$13:A150)+1</f>
        <v>133</v>
      </c>
      <c r="B151" s="168"/>
      <c r="C151" s="168"/>
      <c r="D151" s="169" t="s">
        <v>1576</v>
      </c>
      <c r="E151" s="263" t="s">
        <v>1259</v>
      </c>
      <c r="F151" s="220"/>
      <c r="G151" s="220"/>
      <c r="H151" s="220"/>
      <c r="I151" s="220"/>
      <c r="J151" s="220"/>
      <c r="K151" s="168"/>
      <c r="L151" s="490"/>
      <c r="M151" s="170"/>
      <c r="N151" s="263"/>
      <c r="O151" s="263" t="s">
        <v>1438</v>
      </c>
      <c r="P151" s="170"/>
      <c r="Q151" s="170"/>
      <c r="R151" s="170">
        <v>2.34</v>
      </c>
      <c r="S151" s="176"/>
      <c r="T151" s="220"/>
      <c r="U151" s="176">
        <f>ROUND(R151*T151/100,4)</f>
        <v>0</v>
      </c>
      <c r="V151" s="175"/>
      <c r="W151" s="170"/>
      <c r="X151" s="179">
        <v>0</v>
      </c>
      <c r="Y151" s="216">
        <f t="shared" si="69"/>
        <v>0</v>
      </c>
      <c r="Z151" s="216">
        <f t="shared" si="70"/>
        <v>2.34</v>
      </c>
      <c r="AA151" s="180">
        <f t="shared" si="71"/>
        <v>5475600</v>
      </c>
      <c r="AB151" s="180"/>
      <c r="AC151" s="180">
        <f>AA151/24*AB151</f>
        <v>0</v>
      </c>
      <c r="AD151" s="180">
        <v>0</v>
      </c>
      <c r="AE151" s="180">
        <f t="shared" si="73"/>
        <v>5475600</v>
      </c>
      <c r="AF151" s="178">
        <f t="shared" si="74"/>
        <v>438048</v>
      </c>
      <c r="AG151" s="178">
        <f>AA151*1.5%</f>
        <v>82134</v>
      </c>
      <c r="AH151" s="178">
        <f t="shared" si="76"/>
        <v>54756</v>
      </c>
      <c r="AI151" s="178"/>
      <c r="AJ151" s="178">
        <f t="shared" si="77"/>
        <v>574938</v>
      </c>
      <c r="AK151" s="192"/>
      <c r="AL151" s="535">
        <f t="shared" si="82"/>
        <v>0</v>
      </c>
      <c r="AM151" s="182"/>
      <c r="AN151" s="182"/>
      <c r="AO151" s="183">
        <f t="shared" si="65"/>
        <v>2.34</v>
      </c>
      <c r="AP151" s="246">
        <v>0.25</v>
      </c>
      <c r="AQ151" s="185">
        <f t="shared" si="78"/>
        <v>0.58499999999999996</v>
      </c>
      <c r="AR151" s="178">
        <f t="shared" si="79"/>
        <v>1368900</v>
      </c>
      <c r="AS151" s="178"/>
      <c r="AT151" s="178">
        <f t="shared" si="80"/>
        <v>6269562</v>
      </c>
      <c r="AU151" s="469">
        <f t="shared" si="81"/>
        <v>133</v>
      </c>
      <c r="AV151" s="195"/>
      <c r="AW151" s="722" t="s">
        <v>1578</v>
      </c>
    </row>
    <row r="152" spans="1:59" s="189" customFormat="1" ht="37.5" customHeight="1" x14ac:dyDescent="0.25">
      <c r="A152" s="168">
        <f>_xlfn.AGGREGATE(4,7,A$13:A151)+1</f>
        <v>134</v>
      </c>
      <c r="B152" s="168" t="s">
        <v>1508</v>
      </c>
      <c r="C152" s="720" t="s">
        <v>1556</v>
      </c>
      <c r="D152" s="544" t="s">
        <v>1494</v>
      </c>
      <c r="E152" s="563" t="s">
        <v>1627</v>
      </c>
      <c r="F152" s="564"/>
      <c r="G152" s="564"/>
      <c r="H152" s="564"/>
      <c r="I152" s="564"/>
      <c r="J152" s="564"/>
      <c r="K152" s="565"/>
      <c r="L152" s="721" t="s">
        <v>1507</v>
      </c>
      <c r="M152" s="545"/>
      <c r="N152" s="263" t="str">
        <f>VLOOKUP(D152,'[6]Bao cao So GDDT'!$D$14:$S$282,11,FALSE)</f>
        <v>Giảng viên GDNN LT (hạng III)</v>
      </c>
      <c r="O152" s="661" t="s">
        <v>1438</v>
      </c>
      <c r="P152" s="566"/>
      <c r="Q152" s="566"/>
      <c r="R152" s="545">
        <v>2.67</v>
      </c>
      <c r="S152" s="546"/>
      <c r="T152" s="564"/>
      <c r="U152" s="546">
        <f t="shared" si="68"/>
        <v>0</v>
      </c>
      <c r="V152" s="547"/>
      <c r="W152" s="545">
        <v>0.45</v>
      </c>
      <c r="X152" s="179">
        <v>0</v>
      </c>
      <c r="Y152" s="216">
        <f t="shared" si="69"/>
        <v>0</v>
      </c>
      <c r="Z152" s="216">
        <f t="shared" si="70"/>
        <v>3.12</v>
      </c>
      <c r="AA152" s="180">
        <f t="shared" si="71"/>
        <v>7300800</v>
      </c>
      <c r="AB152" s="549"/>
      <c r="AC152" s="180">
        <f>AA152/24*AB152</f>
        <v>0</v>
      </c>
      <c r="AD152" s="180">
        <f>AA152/24*AB152*75%</f>
        <v>0</v>
      </c>
      <c r="AE152" s="180">
        <f t="shared" si="73"/>
        <v>7300800</v>
      </c>
      <c r="AF152" s="178">
        <f t="shared" si="74"/>
        <v>584064</v>
      </c>
      <c r="AG152" s="178">
        <f>AA152*1.5%</f>
        <v>109512</v>
      </c>
      <c r="AH152" s="178">
        <f t="shared" si="76"/>
        <v>73008</v>
      </c>
      <c r="AI152" s="550"/>
      <c r="AJ152" s="178">
        <f t="shared" si="77"/>
        <v>766584</v>
      </c>
      <c r="AK152" s="567"/>
      <c r="AL152" s="535">
        <f t="shared" si="82"/>
        <v>0</v>
      </c>
      <c r="AM152" s="568"/>
      <c r="AN152" s="568"/>
      <c r="AO152" s="569">
        <f t="shared" si="65"/>
        <v>3.12</v>
      </c>
      <c r="AP152" s="639">
        <v>0.25</v>
      </c>
      <c r="AQ152" s="185">
        <f t="shared" si="78"/>
        <v>0.78</v>
      </c>
      <c r="AR152" s="178">
        <f t="shared" si="79"/>
        <v>1825200</v>
      </c>
      <c r="AS152" s="550"/>
      <c r="AT152" s="178">
        <f t="shared" si="80"/>
        <v>8359416</v>
      </c>
      <c r="AU152" s="538">
        <f t="shared" si="81"/>
        <v>134</v>
      </c>
      <c r="AV152" s="722"/>
      <c r="AW152" s="722" t="s">
        <v>1493</v>
      </c>
    </row>
    <row r="153" spans="1:59" s="189" customFormat="1" ht="36" customHeight="1" x14ac:dyDescent="0.25">
      <c r="A153" s="168">
        <f>_xlfn.AGGREGATE(4,7,A$13:A152)+1</f>
        <v>135</v>
      </c>
      <c r="B153" s="168" t="str">
        <f>VLOOKUP(D153,[1]LuongBC_T01!$B$9:$C$292,2,FALSE)</f>
        <v>0016100006604007</v>
      </c>
      <c r="C153" s="199" t="s">
        <v>946</v>
      </c>
      <c r="D153" s="169" t="s">
        <v>819</v>
      </c>
      <c r="E153" s="263" t="s">
        <v>1628</v>
      </c>
      <c r="F153" s="169"/>
      <c r="G153" s="170" t="s">
        <v>25</v>
      </c>
      <c r="H153" s="170"/>
      <c r="I153" s="170"/>
      <c r="J153" s="169"/>
      <c r="K153" s="170" t="str">
        <f>VLOOKUP(D153,[2]T3!$B$2:$D$328,3,FALSE)</f>
        <v>025791269</v>
      </c>
      <c r="L153" s="249"/>
      <c r="M153" s="249" t="s">
        <v>946</v>
      </c>
      <c r="N153" s="263" t="str">
        <f>VLOOKUP(D153,'[6]Bao cao So GDDT'!$D$14:$S$282,11,FALSE)</f>
        <v>Giảng viên GDNN LT (hạng III)</v>
      </c>
      <c r="O153" s="390" t="s">
        <v>1438</v>
      </c>
      <c r="P153" s="222" t="s">
        <v>692</v>
      </c>
      <c r="Q153" s="172">
        <v>3</v>
      </c>
      <c r="R153" s="174">
        <v>3.66</v>
      </c>
      <c r="S153" s="176">
        <f>U153+W153+Y153</f>
        <v>0.75829999999999997</v>
      </c>
      <c r="T153" s="370"/>
      <c r="U153" s="176">
        <f>ROUND(R153*T153/100,4)</f>
        <v>0</v>
      </c>
      <c r="V153" s="175">
        <f>R153*T153*$D$8/100</f>
        <v>0</v>
      </c>
      <c r="W153" s="170">
        <v>0.25</v>
      </c>
      <c r="X153" s="179">
        <v>0.13</v>
      </c>
      <c r="Y153" s="216">
        <f t="shared" si="69"/>
        <v>0.50829999999999997</v>
      </c>
      <c r="Z153" s="216">
        <f t="shared" si="70"/>
        <v>4.4183000000000003</v>
      </c>
      <c r="AA153" s="180">
        <f t="shared" si="71"/>
        <v>10338822</v>
      </c>
      <c r="AB153" s="180"/>
      <c r="AC153" s="180">
        <f>AA153/24*AB153</f>
        <v>0</v>
      </c>
      <c r="AD153" s="180">
        <f>AA153/24*AB153*75%</f>
        <v>0</v>
      </c>
      <c r="AE153" s="180">
        <f t="shared" si="73"/>
        <v>10338822</v>
      </c>
      <c r="AF153" s="178">
        <f t="shared" si="74"/>
        <v>827105.76</v>
      </c>
      <c r="AG153" s="178">
        <f>AA153*1.5%</f>
        <v>155082.32999999999</v>
      </c>
      <c r="AH153" s="178">
        <f t="shared" si="76"/>
        <v>103388.22</v>
      </c>
      <c r="AI153" s="178"/>
      <c r="AJ153" s="178">
        <f t="shared" si="77"/>
        <v>1085576.31</v>
      </c>
      <c r="AK153" s="192"/>
      <c r="AL153" s="535">
        <f t="shared" si="82"/>
        <v>0</v>
      </c>
      <c r="AM153" s="182"/>
      <c r="AN153" s="182"/>
      <c r="AO153" s="193">
        <f t="shared" si="65"/>
        <v>3.91</v>
      </c>
      <c r="AP153" s="246">
        <v>0.25</v>
      </c>
      <c r="AQ153" s="194">
        <f t="shared" si="78"/>
        <v>0.97750000000000004</v>
      </c>
      <c r="AR153" s="178">
        <f t="shared" si="79"/>
        <v>2287350</v>
      </c>
      <c r="AS153" s="178"/>
      <c r="AT153" s="178">
        <f t="shared" si="80"/>
        <v>11540596</v>
      </c>
      <c r="AU153" s="469">
        <f t="shared" si="81"/>
        <v>135</v>
      </c>
      <c r="AV153" s="244"/>
      <c r="AW153" s="242"/>
      <c r="AY153" s="669"/>
    </row>
    <row r="154" spans="1:59" s="189" customFormat="1" ht="78.75" customHeight="1" x14ac:dyDescent="0.25">
      <c r="A154" s="168">
        <f>_xlfn.AGGREGATE(4,7,A$13:A153)+1</f>
        <v>136</v>
      </c>
      <c r="B154" s="874" t="s">
        <v>1509</v>
      </c>
      <c r="C154" s="875" t="s">
        <v>1559</v>
      </c>
      <c r="D154" s="876" t="s">
        <v>1495</v>
      </c>
      <c r="E154" s="877" t="s">
        <v>1626</v>
      </c>
      <c r="F154" s="878"/>
      <c r="G154" s="878"/>
      <c r="H154" s="878"/>
      <c r="I154" s="878"/>
      <c r="J154" s="878"/>
      <c r="K154" s="874"/>
      <c r="L154" s="879" t="s">
        <v>1510</v>
      </c>
      <c r="M154" s="880"/>
      <c r="N154" s="877" t="str">
        <f>VLOOKUP(D154,'[6]Bao cao So GDDT'!$D$14:$S$282,11,FALSE)</f>
        <v>Giảng viên GDNN LT (hạng III)</v>
      </c>
      <c r="O154" s="881" t="s">
        <v>1438</v>
      </c>
      <c r="P154" s="882"/>
      <c r="Q154" s="882"/>
      <c r="R154" s="880">
        <v>2.34</v>
      </c>
      <c r="S154" s="883"/>
      <c r="T154" s="878"/>
      <c r="U154" s="883">
        <f t="shared" si="68"/>
        <v>0</v>
      </c>
      <c r="V154" s="884"/>
      <c r="W154" s="880"/>
      <c r="X154" s="885">
        <v>0</v>
      </c>
      <c r="Y154" s="886">
        <f t="shared" si="69"/>
        <v>0</v>
      </c>
      <c r="Z154" s="886">
        <f t="shared" si="70"/>
        <v>2.34</v>
      </c>
      <c r="AA154" s="887">
        <f t="shared" si="71"/>
        <v>5475600</v>
      </c>
      <c r="AB154" s="887">
        <v>0.4</v>
      </c>
      <c r="AC154" s="887">
        <f>AA154*60%</f>
        <v>3285360</v>
      </c>
      <c r="AD154" s="887">
        <v>0</v>
      </c>
      <c r="AE154" s="887">
        <f t="shared" si="73"/>
        <v>2190240</v>
      </c>
      <c r="AF154" s="888">
        <f t="shared" si="74"/>
        <v>438048</v>
      </c>
      <c r="AG154" s="901"/>
      <c r="AH154" s="888">
        <f t="shared" si="76"/>
        <v>54756</v>
      </c>
      <c r="AI154" s="888"/>
      <c r="AJ154" s="888">
        <f t="shared" si="77"/>
        <v>492804</v>
      </c>
      <c r="AK154" s="907"/>
      <c r="AL154" s="535">
        <f t="shared" si="82"/>
        <v>0</v>
      </c>
      <c r="AM154" s="889"/>
      <c r="AN154" s="889"/>
      <c r="AO154" s="890">
        <f t="shared" si="65"/>
        <v>2.34</v>
      </c>
      <c r="AP154" s="891">
        <v>0</v>
      </c>
      <c r="AQ154" s="892">
        <f t="shared" si="78"/>
        <v>0</v>
      </c>
      <c r="AR154" s="888">
        <f t="shared" si="79"/>
        <v>0</v>
      </c>
      <c r="AS154" s="888"/>
      <c r="AT154" s="888">
        <f t="shared" si="80"/>
        <v>1697436</v>
      </c>
      <c r="AU154" s="893">
        <f t="shared" si="81"/>
        <v>136</v>
      </c>
      <c r="AV154" s="894" t="s">
        <v>1598</v>
      </c>
      <c r="AW154" s="722" t="s">
        <v>1601</v>
      </c>
    </row>
    <row r="155" spans="1:59" s="189" customFormat="1" ht="38.25" customHeight="1" x14ac:dyDescent="0.25">
      <c r="A155" s="168">
        <f>_xlfn.AGGREGATE(4,7,A$13:A154)+1</f>
        <v>137</v>
      </c>
      <c r="B155" s="168" t="s">
        <v>1504</v>
      </c>
      <c r="C155" s="659" t="s">
        <v>1558</v>
      </c>
      <c r="D155" s="169" t="s">
        <v>1455</v>
      </c>
      <c r="E155" s="263" t="s">
        <v>1626</v>
      </c>
      <c r="F155" s="220"/>
      <c r="G155" s="220"/>
      <c r="H155" s="220"/>
      <c r="I155" s="220"/>
      <c r="J155" s="220"/>
      <c r="K155" s="168"/>
      <c r="L155" s="490"/>
      <c r="M155" s="170"/>
      <c r="N155" s="263" t="str">
        <f>VLOOKUP(D155,'[6]Bao cao So GDDT'!$D$14:$S$282,11,FALSE)</f>
        <v>Giảng viên GDNN LT (hạng III)</v>
      </c>
      <c r="O155" s="661" t="s">
        <v>1438</v>
      </c>
      <c r="P155" s="251"/>
      <c r="Q155" s="251"/>
      <c r="R155" s="170">
        <v>2.34</v>
      </c>
      <c r="S155" s="176"/>
      <c r="T155" s="220"/>
      <c r="U155" s="176">
        <f t="shared" si="68"/>
        <v>0</v>
      </c>
      <c r="V155" s="175"/>
      <c r="W155" s="170"/>
      <c r="X155" s="179">
        <f>VLOOKUP(D155,PCTN!D94:W361,20,FALSE)</f>
        <v>0</v>
      </c>
      <c r="Y155" s="216">
        <f t="shared" si="69"/>
        <v>0</v>
      </c>
      <c r="Z155" s="216">
        <f t="shared" si="70"/>
        <v>2.34</v>
      </c>
      <c r="AA155" s="180">
        <f t="shared" si="71"/>
        <v>5475600</v>
      </c>
      <c r="AB155" s="180"/>
      <c r="AC155" s="180">
        <f>AA155/24*AB155</f>
        <v>0</v>
      </c>
      <c r="AD155" s="180">
        <v>0</v>
      </c>
      <c r="AE155" s="180">
        <f t="shared" si="73"/>
        <v>5475600</v>
      </c>
      <c r="AF155" s="178">
        <f t="shared" si="74"/>
        <v>438048</v>
      </c>
      <c r="AG155" s="178">
        <f>AA155*1.5%</f>
        <v>82134</v>
      </c>
      <c r="AH155" s="178">
        <f t="shared" si="76"/>
        <v>54756</v>
      </c>
      <c r="AI155" s="178"/>
      <c r="AJ155" s="178">
        <f t="shared" si="77"/>
        <v>574938</v>
      </c>
      <c r="AK155" s="192"/>
      <c r="AL155" s="535">
        <f t="shared" si="82"/>
        <v>0</v>
      </c>
      <c r="AM155" s="182"/>
      <c r="AN155" s="182"/>
      <c r="AO155" s="183">
        <f t="shared" si="65"/>
        <v>2.34</v>
      </c>
      <c r="AP155" s="246">
        <v>0.25</v>
      </c>
      <c r="AQ155" s="185">
        <f t="shared" si="78"/>
        <v>0.58499999999999996</v>
      </c>
      <c r="AR155" s="178">
        <f t="shared" si="79"/>
        <v>1368900</v>
      </c>
      <c r="AS155" s="178"/>
      <c r="AT155" s="178">
        <f t="shared" si="80"/>
        <v>6269562</v>
      </c>
      <c r="AU155" s="469">
        <f t="shared" si="81"/>
        <v>137</v>
      </c>
      <c r="AV155" s="195"/>
      <c r="AW155" s="658"/>
      <c r="AX155" s="29"/>
      <c r="AY155" s="29"/>
      <c r="AZ155" s="29"/>
      <c r="BA155" s="29"/>
      <c r="BB155" s="29"/>
      <c r="BC155" s="29"/>
      <c r="BD155" s="29"/>
      <c r="BE155" s="29"/>
      <c r="BF155" s="29"/>
      <c r="BG155" s="29"/>
    </row>
    <row r="156" spans="1:59" s="189" customFormat="1" ht="42" customHeight="1" x14ac:dyDescent="0.25">
      <c r="A156" s="168">
        <f>_xlfn.AGGREGATE(4,7,A$13:A155)+1</f>
        <v>138</v>
      </c>
      <c r="B156" s="168"/>
      <c r="C156" s="659"/>
      <c r="D156" s="169" t="s">
        <v>1577</v>
      </c>
      <c r="E156" s="263" t="s">
        <v>1626</v>
      </c>
      <c r="F156" s="220"/>
      <c r="G156" s="220"/>
      <c r="H156" s="220"/>
      <c r="I156" s="220"/>
      <c r="J156" s="220"/>
      <c r="K156" s="168"/>
      <c r="L156" s="490"/>
      <c r="M156" s="170"/>
      <c r="N156" s="263" t="s">
        <v>1597</v>
      </c>
      <c r="O156" s="661" t="s">
        <v>1438</v>
      </c>
      <c r="P156" s="251"/>
      <c r="Q156" s="251"/>
      <c r="R156" s="170">
        <v>3.33</v>
      </c>
      <c r="S156" s="176"/>
      <c r="T156" s="220"/>
      <c r="U156" s="176">
        <f>ROUND(R156*T156/100,4)</f>
        <v>0</v>
      </c>
      <c r="V156" s="175"/>
      <c r="W156" s="170"/>
      <c r="X156" s="179">
        <v>0.11</v>
      </c>
      <c r="Y156" s="216">
        <f t="shared" si="69"/>
        <v>0.36630000000000001</v>
      </c>
      <c r="Z156" s="216">
        <f t="shared" si="70"/>
        <v>3.6962999999999999</v>
      </c>
      <c r="AA156" s="180">
        <f t="shared" si="71"/>
        <v>8649342</v>
      </c>
      <c r="AB156" s="180"/>
      <c r="AC156" s="180">
        <f>AA156/24*AB156</f>
        <v>0</v>
      </c>
      <c r="AD156" s="180">
        <v>0</v>
      </c>
      <c r="AE156" s="180">
        <f t="shared" si="73"/>
        <v>8649342</v>
      </c>
      <c r="AF156" s="178">
        <f t="shared" si="74"/>
        <v>691947.36</v>
      </c>
      <c r="AG156" s="178">
        <f>AA156*1.5%</f>
        <v>129740.12999999999</v>
      </c>
      <c r="AH156" s="178">
        <f t="shared" si="76"/>
        <v>86493.42</v>
      </c>
      <c r="AI156" s="178"/>
      <c r="AJ156" s="178">
        <f t="shared" si="77"/>
        <v>908180.91</v>
      </c>
      <c r="AK156" s="192"/>
      <c r="AL156" s="535">
        <f t="shared" si="82"/>
        <v>0</v>
      </c>
      <c r="AM156" s="182"/>
      <c r="AN156" s="182"/>
      <c r="AO156" s="183">
        <f t="shared" si="65"/>
        <v>3.33</v>
      </c>
      <c r="AP156" s="246">
        <v>0.25</v>
      </c>
      <c r="AQ156" s="185">
        <f t="shared" si="78"/>
        <v>0.83250000000000002</v>
      </c>
      <c r="AR156" s="178">
        <f t="shared" si="79"/>
        <v>1948050</v>
      </c>
      <c r="AS156" s="178"/>
      <c r="AT156" s="178">
        <f t="shared" si="80"/>
        <v>9689211</v>
      </c>
      <c r="AU156" s="469">
        <f t="shared" si="81"/>
        <v>138</v>
      </c>
      <c r="AV156" s="195"/>
      <c r="AW156" s="722" t="s">
        <v>1578</v>
      </c>
      <c r="AY156" s="669"/>
    </row>
    <row r="157" spans="1:59" s="189" customFormat="1" ht="31.5" customHeight="1" x14ac:dyDescent="0.25">
      <c r="A157" s="168">
        <f>_xlfn.AGGREGATE(4,7,A$13:A156)+1</f>
        <v>139</v>
      </c>
      <c r="B157" s="168" t="str">
        <f>VLOOKUP(D157,[1]LuongBC_T01!$B$9:$C$292,2,FALSE)</f>
        <v>0016100006637005</v>
      </c>
      <c r="C157" s="199">
        <v>51200000905</v>
      </c>
      <c r="D157" s="169" t="s">
        <v>811</v>
      </c>
      <c r="E157" s="263" t="s">
        <v>1626</v>
      </c>
      <c r="F157" s="220"/>
      <c r="G157" s="220" t="s">
        <v>25</v>
      </c>
      <c r="H157" s="220"/>
      <c r="I157" s="220"/>
      <c r="J157" s="220"/>
      <c r="K157" s="170" t="str">
        <f>VLOOKUP(D157,[2]T3!$B$2:$D$328,3,FALSE)</f>
        <v>024383666</v>
      </c>
      <c r="L157" s="220"/>
      <c r="M157" s="170">
        <v>51200000905</v>
      </c>
      <c r="N157" s="263" t="str">
        <f>VLOOKUP(D157,'[6]Bao cao So GDDT'!$D$14:$S$282,11,FALSE)</f>
        <v>Giảng viên GDNN LT (hạng III)</v>
      </c>
      <c r="O157" s="390" t="s">
        <v>1438</v>
      </c>
      <c r="P157" s="170" t="s">
        <v>692</v>
      </c>
      <c r="Q157" s="170">
        <v>1</v>
      </c>
      <c r="R157" s="177">
        <v>3</v>
      </c>
      <c r="S157" s="176">
        <f t="shared" ref="S157:S162" si="83">U157+W157+Y157</f>
        <v>0.24</v>
      </c>
      <c r="T157" s="220"/>
      <c r="U157" s="176">
        <f>ROUND(R157*T157/100,4)</f>
        <v>0</v>
      </c>
      <c r="V157" s="175">
        <f>R157*T157*$D$8/100</f>
        <v>0</v>
      </c>
      <c r="W157" s="170"/>
      <c r="X157" s="179">
        <v>0.08</v>
      </c>
      <c r="Y157" s="216">
        <f t="shared" si="69"/>
        <v>0.24</v>
      </c>
      <c r="Z157" s="216">
        <f t="shared" si="70"/>
        <v>3.24</v>
      </c>
      <c r="AA157" s="180">
        <f t="shared" si="71"/>
        <v>7581600</v>
      </c>
      <c r="AB157" s="180"/>
      <c r="AC157" s="180">
        <f>AA157/24*AB157</f>
        <v>0</v>
      </c>
      <c r="AD157" s="180">
        <v>0</v>
      </c>
      <c r="AE157" s="180">
        <f t="shared" si="73"/>
        <v>7581600</v>
      </c>
      <c r="AF157" s="178">
        <f t="shared" si="74"/>
        <v>606528</v>
      </c>
      <c r="AG157" s="178">
        <f>AA157*1.5%</f>
        <v>113724</v>
      </c>
      <c r="AH157" s="178">
        <f t="shared" si="76"/>
        <v>75816</v>
      </c>
      <c r="AI157" s="178"/>
      <c r="AJ157" s="178">
        <f t="shared" si="77"/>
        <v>796068</v>
      </c>
      <c r="AK157" s="192"/>
      <c r="AL157" s="535">
        <f t="shared" si="82"/>
        <v>0</v>
      </c>
      <c r="AM157" s="182"/>
      <c r="AN157" s="182"/>
      <c r="AO157" s="183">
        <f t="shared" si="65"/>
        <v>3</v>
      </c>
      <c r="AP157" s="246">
        <v>0.25</v>
      </c>
      <c r="AQ157" s="185">
        <f t="shared" si="78"/>
        <v>0.75</v>
      </c>
      <c r="AR157" s="178">
        <f t="shared" si="79"/>
        <v>1755000</v>
      </c>
      <c r="AS157" s="178"/>
      <c r="AT157" s="178">
        <f t="shared" si="80"/>
        <v>8540532</v>
      </c>
      <c r="AU157" s="469">
        <f t="shared" si="81"/>
        <v>139</v>
      </c>
      <c r="AV157" s="195"/>
      <c r="AW157" s="198"/>
      <c r="AY157" s="895"/>
    </row>
    <row r="158" spans="1:59" s="189" customFormat="1" ht="30.75" customHeight="1" x14ac:dyDescent="0.25">
      <c r="A158" s="168">
        <f>_xlfn.AGGREGATE(4,7,A$13:A157)+1</f>
        <v>140</v>
      </c>
      <c r="B158" s="484" t="str">
        <f>VLOOKUP(D158,[1]LuongBC_T01!$B$9:$C$292,2,FALSE)</f>
        <v>0016100006630008</v>
      </c>
      <c r="C158" s="512" t="s">
        <v>1011</v>
      </c>
      <c r="D158" s="520" t="s">
        <v>560</v>
      </c>
      <c r="E158" s="521" t="s">
        <v>1463</v>
      </c>
      <c r="F158" s="522"/>
      <c r="G158" s="522"/>
      <c r="H158" s="522"/>
      <c r="I158" s="522"/>
      <c r="J158" s="522"/>
      <c r="K158" s="525" t="str">
        <f>VLOOKUP(D158,[2]T3!$B$2:$D$328,3,FALSE)</f>
        <v>025076575</v>
      </c>
      <c r="L158" s="953" t="s">
        <v>744</v>
      </c>
      <c r="M158" s="953" t="s">
        <v>1011</v>
      </c>
      <c r="N158" s="521" t="str">
        <f>VLOOKUP(D158,'[6]Bao cao So GDDT'!$D$14:$S$282,11,FALSE)</f>
        <v>Giảng viên GDNN LT (hạng III)</v>
      </c>
      <c r="O158" s="842" t="s">
        <v>1438</v>
      </c>
      <c r="P158" s="525" t="s">
        <v>692</v>
      </c>
      <c r="Q158" s="525">
        <v>2</v>
      </c>
      <c r="R158" s="528">
        <v>3.33</v>
      </c>
      <c r="S158" s="463">
        <f t="shared" si="83"/>
        <v>0.86580000000000001</v>
      </c>
      <c r="T158" s="524"/>
      <c r="U158" s="463">
        <f t="shared" si="68"/>
        <v>0</v>
      </c>
      <c r="V158" s="529">
        <f>R158*T158*$D$8/100</f>
        <v>0</v>
      </c>
      <c r="W158" s="528">
        <v>0.45</v>
      </c>
      <c r="X158" s="530">
        <v>0.11</v>
      </c>
      <c r="Y158" s="531">
        <f t="shared" si="69"/>
        <v>0.4158</v>
      </c>
      <c r="Z158" s="531">
        <f t="shared" si="70"/>
        <v>4.1958000000000002</v>
      </c>
      <c r="AA158" s="532">
        <f t="shared" si="71"/>
        <v>9818172</v>
      </c>
      <c r="AB158" s="532"/>
      <c r="AC158" s="532">
        <f t="shared" si="72"/>
        <v>0</v>
      </c>
      <c r="AD158" s="532">
        <f t="shared" si="64"/>
        <v>0</v>
      </c>
      <c r="AE158" s="532">
        <f t="shared" si="73"/>
        <v>9818172</v>
      </c>
      <c r="AF158" s="533">
        <f t="shared" si="74"/>
        <v>785453.76</v>
      </c>
      <c r="AG158" s="533">
        <f t="shared" si="75"/>
        <v>147272.57999999999</v>
      </c>
      <c r="AH158" s="533">
        <f t="shared" si="76"/>
        <v>98181.72</v>
      </c>
      <c r="AI158" s="533"/>
      <c r="AJ158" s="533">
        <f t="shared" si="77"/>
        <v>1030908.0599999999</v>
      </c>
      <c r="AK158" s="534"/>
      <c r="AL158" s="535">
        <f t="shared" si="82"/>
        <v>0</v>
      </c>
      <c r="AM158" s="535"/>
      <c r="AN158" s="535"/>
      <c r="AO158" s="536">
        <f t="shared" si="65"/>
        <v>3.7800000000000002</v>
      </c>
      <c r="AP158" s="862">
        <v>0.25</v>
      </c>
      <c r="AQ158" s="537">
        <f t="shared" si="78"/>
        <v>0.94499999999999995</v>
      </c>
      <c r="AR158" s="533">
        <f t="shared" si="79"/>
        <v>2211300</v>
      </c>
      <c r="AS158" s="533"/>
      <c r="AT158" s="533">
        <f t="shared" si="80"/>
        <v>10998564</v>
      </c>
      <c r="AU158" s="538">
        <f t="shared" si="81"/>
        <v>140</v>
      </c>
      <c r="AV158" s="539"/>
      <c r="AW158" s="198" t="s">
        <v>708</v>
      </c>
    </row>
    <row r="159" spans="1:59" s="228" customFormat="1" ht="37.5" customHeight="1" x14ac:dyDescent="0.25">
      <c r="A159" s="168">
        <f>_xlfn.AGGREGATE(4,7,A$13:A158)+1</f>
        <v>141</v>
      </c>
      <c r="B159" s="168" t="str">
        <f>VLOOKUP(D159,[1]LuongBC_T01!$B$9:$C$292,2,FALSE)</f>
        <v>0016100006571004</v>
      </c>
      <c r="C159" s="199" t="s">
        <v>988</v>
      </c>
      <c r="D159" s="169" t="s">
        <v>571</v>
      </c>
      <c r="E159" s="263" t="s">
        <v>1373</v>
      </c>
      <c r="F159" s="169" t="s">
        <v>549</v>
      </c>
      <c r="G159" s="200" t="s">
        <v>25</v>
      </c>
      <c r="H159" s="200"/>
      <c r="I159" s="200" t="s">
        <v>283</v>
      </c>
      <c r="J159" s="200" t="s">
        <v>588</v>
      </c>
      <c r="K159" s="170" t="str">
        <f>VLOOKUP(D159,[2]T3!$B$2:$D$328,3,FALSE)</f>
        <v>023922977</v>
      </c>
      <c r="L159" s="226" t="s">
        <v>610</v>
      </c>
      <c r="M159" s="226" t="s">
        <v>988</v>
      </c>
      <c r="N159" s="263" t="str">
        <f>VLOOKUP(D159,'[6]Bao cao So GDDT'!$D$14:$S$282,11,FALSE)</f>
        <v>Giảng viên GDNN LT (hạng III)</v>
      </c>
      <c r="O159" s="390" t="s">
        <v>1438</v>
      </c>
      <c r="P159" s="170" t="s">
        <v>692</v>
      </c>
      <c r="Q159" s="170">
        <v>3</v>
      </c>
      <c r="R159" s="177">
        <v>3.66</v>
      </c>
      <c r="S159" s="176">
        <f t="shared" si="83"/>
        <v>0.51239999999999997</v>
      </c>
      <c r="T159" s="220"/>
      <c r="U159" s="176">
        <f t="shared" si="68"/>
        <v>0</v>
      </c>
      <c r="V159" s="175">
        <f>R159*T159*$D$8/100</f>
        <v>0</v>
      </c>
      <c r="W159" s="170"/>
      <c r="X159" s="179">
        <v>0.14000000000000001</v>
      </c>
      <c r="Y159" s="216">
        <f t="shared" si="69"/>
        <v>0.51239999999999997</v>
      </c>
      <c r="Z159" s="216">
        <f t="shared" si="70"/>
        <v>4.1723999999999997</v>
      </c>
      <c r="AA159" s="180">
        <f t="shared" si="71"/>
        <v>9763416</v>
      </c>
      <c r="AB159" s="180"/>
      <c r="AC159" s="180">
        <f t="shared" si="72"/>
        <v>0</v>
      </c>
      <c r="AD159" s="180">
        <f t="shared" si="64"/>
        <v>0</v>
      </c>
      <c r="AE159" s="180">
        <f t="shared" si="73"/>
        <v>9763416</v>
      </c>
      <c r="AF159" s="178">
        <f t="shared" si="74"/>
        <v>781073.28</v>
      </c>
      <c r="AG159" s="178">
        <f t="shared" si="75"/>
        <v>146451.24</v>
      </c>
      <c r="AH159" s="178">
        <f t="shared" si="76"/>
        <v>97634.16</v>
      </c>
      <c r="AI159" s="178"/>
      <c r="AJ159" s="178">
        <f t="shared" si="77"/>
        <v>1025158.68</v>
      </c>
      <c r="AK159" s="192"/>
      <c r="AL159" s="535">
        <f t="shared" si="82"/>
        <v>0</v>
      </c>
      <c r="AM159" s="182"/>
      <c r="AN159" s="182"/>
      <c r="AO159" s="193">
        <f t="shared" si="65"/>
        <v>3.66</v>
      </c>
      <c r="AP159" s="246">
        <v>0.25</v>
      </c>
      <c r="AQ159" s="194">
        <f t="shared" si="78"/>
        <v>0.91500000000000004</v>
      </c>
      <c r="AR159" s="178">
        <f t="shared" si="79"/>
        <v>2141100</v>
      </c>
      <c r="AS159" s="178"/>
      <c r="AT159" s="178">
        <f t="shared" si="80"/>
        <v>10879357</v>
      </c>
      <c r="AU159" s="469">
        <f t="shared" si="81"/>
        <v>141</v>
      </c>
      <c r="AV159" s="195"/>
      <c r="AW159" s="227" t="s">
        <v>708</v>
      </c>
    </row>
    <row r="160" spans="1:59" s="189" customFormat="1" ht="30.75" customHeight="1" x14ac:dyDescent="0.25">
      <c r="A160" s="168">
        <f>_xlfn.AGGREGATE(4,7,A$13:A159)+1</f>
        <v>142</v>
      </c>
      <c r="B160" s="168" t="str">
        <f>VLOOKUP(D160,[1]LuongBC_T01!$B$9:$C$292,2,FALSE)</f>
        <v>0016100006547006</v>
      </c>
      <c r="C160" s="199" t="s">
        <v>998</v>
      </c>
      <c r="D160" s="169" t="s">
        <v>574</v>
      </c>
      <c r="E160" s="263" t="s">
        <v>1382</v>
      </c>
      <c r="F160" s="169" t="s">
        <v>549</v>
      </c>
      <c r="G160" s="170" t="s">
        <v>25</v>
      </c>
      <c r="H160" s="200" t="s">
        <v>283</v>
      </c>
      <c r="I160" s="200" t="s">
        <v>283</v>
      </c>
      <c r="J160" s="200" t="s">
        <v>595</v>
      </c>
      <c r="K160" s="170" t="str">
        <f>VLOOKUP(D160,[2]T3!$B$2:$D$328,3,FALSE)</f>
        <v>311759209</v>
      </c>
      <c r="L160" s="226" t="s">
        <v>616</v>
      </c>
      <c r="M160" s="226" t="s">
        <v>998</v>
      </c>
      <c r="N160" s="263" t="str">
        <f>VLOOKUP(D160,'[6]Bao cao So GDDT'!$D$14:$S$282,11,FALSE)</f>
        <v>Giảng viên GDNN LT (hạng III)</v>
      </c>
      <c r="O160" s="390" t="s">
        <v>1438</v>
      </c>
      <c r="P160" s="170" t="s">
        <v>692</v>
      </c>
      <c r="Q160" s="173">
        <v>3</v>
      </c>
      <c r="R160" s="177">
        <v>3.66</v>
      </c>
      <c r="S160" s="176">
        <f t="shared" si="83"/>
        <v>0.4758</v>
      </c>
      <c r="T160" s="370"/>
      <c r="U160" s="176">
        <f t="shared" si="68"/>
        <v>0</v>
      </c>
      <c r="V160" s="175">
        <f>R160*T160*$D$8/100</f>
        <v>0</v>
      </c>
      <c r="W160" s="170"/>
      <c r="X160" s="179">
        <v>0.13</v>
      </c>
      <c r="Y160" s="216">
        <f t="shared" si="69"/>
        <v>0.4758</v>
      </c>
      <c r="Z160" s="216">
        <f t="shared" si="70"/>
        <v>4.1357999999999997</v>
      </c>
      <c r="AA160" s="180">
        <f t="shared" si="71"/>
        <v>9677772</v>
      </c>
      <c r="AB160" s="180"/>
      <c r="AC160" s="180">
        <f t="shared" si="72"/>
        <v>0</v>
      </c>
      <c r="AD160" s="180">
        <f t="shared" si="64"/>
        <v>0</v>
      </c>
      <c r="AE160" s="180">
        <f t="shared" si="73"/>
        <v>9677772</v>
      </c>
      <c r="AF160" s="178">
        <f t="shared" si="74"/>
        <v>774221.76</v>
      </c>
      <c r="AG160" s="178">
        <f t="shared" si="75"/>
        <v>145166.57999999999</v>
      </c>
      <c r="AH160" s="178">
        <f t="shared" si="76"/>
        <v>96777.72</v>
      </c>
      <c r="AI160" s="178"/>
      <c r="AJ160" s="178">
        <f t="shared" si="77"/>
        <v>1016166.0599999999</v>
      </c>
      <c r="AK160" s="192"/>
      <c r="AL160" s="535">
        <f t="shared" si="82"/>
        <v>0</v>
      </c>
      <c r="AM160" s="182"/>
      <c r="AN160" s="182"/>
      <c r="AO160" s="193">
        <f t="shared" si="65"/>
        <v>3.66</v>
      </c>
      <c r="AP160" s="246">
        <v>0.25</v>
      </c>
      <c r="AQ160" s="194">
        <f t="shared" si="78"/>
        <v>0.91500000000000004</v>
      </c>
      <c r="AR160" s="178">
        <f t="shared" si="79"/>
        <v>2141100</v>
      </c>
      <c r="AS160" s="178"/>
      <c r="AT160" s="178">
        <f t="shared" si="80"/>
        <v>10802706</v>
      </c>
      <c r="AU160" s="469">
        <f t="shared" si="81"/>
        <v>142</v>
      </c>
      <c r="AV160" s="195"/>
      <c r="AW160" s="198" t="s">
        <v>708</v>
      </c>
    </row>
    <row r="161" spans="1:49" s="189" customFormat="1" ht="30.75" customHeight="1" x14ac:dyDescent="0.25">
      <c r="A161" s="168">
        <f>_xlfn.AGGREGATE(4,7,A$13:A160)+1</f>
        <v>143</v>
      </c>
      <c r="B161" s="168" t="str">
        <f>VLOOKUP(D161,[1]LuongBC_T01!$B$9:$C$292,2,FALSE)</f>
        <v>0016100006631007</v>
      </c>
      <c r="C161" s="199" t="s">
        <v>1007</v>
      </c>
      <c r="D161" s="230" t="s">
        <v>559</v>
      </c>
      <c r="E161" s="263" t="s">
        <v>1373</v>
      </c>
      <c r="F161" s="231"/>
      <c r="G161" s="251" t="s">
        <v>25</v>
      </c>
      <c r="H161" s="231"/>
      <c r="I161" s="231"/>
      <c r="J161" s="231"/>
      <c r="K161" s="170" t="str">
        <f>VLOOKUP(D161,[2]T3!$B$2:$D$328,3,FALSE)</f>
        <v>025695766</v>
      </c>
      <c r="L161" s="378">
        <v>1603205353742</v>
      </c>
      <c r="M161" s="378" t="s">
        <v>1007</v>
      </c>
      <c r="N161" s="263" t="str">
        <f>VLOOKUP(D161,'[6]Bao cao So GDDT'!$D$14:$S$282,11,FALSE)</f>
        <v>Giảng viên GDNN LT (hạng III)</v>
      </c>
      <c r="O161" s="390" t="s">
        <v>1438</v>
      </c>
      <c r="P161" s="170" t="s">
        <v>692</v>
      </c>
      <c r="Q161" s="170">
        <v>2</v>
      </c>
      <c r="R161" s="177">
        <v>3.33</v>
      </c>
      <c r="S161" s="176">
        <f t="shared" si="83"/>
        <v>0.36630000000000001</v>
      </c>
      <c r="T161" s="169"/>
      <c r="U161" s="176">
        <f t="shared" si="68"/>
        <v>0</v>
      </c>
      <c r="V161" s="175">
        <f>R161*T161*$D$8/100</f>
        <v>0</v>
      </c>
      <c r="W161" s="170"/>
      <c r="X161" s="179">
        <v>0.11</v>
      </c>
      <c r="Y161" s="216">
        <f t="shared" si="69"/>
        <v>0.36630000000000001</v>
      </c>
      <c r="Z161" s="216">
        <f t="shared" si="70"/>
        <v>3.6962999999999999</v>
      </c>
      <c r="AA161" s="180">
        <f t="shared" si="71"/>
        <v>8649342</v>
      </c>
      <c r="AB161" s="180"/>
      <c r="AC161" s="180">
        <f t="shared" si="72"/>
        <v>0</v>
      </c>
      <c r="AD161" s="180">
        <v>0</v>
      </c>
      <c r="AE161" s="180">
        <f t="shared" si="73"/>
        <v>8649342</v>
      </c>
      <c r="AF161" s="178">
        <f t="shared" si="74"/>
        <v>691947.36</v>
      </c>
      <c r="AG161" s="178">
        <f t="shared" si="75"/>
        <v>129740.12999999999</v>
      </c>
      <c r="AH161" s="178">
        <f t="shared" si="76"/>
        <v>86493.42</v>
      </c>
      <c r="AI161" s="178"/>
      <c r="AJ161" s="178">
        <f t="shared" si="77"/>
        <v>908180.91</v>
      </c>
      <c r="AK161" s="192"/>
      <c r="AL161" s="535">
        <f t="shared" si="82"/>
        <v>0</v>
      </c>
      <c r="AM161" s="182"/>
      <c r="AN161" s="182"/>
      <c r="AO161" s="183">
        <f t="shared" si="65"/>
        <v>3.33</v>
      </c>
      <c r="AP161" s="246">
        <v>0.25</v>
      </c>
      <c r="AQ161" s="194">
        <f t="shared" si="78"/>
        <v>0.83250000000000002</v>
      </c>
      <c r="AR161" s="178">
        <f t="shared" si="79"/>
        <v>1948050</v>
      </c>
      <c r="AS161" s="178"/>
      <c r="AT161" s="178">
        <f t="shared" si="80"/>
        <v>9689211</v>
      </c>
      <c r="AU161" s="469">
        <f t="shared" si="81"/>
        <v>143</v>
      </c>
      <c r="AV161" s="195"/>
      <c r="AW161" s="198" t="s">
        <v>708</v>
      </c>
    </row>
    <row r="162" spans="1:49" s="189" customFormat="1" ht="51" customHeight="1" x14ac:dyDescent="0.25">
      <c r="A162" s="1014">
        <f>_xlfn.AGGREGATE(4,7,A$13:A161)+1</f>
        <v>144</v>
      </c>
      <c r="B162" s="1014" t="str">
        <f>VLOOKUP(D162,[1]LuongBC_T01!$B$9:$C$292,2,FALSE)</f>
        <v>0016100006573007</v>
      </c>
      <c r="C162" s="1015" t="s">
        <v>1016</v>
      </c>
      <c r="D162" s="1016" t="s">
        <v>750</v>
      </c>
      <c r="E162" s="1017" t="s">
        <v>1373</v>
      </c>
      <c r="F162" s="1018"/>
      <c r="G162" s="1019" t="s">
        <v>25</v>
      </c>
      <c r="H162" s="1018"/>
      <c r="I162" s="1018"/>
      <c r="J162" s="1018"/>
      <c r="K162" s="1020" t="str">
        <f>VLOOKUP(D162,[2]T3!$B$2:$D$328,3,FALSE)</f>
        <v>025537038</v>
      </c>
      <c r="L162" s="1021" t="s">
        <v>757</v>
      </c>
      <c r="M162" s="1021" t="s">
        <v>1016</v>
      </c>
      <c r="N162" s="1017" t="str">
        <f>VLOOKUP(D162,'[6]Bao cao So GDDT'!$D$14:$S$282,11,FALSE)</f>
        <v>Giảng viên GDNN LT (hạng III)</v>
      </c>
      <c r="O162" s="1022" t="s">
        <v>1438</v>
      </c>
      <c r="P162" s="1020" t="s">
        <v>692</v>
      </c>
      <c r="Q162" s="1020">
        <v>2</v>
      </c>
      <c r="R162" s="1023">
        <v>3.33</v>
      </c>
      <c r="S162" s="1024">
        <f t="shared" si="83"/>
        <v>0.29970000000000002</v>
      </c>
      <c r="T162" s="1025"/>
      <c r="U162" s="1024">
        <f t="shared" si="68"/>
        <v>0</v>
      </c>
      <c r="V162" s="1026"/>
      <c r="W162" s="1020"/>
      <c r="X162" s="1027">
        <v>0.09</v>
      </c>
      <c r="Y162" s="1028">
        <f t="shared" si="69"/>
        <v>0.29970000000000002</v>
      </c>
      <c r="Z162" s="1028">
        <f t="shared" si="70"/>
        <v>3.6297000000000001</v>
      </c>
      <c r="AA162" s="1029">
        <f t="shared" si="71"/>
        <v>8493498</v>
      </c>
      <c r="AB162" s="1029">
        <v>24</v>
      </c>
      <c r="AC162" s="1029">
        <f t="shared" si="72"/>
        <v>8493498</v>
      </c>
      <c r="AD162" s="1029"/>
      <c r="AE162" s="1029">
        <f t="shared" si="73"/>
        <v>0</v>
      </c>
      <c r="AF162" s="1030"/>
      <c r="AG162" s="1030"/>
      <c r="AH162" s="1030"/>
      <c r="AI162" s="1030"/>
      <c r="AJ162" s="1030">
        <f t="shared" si="77"/>
        <v>0</v>
      </c>
      <c r="AK162" s="1031"/>
      <c r="AL162" s="1032">
        <f t="shared" si="82"/>
        <v>0</v>
      </c>
      <c r="AM162" s="1033"/>
      <c r="AN162" s="1033"/>
      <c r="AO162" s="1034">
        <f t="shared" si="65"/>
        <v>3.33</v>
      </c>
      <c r="AP162" s="1035">
        <v>0.25</v>
      </c>
      <c r="AQ162" s="1036"/>
      <c r="AR162" s="1030">
        <f t="shared" si="79"/>
        <v>0</v>
      </c>
      <c r="AS162" s="1030"/>
      <c r="AT162" s="1030">
        <f t="shared" si="80"/>
        <v>0</v>
      </c>
      <c r="AU162" s="1037">
        <f t="shared" si="81"/>
        <v>144</v>
      </c>
      <c r="AV162" s="1038" t="s">
        <v>1677</v>
      </c>
      <c r="AW162" s="196">
        <f>AT258/20</f>
        <v>528637.6</v>
      </c>
    </row>
    <row r="163" spans="1:49" s="189" customFormat="1" ht="30.75" customHeight="1" x14ac:dyDescent="0.25">
      <c r="A163" s="168">
        <f>_xlfn.AGGREGATE(4,7,A$13:A162)+1</f>
        <v>145</v>
      </c>
      <c r="B163" s="168" t="str">
        <f>VLOOKUP(D163,[1]LuongBC_T01!$B$9:$C$292,2,FALSE)</f>
        <v>0016100006570008</v>
      </c>
      <c r="C163" s="997" t="s">
        <v>1314</v>
      </c>
      <c r="D163" s="169" t="s">
        <v>1134</v>
      </c>
      <c r="E163" s="263" t="s">
        <v>1373</v>
      </c>
      <c r="F163" s="220"/>
      <c r="G163" s="220"/>
      <c r="H163" s="220"/>
      <c r="I163" s="220"/>
      <c r="J163" s="220"/>
      <c r="K163" s="170">
        <f>VLOOKUP(D163,[2]T3!$B$2:$D$328,3,FALSE)</f>
        <v>381574642</v>
      </c>
      <c r="L163" s="220"/>
      <c r="M163" s="170"/>
      <c r="N163" s="263" t="str">
        <f>VLOOKUP(D163,'[6]Bao cao So GDDT'!$D$14:$S$282,11,FALSE)</f>
        <v>Giảng viên GDNN LT (hạng III)</v>
      </c>
      <c r="O163" s="390" t="s">
        <v>1438</v>
      </c>
      <c r="P163" s="251"/>
      <c r="Q163" s="251">
        <v>2</v>
      </c>
      <c r="R163" s="177">
        <v>3.33</v>
      </c>
      <c r="S163" s="176"/>
      <c r="T163" s="220"/>
      <c r="U163" s="176">
        <f t="shared" si="68"/>
        <v>0</v>
      </c>
      <c r="V163" s="175"/>
      <c r="W163" s="170"/>
      <c r="X163" s="179">
        <v>0.06</v>
      </c>
      <c r="Y163" s="216">
        <f t="shared" si="69"/>
        <v>0.19980000000000001</v>
      </c>
      <c r="Z163" s="216">
        <f t="shared" si="70"/>
        <v>3.5298000000000003</v>
      </c>
      <c r="AA163" s="180">
        <f t="shared" si="71"/>
        <v>8259732</v>
      </c>
      <c r="AB163" s="180"/>
      <c r="AC163" s="180">
        <f t="shared" si="72"/>
        <v>0</v>
      </c>
      <c r="AD163" s="180">
        <f>AA163/24*AB163*75%</f>
        <v>0</v>
      </c>
      <c r="AE163" s="180">
        <f t="shared" si="73"/>
        <v>8259732</v>
      </c>
      <c r="AF163" s="178">
        <f t="shared" si="74"/>
        <v>660778.56000000006</v>
      </c>
      <c r="AG163" s="178">
        <f t="shared" si="75"/>
        <v>123895.98</v>
      </c>
      <c r="AH163" s="178">
        <f t="shared" si="76"/>
        <v>82597.320000000007</v>
      </c>
      <c r="AI163" s="178"/>
      <c r="AJ163" s="178">
        <f t="shared" si="77"/>
        <v>867271.8600000001</v>
      </c>
      <c r="AK163" s="192"/>
      <c r="AL163" s="535">
        <f t="shared" si="82"/>
        <v>0</v>
      </c>
      <c r="AM163" s="182"/>
      <c r="AN163" s="182"/>
      <c r="AO163" s="183">
        <f t="shared" si="65"/>
        <v>3.33</v>
      </c>
      <c r="AP163" s="246">
        <v>0.25</v>
      </c>
      <c r="AQ163" s="185">
        <f t="shared" si="78"/>
        <v>0.83250000000000002</v>
      </c>
      <c r="AR163" s="178">
        <f t="shared" si="79"/>
        <v>1948050</v>
      </c>
      <c r="AS163" s="178"/>
      <c r="AT163" s="178">
        <f t="shared" si="80"/>
        <v>9340510</v>
      </c>
      <c r="AU163" s="469">
        <f t="shared" si="81"/>
        <v>145</v>
      </c>
      <c r="AV163" s="195"/>
      <c r="AW163" s="485" t="s">
        <v>1139</v>
      </c>
    </row>
    <row r="164" spans="1:49" s="189" customFormat="1" ht="30.75" customHeight="1" x14ac:dyDescent="0.25">
      <c r="A164" s="168">
        <f>_xlfn.AGGREGATE(4,7,A$13:A163)+1</f>
        <v>146</v>
      </c>
      <c r="B164" s="168" t="str">
        <f>VLOOKUP(D164,[1]LuongBC_T01!$B$9:$C$292,2,FALSE)</f>
        <v>0016100007787008</v>
      </c>
      <c r="C164" s="170" t="s">
        <v>1324</v>
      </c>
      <c r="D164" s="169" t="s">
        <v>1291</v>
      </c>
      <c r="E164" s="263" t="s">
        <v>1408</v>
      </c>
      <c r="F164" s="220"/>
      <c r="G164" s="220"/>
      <c r="H164" s="220"/>
      <c r="I164" s="220"/>
      <c r="J164" s="220"/>
      <c r="K164" s="170" t="str">
        <f>VLOOKUP(D164,[2]T3!$B$2:$D$328,3,FALSE)</f>
        <v>024058374</v>
      </c>
      <c r="L164" s="220"/>
      <c r="M164" s="170"/>
      <c r="N164" s="263" t="str">
        <f>VLOOKUP(D164,'[6]Bao cao So GDDT'!$D$14:$S$282,11,FALSE)</f>
        <v>Giảng viên GDNN LT (hạng III)</v>
      </c>
      <c r="O164" s="390" t="s">
        <v>1438</v>
      </c>
      <c r="P164" s="251"/>
      <c r="Q164" s="251"/>
      <c r="R164" s="177">
        <v>3</v>
      </c>
      <c r="S164" s="176"/>
      <c r="T164" s="220"/>
      <c r="U164" s="176">
        <f t="shared" si="68"/>
        <v>0</v>
      </c>
      <c r="V164" s="175"/>
      <c r="W164" s="170"/>
      <c r="X164" s="179">
        <v>0.05</v>
      </c>
      <c r="Y164" s="216">
        <f t="shared" si="69"/>
        <v>0.15</v>
      </c>
      <c r="Z164" s="216">
        <f t="shared" si="70"/>
        <v>3.15</v>
      </c>
      <c r="AA164" s="180">
        <f t="shared" si="71"/>
        <v>7371000</v>
      </c>
      <c r="AB164" s="180"/>
      <c r="AC164" s="180">
        <f t="shared" si="72"/>
        <v>0</v>
      </c>
      <c r="AD164" s="180">
        <f>AA164/24*AB164*75%</f>
        <v>0</v>
      </c>
      <c r="AE164" s="180">
        <f t="shared" si="73"/>
        <v>7371000</v>
      </c>
      <c r="AF164" s="178">
        <f t="shared" si="74"/>
        <v>589680</v>
      </c>
      <c r="AG164" s="178">
        <f t="shared" si="75"/>
        <v>110565</v>
      </c>
      <c r="AH164" s="178">
        <f t="shared" si="76"/>
        <v>73710</v>
      </c>
      <c r="AI164" s="178"/>
      <c r="AJ164" s="178">
        <f t="shared" si="77"/>
        <v>773955</v>
      </c>
      <c r="AK164" s="192"/>
      <c r="AL164" s="535">
        <f t="shared" si="82"/>
        <v>0</v>
      </c>
      <c r="AM164" s="182"/>
      <c r="AN164" s="182"/>
      <c r="AO164" s="183">
        <f t="shared" si="65"/>
        <v>3</v>
      </c>
      <c r="AP164" s="246">
        <v>0.25</v>
      </c>
      <c r="AQ164" s="185">
        <f t="shared" si="78"/>
        <v>0.75</v>
      </c>
      <c r="AR164" s="178">
        <f t="shared" si="79"/>
        <v>1755000</v>
      </c>
      <c r="AS164" s="178"/>
      <c r="AT164" s="178">
        <f t="shared" si="80"/>
        <v>8352045</v>
      </c>
      <c r="AU164" s="469">
        <f t="shared" si="81"/>
        <v>146</v>
      </c>
      <c r="AV164" s="195"/>
      <c r="AW164" s="485"/>
    </row>
    <row r="165" spans="1:49" s="189" customFormat="1" ht="30.75" customHeight="1" x14ac:dyDescent="0.25">
      <c r="A165" s="168">
        <f>_xlfn.AGGREGATE(4,7,A$13:A164)+1</f>
        <v>147</v>
      </c>
      <c r="B165" s="168" t="str">
        <f>VLOOKUP(D165,[1]LuongBC_T01!$B$9:$C$292,2,FALSE)</f>
        <v>0016100006572008</v>
      </c>
      <c r="C165" s="371" t="s">
        <v>1053</v>
      </c>
      <c r="D165" s="230" t="s">
        <v>1233</v>
      </c>
      <c r="E165" s="263" t="s">
        <v>1373</v>
      </c>
      <c r="F165" s="231"/>
      <c r="G165" s="251" t="s">
        <v>25</v>
      </c>
      <c r="H165" s="231"/>
      <c r="I165" s="231"/>
      <c r="J165" s="231"/>
      <c r="K165" s="170" t="str">
        <f>VLOOKUP(D165,[2]T3!$B$2:$D$328,3,FALSE)</f>
        <v>025121375</v>
      </c>
      <c r="L165" s="378">
        <v>1603205357136</v>
      </c>
      <c r="M165" s="378" t="s">
        <v>1053</v>
      </c>
      <c r="N165" s="263" t="str">
        <f>VLOOKUP(D165,'[6]Bao cao So GDDT'!$D$14:$S$282,11,FALSE)</f>
        <v>Giảng viên GDNN LT (hạng III)</v>
      </c>
      <c r="O165" s="390" t="s">
        <v>1438</v>
      </c>
      <c r="P165" s="170" t="s">
        <v>692</v>
      </c>
      <c r="Q165" s="170">
        <v>2</v>
      </c>
      <c r="R165" s="177">
        <v>3.66</v>
      </c>
      <c r="S165" s="176">
        <f t="shared" ref="S165:S212" si="84">U165+W165+Y165</f>
        <v>0.40260000000000001</v>
      </c>
      <c r="T165" s="169"/>
      <c r="U165" s="176">
        <f t="shared" si="68"/>
        <v>0</v>
      </c>
      <c r="V165" s="175">
        <f t="shared" ref="V165:V180" si="85">R165*T165*$D$8/100</f>
        <v>0</v>
      </c>
      <c r="W165" s="170"/>
      <c r="X165" s="179">
        <v>0.11</v>
      </c>
      <c r="Y165" s="216">
        <f t="shared" si="69"/>
        <v>0.40260000000000001</v>
      </c>
      <c r="Z165" s="216">
        <f t="shared" si="70"/>
        <v>4.0625999999999998</v>
      </c>
      <c r="AA165" s="180">
        <f t="shared" si="71"/>
        <v>9506484</v>
      </c>
      <c r="AB165" s="180"/>
      <c r="AC165" s="180">
        <f t="shared" si="72"/>
        <v>0</v>
      </c>
      <c r="AD165" s="180">
        <f>AA165/24*AB165*75%</f>
        <v>0</v>
      </c>
      <c r="AE165" s="180">
        <f t="shared" si="73"/>
        <v>9506484</v>
      </c>
      <c r="AF165" s="178">
        <f t="shared" si="74"/>
        <v>760518.72</v>
      </c>
      <c r="AG165" s="178">
        <f t="shared" si="75"/>
        <v>142597.25999999998</v>
      </c>
      <c r="AH165" s="178">
        <f t="shared" si="76"/>
        <v>95064.84</v>
      </c>
      <c r="AI165" s="178"/>
      <c r="AJ165" s="178">
        <f t="shared" si="77"/>
        <v>998180.82</v>
      </c>
      <c r="AK165" s="192"/>
      <c r="AL165" s="535">
        <f t="shared" si="82"/>
        <v>0</v>
      </c>
      <c r="AM165" s="182"/>
      <c r="AN165" s="182"/>
      <c r="AO165" s="183">
        <f t="shared" si="65"/>
        <v>3.66</v>
      </c>
      <c r="AP165" s="246">
        <v>0.25</v>
      </c>
      <c r="AQ165" s="194">
        <f t="shared" si="78"/>
        <v>0.91500000000000004</v>
      </c>
      <c r="AR165" s="178">
        <f t="shared" si="79"/>
        <v>2141100</v>
      </c>
      <c r="AS165" s="178"/>
      <c r="AT165" s="178">
        <f t="shared" si="80"/>
        <v>10649403</v>
      </c>
      <c r="AU165" s="469">
        <f t="shared" si="81"/>
        <v>147</v>
      </c>
      <c r="AV165" s="186"/>
      <c r="AW165" s="198" t="s">
        <v>708</v>
      </c>
    </row>
    <row r="166" spans="1:49" s="191" customFormat="1" ht="30.75" customHeight="1" x14ac:dyDescent="0.25">
      <c r="A166" s="168">
        <f>_xlfn.AGGREGATE(4,7,A$13:A165)+1</f>
        <v>148</v>
      </c>
      <c r="B166" s="168" t="str">
        <f>VLOOKUP(D166,[1]LuongBC_T01!$B$9:$C$292,2,FALSE)</f>
        <v>0016100006619007</v>
      </c>
      <c r="C166" s="199" t="s">
        <v>959</v>
      </c>
      <c r="D166" s="169" t="s">
        <v>1208</v>
      </c>
      <c r="E166" s="263" t="s">
        <v>1552</v>
      </c>
      <c r="F166" s="169" t="s">
        <v>549</v>
      </c>
      <c r="G166" s="170"/>
      <c r="H166" s="170" t="s">
        <v>283</v>
      </c>
      <c r="I166" s="200" t="s">
        <v>283</v>
      </c>
      <c r="J166" s="220" t="s">
        <v>257</v>
      </c>
      <c r="K166" s="168" t="s">
        <v>1366</v>
      </c>
      <c r="L166" s="171" t="s">
        <v>121</v>
      </c>
      <c r="M166" s="171" t="s">
        <v>959</v>
      </c>
      <c r="N166" s="263" t="str">
        <f>VLOOKUP(D166,'[6]Bao cao So GDDT'!$D$14:$S$282,11,FALSE)</f>
        <v>Giảng viên
(hạng III)</v>
      </c>
      <c r="O166" s="390" t="s">
        <v>807</v>
      </c>
      <c r="P166" s="172" t="s">
        <v>692</v>
      </c>
      <c r="Q166" s="173">
        <v>4</v>
      </c>
      <c r="R166" s="174">
        <v>4.32</v>
      </c>
      <c r="S166" s="176">
        <f t="shared" si="84"/>
        <v>1.4839</v>
      </c>
      <c r="T166" s="370"/>
      <c r="U166" s="176">
        <f t="shared" si="68"/>
        <v>0</v>
      </c>
      <c r="V166" s="175">
        <f t="shared" si="85"/>
        <v>0</v>
      </c>
      <c r="W166" s="170">
        <f>0.25</f>
        <v>0.25</v>
      </c>
      <c r="X166" s="179">
        <v>0.27</v>
      </c>
      <c r="Y166" s="216">
        <f t="shared" si="69"/>
        <v>1.2339</v>
      </c>
      <c r="Z166" s="216">
        <f t="shared" si="70"/>
        <v>5.8039000000000005</v>
      </c>
      <c r="AA166" s="180">
        <f t="shared" si="71"/>
        <v>13581126</v>
      </c>
      <c r="AB166" s="180"/>
      <c r="AC166" s="180">
        <f t="shared" si="72"/>
        <v>0</v>
      </c>
      <c r="AD166" s="180">
        <f>AA166/24*AB166*75%</f>
        <v>0</v>
      </c>
      <c r="AE166" s="180">
        <f t="shared" si="73"/>
        <v>13581126</v>
      </c>
      <c r="AF166" s="178">
        <f t="shared" si="74"/>
        <v>1086490.08</v>
      </c>
      <c r="AG166" s="178">
        <f t="shared" si="75"/>
        <v>203716.88999999998</v>
      </c>
      <c r="AH166" s="178">
        <f t="shared" si="76"/>
        <v>135811.26</v>
      </c>
      <c r="AI166" s="178"/>
      <c r="AJ166" s="178">
        <f t="shared" si="77"/>
        <v>1426018.23</v>
      </c>
      <c r="AK166" s="192"/>
      <c r="AL166" s="535">
        <f t="shared" si="82"/>
        <v>0</v>
      </c>
      <c r="AM166" s="182"/>
      <c r="AN166" s="182"/>
      <c r="AO166" s="193">
        <f t="shared" si="65"/>
        <v>4.57</v>
      </c>
      <c r="AP166" s="246">
        <v>0.25</v>
      </c>
      <c r="AQ166" s="194">
        <f t="shared" si="78"/>
        <v>1.1425000000000001</v>
      </c>
      <c r="AR166" s="178">
        <f t="shared" si="79"/>
        <v>2673450</v>
      </c>
      <c r="AS166" s="178"/>
      <c r="AT166" s="178">
        <f t="shared" si="80"/>
        <v>14828558</v>
      </c>
      <c r="AU166" s="469">
        <f t="shared" si="81"/>
        <v>148</v>
      </c>
      <c r="AV166" s="195"/>
      <c r="AW166" s="198" t="s">
        <v>710</v>
      </c>
    </row>
    <row r="167" spans="1:49" s="189" customFormat="1" ht="30.75" customHeight="1" x14ac:dyDescent="0.25">
      <c r="A167" s="681">
        <f>_xlfn.AGGREGATE(4,7,A$13:A166)+1</f>
        <v>149</v>
      </c>
      <c r="B167" s="681" t="str">
        <f>VLOOKUP(D167,[1]LuongBC_T01!$B$9:$C$292,2,FALSE)</f>
        <v>0016100006684003</v>
      </c>
      <c r="C167" s="702" t="s">
        <v>1080</v>
      </c>
      <c r="D167" s="682" t="s">
        <v>1235</v>
      </c>
      <c r="E167" s="683" t="s">
        <v>1094</v>
      </c>
      <c r="F167" s="682" t="s">
        <v>549</v>
      </c>
      <c r="G167" s="684"/>
      <c r="H167" s="684"/>
      <c r="I167" s="704" t="s">
        <v>283</v>
      </c>
      <c r="J167" s="715" t="s">
        <v>264</v>
      </c>
      <c r="K167" s="684" t="str">
        <f>VLOOKUP(D167,[2]T3!$B$2:$D$328,3,FALSE)</f>
        <v>024345241</v>
      </c>
      <c r="L167" s="699" t="s">
        <v>132</v>
      </c>
      <c r="M167" s="699" t="s">
        <v>1080</v>
      </c>
      <c r="N167" s="683" t="str">
        <f>VLOOKUP(D167,'[6]Bao cao So GDDT'!$D$14:$S$282,11,FALSE)</f>
        <v>Giảng viên
(hạng III)</v>
      </c>
      <c r="O167" s="683" t="s">
        <v>807</v>
      </c>
      <c r="P167" s="686" t="s">
        <v>692</v>
      </c>
      <c r="Q167" s="687">
        <v>5</v>
      </c>
      <c r="R167" s="688">
        <v>4.32</v>
      </c>
      <c r="S167" s="689">
        <f t="shared" si="84"/>
        <v>0.90720000000000001</v>
      </c>
      <c r="T167" s="690"/>
      <c r="U167" s="689">
        <f t="shared" si="68"/>
        <v>0</v>
      </c>
      <c r="V167" s="691">
        <f t="shared" si="85"/>
        <v>0</v>
      </c>
      <c r="W167" s="684"/>
      <c r="X167" s="692">
        <v>0.21</v>
      </c>
      <c r="Y167" s="693">
        <f t="shared" si="69"/>
        <v>0.90720000000000001</v>
      </c>
      <c r="Z167" s="693">
        <f t="shared" si="70"/>
        <v>5.2271999999999998</v>
      </c>
      <c r="AA167" s="694">
        <f t="shared" si="71"/>
        <v>12231648</v>
      </c>
      <c r="AB167" s="694"/>
      <c r="AC167" s="694">
        <f t="shared" si="72"/>
        <v>0</v>
      </c>
      <c r="AD167" s="694">
        <v>0</v>
      </c>
      <c r="AE167" s="694">
        <f t="shared" si="73"/>
        <v>12231648</v>
      </c>
      <c r="AF167" s="695">
        <f t="shared" si="74"/>
        <v>978531.83999999997</v>
      </c>
      <c r="AG167" s="695">
        <f t="shared" si="75"/>
        <v>183474.72</v>
      </c>
      <c r="AH167" s="695">
        <f t="shared" si="76"/>
        <v>122316.48</v>
      </c>
      <c r="AI167" s="695"/>
      <c r="AJ167" s="695">
        <f t="shared" si="77"/>
        <v>1284323.04</v>
      </c>
      <c r="AK167" s="700"/>
      <c r="AL167" s="939">
        <f t="shared" si="82"/>
        <v>0</v>
      </c>
      <c r="AM167" s="696"/>
      <c r="AN167" s="696"/>
      <c r="AO167" s="705">
        <f t="shared" si="65"/>
        <v>4.32</v>
      </c>
      <c r="AP167" s="701">
        <v>0.25</v>
      </c>
      <c r="AQ167" s="703">
        <f t="shared" si="78"/>
        <v>1.08</v>
      </c>
      <c r="AR167" s="695">
        <f t="shared" si="79"/>
        <v>2527200</v>
      </c>
      <c r="AS167" s="695"/>
      <c r="AT167" s="695">
        <f t="shared" si="80"/>
        <v>13474525</v>
      </c>
      <c r="AU167" s="697">
        <f t="shared" si="81"/>
        <v>149</v>
      </c>
      <c r="AV167" s="698"/>
      <c r="AW167" s="198"/>
    </row>
    <row r="168" spans="1:49" s="189" customFormat="1" ht="30.75" customHeight="1" x14ac:dyDescent="0.25">
      <c r="A168" s="168">
        <f>_xlfn.AGGREGATE(4,7,A$13:A167)+1</f>
        <v>150</v>
      </c>
      <c r="B168" s="168" t="str">
        <f>VLOOKUP(D168,[1]LuongBC_T01!$B$9:$C$292,2,FALSE)</f>
        <v>0016100006701005</v>
      </c>
      <c r="C168" s="199" t="s">
        <v>955</v>
      </c>
      <c r="D168" s="169" t="s">
        <v>313</v>
      </c>
      <c r="E168" s="263" t="s">
        <v>1094</v>
      </c>
      <c r="F168" s="169" t="s">
        <v>549</v>
      </c>
      <c r="G168" s="200"/>
      <c r="H168" s="170" t="s">
        <v>283</v>
      </c>
      <c r="I168" s="200" t="s">
        <v>283</v>
      </c>
      <c r="J168" s="169" t="s">
        <v>541</v>
      </c>
      <c r="K168" s="170" t="str">
        <f>VLOOKUP(D168,[2]T3!$B$2:$D$328,3,FALSE)</f>
        <v>024960154</v>
      </c>
      <c r="L168" s="171" t="s">
        <v>326</v>
      </c>
      <c r="M168" s="171" t="s">
        <v>955</v>
      </c>
      <c r="N168" s="263" t="str">
        <f>VLOOKUP(D168,'[6]Bao cao So GDDT'!$D$14:$S$282,11,FALSE)</f>
        <v>Giảng viên
(hạng III)</v>
      </c>
      <c r="O168" s="390" t="s">
        <v>807</v>
      </c>
      <c r="P168" s="172" t="s">
        <v>692</v>
      </c>
      <c r="Q168" s="173">
        <v>5</v>
      </c>
      <c r="R168" s="174">
        <v>4.32</v>
      </c>
      <c r="S168" s="176">
        <f t="shared" si="84"/>
        <v>0.95040000000000002</v>
      </c>
      <c r="T168" s="370"/>
      <c r="U168" s="176">
        <f t="shared" si="68"/>
        <v>0</v>
      </c>
      <c r="V168" s="175">
        <f t="shared" si="85"/>
        <v>0</v>
      </c>
      <c r="W168" s="170"/>
      <c r="X168" s="179">
        <v>0.22</v>
      </c>
      <c r="Y168" s="216">
        <f t="shared" si="69"/>
        <v>0.95040000000000002</v>
      </c>
      <c r="Z168" s="216">
        <f t="shared" si="70"/>
        <v>5.2704000000000004</v>
      </c>
      <c r="AA168" s="180">
        <f t="shared" si="71"/>
        <v>12332736</v>
      </c>
      <c r="AB168" s="180"/>
      <c r="AC168" s="180">
        <f t="shared" si="72"/>
        <v>0</v>
      </c>
      <c r="AD168" s="180">
        <f t="shared" ref="AD168:AD176" si="86">AA168/24*AB168*75%</f>
        <v>0</v>
      </c>
      <c r="AE168" s="180">
        <f t="shared" si="73"/>
        <v>12332736</v>
      </c>
      <c r="AF168" s="178">
        <f t="shared" si="74"/>
        <v>986618.88</v>
      </c>
      <c r="AG168" s="178">
        <f t="shared" si="75"/>
        <v>184991.03999999998</v>
      </c>
      <c r="AH168" s="178">
        <f t="shared" si="76"/>
        <v>123327.36</v>
      </c>
      <c r="AI168" s="178"/>
      <c r="AJ168" s="178">
        <f t="shared" si="77"/>
        <v>1294937.28</v>
      </c>
      <c r="AK168" s="192"/>
      <c r="AL168" s="535">
        <f t="shared" si="82"/>
        <v>0</v>
      </c>
      <c r="AM168" s="182"/>
      <c r="AN168" s="182"/>
      <c r="AO168" s="193">
        <f t="shared" si="65"/>
        <v>4.32</v>
      </c>
      <c r="AP168" s="246">
        <v>0.25</v>
      </c>
      <c r="AQ168" s="194">
        <f t="shared" si="78"/>
        <v>1.08</v>
      </c>
      <c r="AR168" s="178">
        <f t="shared" si="79"/>
        <v>2527200</v>
      </c>
      <c r="AS168" s="178"/>
      <c r="AT168" s="178">
        <f t="shared" si="80"/>
        <v>13564999</v>
      </c>
      <c r="AU168" s="469">
        <f t="shared" si="81"/>
        <v>150</v>
      </c>
      <c r="AV168" s="195"/>
      <c r="AW168" s="187" t="s">
        <v>710</v>
      </c>
    </row>
    <row r="169" spans="1:49" s="191" customFormat="1" ht="30.75" customHeight="1" x14ac:dyDescent="0.25">
      <c r="A169" s="168">
        <f>_xlfn.AGGREGATE(4,7,A$13:A168)+1</f>
        <v>151</v>
      </c>
      <c r="B169" s="168" t="str">
        <f>VLOOKUP(D169,[1]LuongBC_T01!$B$9:$C$292,2,FALSE)</f>
        <v>0016100006775009</v>
      </c>
      <c r="C169" s="199" t="s">
        <v>958</v>
      </c>
      <c r="D169" s="169" t="s">
        <v>1220</v>
      </c>
      <c r="E169" s="263" t="s">
        <v>1094</v>
      </c>
      <c r="F169" s="169" t="s">
        <v>550</v>
      </c>
      <c r="G169" s="170" t="s">
        <v>25</v>
      </c>
      <c r="H169" s="170" t="s">
        <v>283</v>
      </c>
      <c r="I169" s="170" t="s">
        <v>283</v>
      </c>
      <c r="J169" s="169" t="s">
        <v>256</v>
      </c>
      <c r="K169" s="170" t="str">
        <f>VLOOKUP(D169,[2]T3!$B$2:$D$328,3,FALSE)</f>
        <v>023621571</v>
      </c>
      <c r="L169" s="171" t="s">
        <v>165</v>
      </c>
      <c r="M169" s="171" t="s">
        <v>958</v>
      </c>
      <c r="N169" s="263" t="str">
        <f>VLOOKUP(D169,'[6]Bao cao So GDDT'!$D$14:$S$282,11,FALSE)</f>
        <v>Giảng viên
(hạng III)</v>
      </c>
      <c r="O169" s="390" t="s">
        <v>807</v>
      </c>
      <c r="P169" s="172" t="s">
        <v>692</v>
      </c>
      <c r="Q169" s="173">
        <v>5</v>
      </c>
      <c r="R169" s="174">
        <v>4.32</v>
      </c>
      <c r="S169" s="176">
        <f t="shared" si="84"/>
        <v>0.77759999999999996</v>
      </c>
      <c r="T169" s="370"/>
      <c r="U169" s="176">
        <f t="shared" si="68"/>
        <v>0</v>
      </c>
      <c r="V169" s="175">
        <f t="shared" si="85"/>
        <v>0</v>
      </c>
      <c r="W169" s="200"/>
      <c r="X169" s="179">
        <v>0.18</v>
      </c>
      <c r="Y169" s="216">
        <f t="shared" si="69"/>
        <v>0.77759999999999996</v>
      </c>
      <c r="Z169" s="216">
        <f t="shared" si="70"/>
        <v>5.0975999999999999</v>
      </c>
      <c r="AA169" s="180">
        <f t="shared" si="71"/>
        <v>11928384</v>
      </c>
      <c r="AB169" s="180"/>
      <c r="AC169" s="180">
        <f t="shared" si="72"/>
        <v>0</v>
      </c>
      <c r="AD169" s="180">
        <f t="shared" si="86"/>
        <v>0</v>
      </c>
      <c r="AE169" s="180">
        <f t="shared" si="73"/>
        <v>11928384</v>
      </c>
      <c r="AF169" s="178">
        <f t="shared" si="74"/>
        <v>954270.71999999997</v>
      </c>
      <c r="AG169" s="178">
        <f t="shared" si="75"/>
        <v>178925.75999999998</v>
      </c>
      <c r="AH169" s="178">
        <f t="shared" si="76"/>
        <v>119283.84</v>
      </c>
      <c r="AI169" s="178"/>
      <c r="AJ169" s="178">
        <f t="shared" si="77"/>
        <v>1252480.32</v>
      </c>
      <c r="AK169" s="181"/>
      <c r="AL169" s="535">
        <f t="shared" si="82"/>
        <v>0</v>
      </c>
      <c r="AM169" s="182"/>
      <c r="AN169" s="182"/>
      <c r="AO169" s="193">
        <f t="shared" si="65"/>
        <v>4.32</v>
      </c>
      <c r="AP169" s="246">
        <v>0.25</v>
      </c>
      <c r="AQ169" s="194">
        <f t="shared" si="78"/>
        <v>1.08</v>
      </c>
      <c r="AR169" s="178">
        <f t="shared" si="79"/>
        <v>2527200</v>
      </c>
      <c r="AS169" s="178"/>
      <c r="AT169" s="178">
        <f t="shared" si="80"/>
        <v>13203104</v>
      </c>
      <c r="AU169" s="469">
        <f t="shared" si="81"/>
        <v>151</v>
      </c>
      <c r="AV169" s="186"/>
      <c r="AW169" s="198" t="s">
        <v>710</v>
      </c>
    </row>
    <row r="170" spans="1:49" s="189" customFormat="1" ht="30.75" customHeight="1" x14ac:dyDescent="0.25">
      <c r="A170" s="168">
        <f>_xlfn.AGGREGATE(4,7,A$13:A169)+1</f>
        <v>152</v>
      </c>
      <c r="B170" s="168" t="str">
        <f>VLOOKUP(D170,[1]LuongBC_T01!$B$9:$C$292,2,FALSE)</f>
        <v>0016100006625007</v>
      </c>
      <c r="C170" s="199" t="s">
        <v>963</v>
      </c>
      <c r="D170" s="169" t="s">
        <v>566</v>
      </c>
      <c r="E170" s="263" t="s">
        <v>1094</v>
      </c>
      <c r="F170" s="169" t="s">
        <v>550</v>
      </c>
      <c r="G170" s="200"/>
      <c r="H170" s="200" t="s">
        <v>283</v>
      </c>
      <c r="I170" s="200" t="s">
        <v>283</v>
      </c>
      <c r="J170" s="200" t="s">
        <v>575</v>
      </c>
      <c r="K170" s="170" t="str">
        <f>VLOOKUP(D170,[2]T3!$B$2:$D$328,3,FALSE)</f>
        <v>025244382</v>
      </c>
      <c r="L170" s="201" t="s">
        <v>597</v>
      </c>
      <c r="M170" s="201" t="s">
        <v>963</v>
      </c>
      <c r="N170" s="263" t="str">
        <f>VLOOKUP(D170,'[6]Bao cao So GDDT'!$D$14:$S$282,11,FALSE)</f>
        <v>Giảng viên
(hạng III)</v>
      </c>
      <c r="O170" s="392" t="s">
        <v>807</v>
      </c>
      <c r="P170" s="170" t="s">
        <v>692</v>
      </c>
      <c r="Q170" s="170">
        <v>4</v>
      </c>
      <c r="R170" s="177">
        <v>4.32</v>
      </c>
      <c r="S170" s="176">
        <f t="shared" si="84"/>
        <v>0.6048</v>
      </c>
      <c r="T170" s="220"/>
      <c r="U170" s="176">
        <f t="shared" si="68"/>
        <v>0</v>
      </c>
      <c r="V170" s="175">
        <f t="shared" si="85"/>
        <v>0</v>
      </c>
      <c r="W170" s="170"/>
      <c r="X170" s="179">
        <v>0.14000000000000001</v>
      </c>
      <c r="Y170" s="216">
        <f t="shared" si="69"/>
        <v>0.6048</v>
      </c>
      <c r="Z170" s="216">
        <f t="shared" si="70"/>
        <v>4.9248000000000003</v>
      </c>
      <c r="AA170" s="180">
        <f t="shared" si="71"/>
        <v>11524032</v>
      </c>
      <c r="AB170" s="180"/>
      <c r="AC170" s="180">
        <f t="shared" si="72"/>
        <v>0</v>
      </c>
      <c r="AD170" s="180">
        <f t="shared" si="86"/>
        <v>0</v>
      </c>
      <c r="AE170" s="180">
        <f t="shared" si="73"/>
        <v>11524032</v>
      </c>
      <c r="AF170" s="178">
        <f t="shared" si="74"/>
        <v>921922.56000000006</v>
      </c>
      <c r="AG170" s="178">
        <f t="shared" si="75"/>
        <v>172860.47999999998</v>
      </c>
      <c r="AH170" s="178">
        <f t="shared" si="76"/>
        <v>115240.32000000001</v>
      </c>
      <c r="AI170" s="178"/>
      <c r="AJ170" s="178">
        <f t="shared" si="77"/>
        <v>1210023.3600000001</v>
      </c>
      <c r="AK170" s="192"/>
      <c r="AL170" s="535">
        <f t="shared" si="82"/>
        <v>0</v>
      </c>
      <c r="AM170" s="182"/>
      <c r="AN170" s="182"/>
      <c r="AO170" s="193">
        <f t="shared" si="65"/>
        <v>4.32</v>
      </c>
      <c r="AP170" s="246">
        <v>0.25</v>
      </c>
      <c r="AQ170" s="194">
        <f t="shared" si="78"/>
        <v>1.08</v>
      </c>
      <c r="AR170" s="178">
        <f t="shared" si="79"/>
        <v>2527200</v>
      </c>
      <c r="AS170" s="178"/>
      <c r="AT170" s="178">
        <f t="shared" si="80"/>
        <v>12841209</v>
      </c>
      <c r="AU170" s="469">
        <f t="shared" si="81"/>
        <v>152</v>
      </c>
      <c r="AV170" s="186"/>
      <c r="AW170" s="198" t="s">
        <v>710</v>
      </c>
    </row>
    <row r="171" spans="1:49" s="189" customFormat="1" ht="30.75" customHeight="1" x14ac:dyDescent="0.25">
      <c r="A171" s="168">
        <f>_xlfn.AGGREGATE(4,7,A$13:A170)+1</f>
        <v>153</v>
      </c>
      <c r="B171" s="168" t="s">
        <v>1264</v>
      </c>
      <c r="C171" s="199" t="s">
        <v>996</v>
      </c>
      <c r="D171" s="169" t="s">
        <v>48</v>
      </c>
      <c r="E171" s="263" t="s">
        <v>1094</v>
      </c>
      <c r="F171" s="169" t="s">
        <v>549</v>
      </c>
      <c r="G171" s="200" t="s">
        <v>25</v>
      </c>
      <c r="H171" s="200" t="s">
        <v>283</v>
      </c>
      <c r="I171" s="200" t="s">
        <v>283</v>
      </c>
      <c r="J171" s="200" t="s">
        <v>592</v>
      </c>
      <c r="K171" s="170" t="str">
        <f>VLOOKUP(D171,[2]T3!$B$2:$D$328,3,FALSE)</f>
        <v>024246529</v>
      </c>
      <c r="L171" s="201" t="s">
        <v>614</v>
      </c>
      <c r="M171" s="201" t="s">
        <v>996</v>
      </c>
      <c r="N171" s="263" t="str">
        <f>VLOOKUP(D171,'[6]Bao cao So GDDT'!$D$14:$S$282,11,FALSE)</f>
        <v>Giảng viên
(hạng III)</v>
      </c>
      <c r="O171" s="390" t="s">
        <v>807</v>
      </c>
      <c r="P171" s="170" t="s">
        <v>692</v>
      </c>
      <c r="Q171" s="170">
        <v>3</v>
      </c>
      <c r="R171" s="177">
        <v>3.66</v>
      </c>
      <c r="S171" s="176">
        <f t="shared" si="84"/>
        <v>0.51239999999999997</v>
      </c>
      <c r="T171" s="220"/>
      <c r="U171" s="176">
        <f t="shared" si="68"/>
        <v>0</v>
      </c>
      <c r="V171" s="175">
        <f t="shared" si="85"/>
        <v>0</v>
      </c>
      <c r="W171" s="170"/>
      <c r="X171" s="179">
        <v>0.14000000000000001</v>
      </c>
      <c r="Y171" s="216">
        <f t="shared" si="69"/>
        <v>0.51239999999999997</v>
      </c>
      <c r="Z171" s="216">
        <f t="shared" si="70"/>
        <v>4.1723999999999997</v>
      </c>
      <c r="AA171" s="180">
        <f t="shared" si="71"/>
        <v>9763416</v>
      </c>
      <c r="AB171" s="180"/>
      <c r="AC171" s="180">
        <f t="shared" si="72"/>
        <v>0</v>
      </c>
      <c r="AD171" s="180">
        <f t="shared" si="86"/>
        <v>0</v>
      </c>
      <c r="AE171" s="180">
        <f t="shared" si="73"/>
        <v>9763416</v>
      </c>
      <c r="AF171" s="178">
        <f t="shared" si="74"/>
        <v>781073.28</v>
      </c>
      <c r="AG171" s="178">
        <f t="shared" si="75"/>
        <v>146451.24</v>
      </c>
      <c r="AH171" s="178">
        <f t="shared" si="76"/>
        <v>97634.16</v>
      </c>
      <c r="AI171" s="178"/>
      <c r="AJ171" s="178">
        <f t="shared" si="77"/>
        <v>1025158.68</v>
      </c>
      <c r="AK171" s="192"/>
      <c r="AL171" s="535">
        <f t="shared" si="82"/>
        <v>0</v>
      </c>
      <c r="AM171" s="182"/>
      <c r="AN171" s="182"/>
      <c r="AO171" s="193">
        <f t="shared" si="65"/>
        <v>3.66</v>
      </c>
      <c r="AP171" s="246">
        <v>0.25</v>
      </c>
      <c r="AQ171" s="194">
        <f t="shared" si="78"/>
        <v>0.91500000000000004</v>
      </c>
      <c r="AR171" s="178">
        <f t="shared" si="79"/>
        <v>2141100</v>
      </c>
      <c r="AS171" s="178"/>
      <c r="AT171" s="178">
        <f t="shared" si="80"/>
        <v>10879357</v>
      </c>
      <c r="AU171" s="469">
        <f t="shared" si="81"/>
        <v>153</v>
      </c>
      <c r="AV171" s="195"/>
      <c r="AW171" s="198" t="s">
        <v>710</v>
      </c>
    </row>
    <row r="172" spans="1:49" s="189" customFormat="1" ht="30.75" customHeight="1" x14ac:dyDescent="0.25">
      <c r="A172" s="168">
        <f>_xlfn.AGGREGATE(4,7,A$13:A171)+1</f>
        <v>154</v>
      </c>
      <c r="B172" s="168" t="str">
        <f>VLOOKUP(D172,[1]LuongBC_T01!$B$9:$C$292,2,FALSE)</f>
        <v>0016100006683007</v>
      </c>
      <c r="C172" s="199" t="s">
        <v>949</v>
      </c>
      <c r="D172" s="169" t="s">
        <v>821</v>
      </c>
      <c r="E172" s="263" t="s">
        <v>1623</v>
      </c>
      <c r="F172" s="169"/>
      <c r="G172" s="170" t="s">
        <v>25</v>
      </c>
      <c r="H172" s="170"/>
      <c r="I172" s="170"/>
      <c r="J172" s="169"/>
      <c r="K172" s="168" t="s">
        <v>1341</v>
      </c>
      <c r="L172" s="249"/>
      <c r="M172" s="249" t="s">
        <v>949</v>
      </c>
      <c r="N172" s="263" t="str">
        <f>VLOOKUP(D172,'[6]Bao cao So GDDT'!$D$14:$S$282,11,FALSE)</f>
        <v>Giảng viên
(hạng III)</v>
      </c>
      <c r="O172" s="390" t="s">
        <v>1438</v>
      </c>
      <c r="P172" s="222" t="s">
        <v>692</v>
      </c>
      <c r="Q172" s="172">
        <v>3</v>
      </c>
      <c r="R172" s="174">
        <v>3.33</v>
      </c>
      <c r="S172" s="176">
        <f t="shared" si="84"/>
        <v>0.75239999999999996</v>
      </c>
      <c r="T172" s="370"/>
      <c r="U172" s="176">
        <f t="shared" si="68"/>
        <v>0</v>
      </c>
      <c r="V172" s="175">
        <f t="shared" si="85"/>
        <v>0</v>
      </c>
      <c r="W172" s="170">
        <v>0.45</v>
      </c>
      <c r="X172" s="179">
        <v>0.08</v>
      </c>
      <c r="Y172" s="216">
        <f t="shared" si="69"/>
        <v>0.3024</v>
      </c>
      <c r="Z172" s="216">
        <f t="shared" si="70"/>
        <v>4.0823999999999998</v>
      </c>
      <c r="AA172" s="180">
        <f t="shared" si="71"/>
        <v>9552816</v>
      </c>
      <c r="AB172" s="180"/>
      <c r="AC172" s="180">
        <f t="shared" si="72"/>
        <v>0</v>
      </c>
      <c r="AD172" s="180">
        <f t="shared" si="86"/>
        <v>0</v>
      </c>
      <c r="AE172" s="180">
        <f t="shared" si="73"/>
        <v>9552816</v>
      </c>
      <c r="AF172" s="178">
        <f t="shared" si="74"/>
        <v>764225.28</v>
      </c>
      <c r="AG172" s="178">
        <f t="shared" si="75"/>
        <v>143292.24</v>
      </c>
      <c r="AH172" s="178">
        <f t="shared" si="76"/>
        <v>95528.16</v>
      </c>
      <c r="AI172" s="178"/>
      <c r="AJ172" s="178">
        <f t="shared" si="77"/>
        <v>1003045.68</v>
      </c>
      <c r="AK172" s="192"/>
      <c r="AL172" s="535">
        <f t="shared" si="82"/>
        <v>0</v>
      </c>
      <c r="AM172" s="182"/>
      <c r="AN172" s="182"/>
      <c r="AO172" s="193">
        <f t="shared" si="65"/>
        <v>3.7800000000000002</v>
      </c>
      <c r="AP172" s="246">
        <v>0.25</v>
      </c>
      <c r="AQ172" s="194">
        <f t="shared" si="78"/>
        <v>0.94499999999999995</v>
      </c>
      <c r="AR172" s="178">
        <f t="shared" si="79"/>
        <v>2211300</v>
      </c>
      <c r="AS172" s="178"/>
      <c r="AT172" s="178">
        <f t="shared" si="80"/>
        <v>10761070</v>
      </c>
      <c r="AU172" s="469">
        <f t="shared" si="81"/>
        <v>154</v>
      </c>
      <c r="AV172" s="244"/>
      <c r="AW172" s="242"/>
    </row>
    <row r="173" spans="1:49" s="189" customFormat="1" ht="30.75" customHeight="1" x14ac:dyDescent="0.25">
      <c r="A173" s="681">
        <f>_xlfn.AGGREGATE(4,7,A$13:A172)+1</f>
        <v>155</v>
      </c>
      <c r="B173" s="681" t="str">
        <f>VLOOKUP(D173,[1]LuongBC_T01!$B$9:$C$292,2,FALSE)</f>
        <v>0016100006772007</v>
      </c>
      <c r="C173" s="702" t="s">
        <v>943</v>
      </c>
      <c r="D173" s="682" t="s">
        <v>815</v>
      </c>
      <c r="E173" s="683" t="s">
        <v>1094</v>
      </c>
      <c r="F173" s="682"/>
      <c r="G173" s="684"/>
      <c r="H173" s="684"/>
      <c r="I173" s="684"/>
      <c r="J173" s="682"/>
      <c r="K173" s="684" t="str">
        <f>VLOOKUP(D173,[2]T3!$B$2:$D$328,3,FALSE)</f>
        <v>025013400</v>
      </c>
      <c r="L173" s="706"/>
      <c r="M173" s="706" t="s">
        <v>943</v>
      </c>
      <c r="N173" s="683" t="str">
        <f>VLOOKUP(D173,'[6]Bao cao So GDDT'!$D$14:$S$282,11,FALSE)</f>
        <v>Giảng viên
(hạng III)</v>
      </c>
      <c r="O173" s="685" t="s">
        <v>807</v>
      </c>
      <c r="P173" s="707" t="s">
        <v>692</v>
      </c>
      <c r="Q173" s="686">
        <v>3</v>
      </c>
      <c r="R173" s="688">
        <v>3.66</v>
      </c>
      <c r="S173" s="689">
        <f t="shared" si="84"/>
        <v>0.40260000000000001</v>
      </c>
      <c r="T173" s="690"/>
      <c r="U173" s="689">
        <f t="shared" si="68"/>
        <v>0</v>
      </c>
      <c r="V173" s="691">
        <f t="shared" si="85"/>
        <v>0</v>
      </c>
      <c r="W173" s="684"/>
      <c r="X173" s="692">
        <v>0.11</v>
      </c>
      <c r="Y173" s="693">
        <f t="shared" si="69"/>
        <v>0.40260000000000001</v>
      </c>
      <c r="Z173" s="693">
        <f t="shared" si="70"/>
        <v>4.0625999999999998</v>
      </c>
      <c r="AA173" s="694">
        <f t="shared" si="71"/>
        <v>9506484</v>
      </c>
      <c r="AB173" s="694"/>
      <c r="AC173" s="694">
        <f t="shared" si="72"/>
        <v>0</v>
      </c>
      <c r="AD173" s="694">
        <f t="shared" si="86"/>
        <v>0</v>
      </c>
      <c r="AE173" s="694">
        <f t="shared" si="73"/>
        <v>9506484</v>
      </c>
      <c r="AF173" s="695">
        <f t="shared" si="74"/>
        <v>760518.72</v>
      </c>
      <c r="AG173" s="695">
        <f t="shared" si="75"/>
        <v>142597.25999999998</v>
      </c>
      <c r="AH173" s="695">
        <f t="shared" si="76"/>
        <v>95064.84</v>
      </c>
      <c r="AI173" s="695"/>
      <c r="AJ173" s="695">
        <f t="shared" si="77"/>
        <v>998180.82</v>
      </c>
      <c r="AK173" s="700"/>
      <c r="AL173" s="939">
        <f t="shared" si="82"/>
        <v>0</v>
      </c>
      <c r="AM173" s="696"/>
      <c r="AN173" s="696"/>
      <c r="AO173" s="705">
        <f t="shared" si="65"/>
        <v>3.66</v>
      </c>
      <c r="AP173" s="701">
        <v>0.25</v>
      </c>
      <c r="AQ173" s="703">
        <f t="shared" si="78"/>
        <v>0.91500000000000004</v>
      </c>
      <c r="AR173" s="695">
        <f t="shared" si="79"/>
        <v>2141100</v>
      </c>
      <c r="AS173" s="695"/>
      <c r="AT173" s="695">
        <f t="shared" si="80"/>
        <v>10649403</v>
      </c>
      <c r="AU173" s="697">
        <f t="shared" si="81"/>
        <v>155</v>
      </c>
      <c r="AV173" s="708"/>
      <c r="AW173" s="242"/>
    </row>
    <row r="174" spans="1:49" s="189" customFormat="1" ht="30.75" customHeight="1" x14ac:dyDescent="0.25">
      <c r="A174" s="168">
        <f>_xlfn.AGGREGATE(4,7,A$13:A173)+1</f>
        <v>156</v>
      </c>
      <c r="B174" s="168" t="str">
        <f>VLOOKUP(D174,[1]LuongBC_T01!$B$9:$C$292,2,FALSE)</f>
        <v>0016100006789007</v>
      </c>
      <c r="C174" s="199" t="s">
        <v>965</v>
      </c>
      <c r="D174" s="169" t="s">
        <v>1222</v>
      </c>
      <c r="E174" s="263" t="s">
        <v>1617</v>
      </c>
      <c r="F174" s="169" t="s">
        <v>550</v>
      </c>
      <c r="G174" s="200" t="s">
        <v>25</v>
      </c>
      <c r="H174" s="200" t="s">
        <v>283</v>
      </c>
      <c r="I174" s="200" t="s">
        <v>283</v>
      </c>
      <c r="J174" s="200"/>
      <c r="K174" s="168" t="s">
        <v>1339</v>
      </c>
      <c r="L174" s="201" t="s">
        <v>672</v>
      </c>
      <c r="M174" s="201" t="s">
        <v>965</v>
      </c>
      <c r="N174" s="263" t="str">
        <f>VLOOKUP(D174,'[6]Bao cao So GDDT'!$D$14:$S$282,11,FALSE)</f>
        <v>Giảng viên GDNN LT (hạng III)</v>
      </c>
      <c r="O174" s="390" t="s">
        <v>1438</v>
      </c>
      <c r="P174" s="222" t="s">
        <v>692</v>
      </c>
      <c r="Q174" s="172">
        <v>4</v>
      </c>
      <c r="R174" s="430">
        <v>3.99</v>
      </c>
      <c r="S174" s="176">
        <f t="shared" si="84"/>
        <v>0.59850000000000003</v>
      </c>
      <c r="T174" s="220"/>
      <c r="U174" s="176">
        <f t="shared" si="68"/>
        <v>0</v>
      </c>
      <c r="V174" s="175">
        <f t="shared" si="85"/>
        <v>0</v>
      </c>
      <c r="W174" s="170"/>
      <c r="X174" s="179">
        <v>0.15</v>
      </c>
      <c r="Y174" s="216">
        <f t="shared" si="69"/>
        <v>0.59850000000000003</v>
      </c>
      <c r="Z174" s="216">
        <f t="shared" si="70"/>
        <v>4.5884999999999998</v>
      </c>
      <c r="AA174" s="180">
        <f t="shared" si="71"/>
        <v>10737090</v>
      </c>
      <c r="AB174" s="180"/>
      <c r="AC174" s="180">
        <f t="shared" si="72"/>
        <v>0</v>
      </c>
      <c r="AD174" s="180">
        <f t="shared" si="86"/>
        <v>0</v>
      </c>
      <c r="AE174" s="180">
        <f t="shared" si="73"/>
        <v>10737090</v>
      </c>
      <c r="AF174" s="178">
        <f t="shared" si="74"/>
        <v>858967.20000000007</v>
      </c>
      <c r="AG174" s="178">
        <f t="shared" si="75"/>
        <v>161056.35</v>
      </c>
      <c r="AH174" s="178">
        <f t="shared" si="76"/>
        <v>107370.90000000001</v>
      </c>
      <c r="AI174" s="178"/>
      <c r="AJ174" s="178">
        <f t="shared" si="77"/>
        <v>1127394.45</v>
      </c>
      <c r="AK174" s="192"/>
      <c r="AL174" s="535">
        <f t="shared" si="82"/>
        <v>0</v>
      </c>
      <c r="AM174" s="182"/>
      <c r="AN174" s="182"/>
      <c r="AO174" s="193">
        <f t="shared" si="65"/>
        <v>3.99</v>
      </c>
      <c r="AP174" s="246">
        <v>0.25</v>
      </c>
      <c r="AQ174" s="194">
        <f t="shared" si="78"/>
        <v>0.99750000000000005</v>
      </c>
      <c r="AR174" s="178">
        <f t="shared" si="79"/>
        <v>2334150</v>
      </c>
      <c r="AS174" s="178"/>
      <c r="AT174" s="178">
        <f t="shared" si="80"/>
        <v>11943846</v>
      </c>
      <c r="AU174" s="469">
        <f t="shared" si="81"/>
        <v>156</v>
      </c>
      <c r="AV174" s="195"/>
      <c r="AW174" s="187" t="s">
        <v>710</v>
      </c>
    </row>
    <row r="175" spans="1:49" s="189" customFormat="1" ht="30.75" customHeight="1" x14ac:dyDescent="0.25">
      <c r="A175" s="168">
        <f>_xlfn.AGGREGATE(4,7,A$13:A174)+1</f>
        <v>157</v>
      </c>
      <c r="B175" s="168" t="str">
        <f>VLOOKUP(D175,[1]LuongBC_T01!$B$9:$C$292,2,FALSE)</f>
        <v>0016100006621001</v>
      </c>
      <c r="C175" s="199" t="s">
        <v>973</v>
      </c>
      <c r="D175" s="169" t="s">
        <v>67</v>
      </c>
      <c r="E175" s="263" t="s">
        <v>1617</v>
      </c>
      <c r="F175" s="169" t="s">
        <v>549</v>
      </c>
      <c r="G175" s="200" t="s">
        <v>25</v>
      </c>
      <c r="H175" s="200" t="s">
        <v>283</v>
      </c>
      <c r="I175" s="170" t="s">
        <v>283</v>
      </c>
      <c r="J175" s="169" t="s">
        <v>249</v>
      </c>
      <c r="K175" s="170" t="str">
        <f>VLOOKUP(D175,[2]T3!$B$2:$D$328,3,FALSE)</f>
        <v>024906495</v>
      </c>
      <c r="L175" s="171" t="s">
        <v>116</v>
      </c>
      <c r="M175" s="171" t="s">
        <v>973</v>
      </c>
      <c r="N175" s="263" t="str">
        <f>VLOOKUP(D175,'[6]Bao cao So GDDT'!$D$14:$S$282,11,FALSE)</f>
        <v>Giảng viên GDNN LT (hạng III)</v>
      </c>
      <c r="O175" s="390" t="s">
        <v>1438</v>
      </c>
      <c r="P175" s="172" t="s">
        <v>692</v>
      </c>
      <c r="Q175" s="173">
        <v>4</v>
      </c>
      <c r="R175" s="174">
        <v>3.99</v>
      </c>
      <c r="S175" s="176">
        <f t="shared" si="84"/>
        <v>0.63839999999999997</v>
      </c>
      <c r="T175" s="370"/>
      <c r="U175" s="176">
        <f t="shared" si="68"/>
        <v>0</v>
      </c>
      <c r="V175" s="175">
        <f t="shared" si="85"/>
        <v>0</v>
      </c>
      <c r="W175" s="170"/>
      <c r="X175" s="179">
        <v>0.16</v>
      </c>
      <c r="Y175" s="216">
        <f t="shared" si="69"/>
        <v>0.63839999999999997</v>
      </c>
      <c r="Z175" s="216">
        <f t="shared" si="70"/>
        <v>4.6284000000000001</v>
      </c>
      <c r="AA175" s="180">
        <f t="shared" si="71"/>
        <v>10830456</v>
      </c>
      <c r="AB175" s="180"/>
      <c r="AC175" s="180">
        <f t="shared" si="72"/>
        <v>0</v>
      </c>
      <c r="AD175" s="180">
        <f t="shared" si="86"/>
        <v>0</v>
      </c>
      <c r="AE175" s="180">
        <f t="shared" si="73"/>
        <v>10830456</v>
      </c>
      <c r="AF175" s="178">
        <f t="shared" si="74"/>
        <v>866436.48</v>
      </c>
      <c r="AG175" s="178">
        <f t="shared" si="75"/>
        <v>162456.84</v>
      </c>
      <c r="AH175" s="178">
        <f t="shared" si="76"/>
        <v>108304.56</v>
      </c>
      <c r="AI175" s="178"/>
      <c r="AJ175" s="178">
        <f t="shared" si="77"/>
        <v>1137197.8799999999</v>
      </c>
      <c r="AK175" s="192"/>
      <c r="AL175" s="535">
        <f t="shared" si="82"/>
        <v>0</v>
      </c>
      <c r="AM175" s="182"/>
      <c r="AN175" s="182"/>
      <c r="AO175" s="193">
        <f t="shared" si="65"/>
        <v>3.99</v>
      </c>
      <c r="AP175" s="246">
        <v>0.25</v>
      </c>
      <c r="AQ175" s="194">
        <f t="shared" si="78"/>
        <v>0.99750000000000005</v>
      </c>
      <c r="AR175" s="178">
        <f t="shared" si="79"/>
        <v>2334150</v>
      </c>
      <c r="AS175" s="178"/>
      <c r="AT175" s="178">
        <f t="shared" si="80"/>
        <v>12027408</v>
      </c>
      <c r="AU175" s="469">
        <f t="shared" si="81"/>
        <v>157</v>
      </c>
      <c r="AV175" s="186"/>
      <c r="AW175" s="187" t="s">
        <v>710</v>
      </c>
    </row>
    <row r="176" spans="1:49" s="189" customFormat="1" ht="30.75" customHeight="1" x14ac:dyDescent="0.25">
      <c r="A176" s="168">
        <f>_xlfn.AGGREGATE(4,7,A$13:A175)+1</f>
        <v>158</v>
      </c>
      <c r="B176" s="168" t="str">
        <f>VLOOKUP(D176,[1]LuongBC_T01!$B$9:$C$292,2,FALSE)</f>
        <v>0016100006624008</v>
      </c>
      <c r="C176" s="199" t="s">
        <v>974</v>
      </c>
      <c r="D176" s="169" t="s">
        <v>312</v>
      </c>
      <c r="E176" s="263" t="s">
        <v>1094</v>
      </c>
      <c r="F176" s="169" t="s">
        <v>549</v>
      </c>
      <c r="G176" s="200"/>
      <c r="H176" s="200" t="s">
        <v>283</v>
      </c>
      <c r="I176" s="170" t="s">
        <v>283</v>
      </c>
      <c r="J176" s="169" t="s">
        <v>542</v>
      </c>
      <c r="K176" s="168" t="s">
        <v>1340</v>
      </c>
      <c r="L176" s="171" t="s">
        <v>325</v>
      </c>
      <c r="M176" s="171" t="s">
        <v>974</v>
      </c>
      <c r="N176" s="263" t="str">
        <f>VLOOKUP(D176,'[6]Bao cao So GDDT'!$D$14:$S$282,11,FALSE)</f>
        <v>Giảng viên
(hạng III)</v>
      </c>
      <c r="O176" s="390" t="s">
        <v>807</v>
      </c>
      <c r="P176" s="172" t="s">
        <v>692</v>
      </c>
      <c r="Q176" s="173">
        <v>3</v>
      </c>
      <c r="R176" s="174">
        <v>3.99</v>
      </c>
      <c r="S176" s="176">
        <f t="shared" si="84"/>
        <v>0.67830000000000001</v>
      </c>
      <c r="T176" s="370"/>
      <c r="U176" s="176">
        <f t="shared" si="68"/>
        <v>0</v>
      </c>
      <c r="V176" s="175">
        <f t="shared" si="85"/>
        <v>0</v>
      </c>
      <c r="W176" s="170"/>
      <c r="X176" s="179">
        <v>0.17</v>
      </c>
      <c r="Y176" s="216">
        <f t="shared" si="69"/>
        <v>0.67830000000000001</v>
      </c>
      <c r="Z176" s="216">
        <f t="shared" si="70"/>
        <v>4.6683000000000003</v>
      </c>
      <c r="AA176" s="180">
        <f t="shared" si="71"/>
        <v>10923822</v>
      </c>
      <c r="AB176" s="180"/>
      <c r="AC176" s="180">
        <f t="shared" si="72"/>
        <v>0</v>
      </c>
      <c r="AD176" s="180">
        <f t="shared" si="86"/>
        <v>0</v>
      </c>
      <c r="AE176" s="180">
        <f t="shared" si="73"/>
        <v>10923822</v>
      </c>
      <c r="AF176" s="178">
        <f t="shared" si="74"/>
        <v>873905.76</v>
      </c>
      <c r="AG176" s="178">
        <f t="shared" si="75"/>
        <v>163857.32999999999</v>
      </c>
      <c r="AH176" s="178">
        <f t="shared" si="76"/>
        <v>109238.22</v>
      </c>
      <c r="AI176" s="178"/>
      <c r="AJ176" s="178">
        <f t="shared" si="77"/>
        <v>1147001.31</v>
      </c>
      <c r="AK176" s="192"/>
      <c r="AL176" s="535">
        <f t="shared" si="82"/>
        <v>0</v>
      </c>
      <c r="AM176" s="182"/>
      <c r="AN176" s="182"/>
      <c r="AO176" s="193">
        <f t="shared" si="65"/>
        <v>3.99</v>
      </c>
      <c r="AP176" s="246">
        <v>0.25</v>
      </c>
      <c r="AQ176" s="194">
        <f t="shared" si="78"/>
        <v>0.99750000000000005</v>
      </c>
      <c r="AR176" s="178">
        <f t="shared" si="79"/>
        <v>2334150</v>
      </c>
      <c r="AS176" s="178"/>
      <c r="AT176" s="178">
        <f t="shared" si="80"/>
        <v>12110971</v>
      </c>
      <c r="AU176" s="469">
        <f t="shared" si="81"/>
        <v>158</v>
      </c>
      <c r="AV176" s="195"/>
      <c r="AW176" s="187" t="s">
        <v>710</v>
      </c>
    </row>
    <row r="177" spans="1:49" s="189" customFormat="1" ht="30.75" customHeight="1" x14ac:dyDescent="0.25">
      <c r="A177" s="168">
        <f>_xlfn.AGGREGATE(4,7,A$13:A176)+1</f>
        <v>159</v>
      </c>
      <c r="B177" s="168" t="str">
        <f>VLOOKUP(D177,[1]LuongBC_T01!$B$9:$C$292,2,FALSE)</f>
        <v>0016100006623004</v>
      </c>
      <c r="C177" s="199" t="s">
        <v>982</v>
      </c>
      <c r="D177" s="169" t="s">
        <v>308</v>
      </c>
      <c r="E177" s="263" t="s">
        <v>1094</v>
      </c>
      <c r="F177" s="169" t="s">
        <v>550</v>
      </c>
      <c r="G177" s="200" t="s">
        <v>25</v>
      </c>
      <c r="H177" s="200" t="s">
        <v>283</v>
      </c>
      <c r="I177" s="170" t="s">
        <v>283</v>
      </c>
      <c r="J177" s="169" t="s">
        <v>537</v>
      </c>
      <c r="K177" s="170" t="str">
        <f>VLOOKUP(D177,[2]T3!$B$2:$D$328,3,FALSE)</f>
        <v>024943379</v>
      </c>
      <c r="L177" s="171" t="s">
        <v>341</v>
      </c>
      <c r="M177" s="171" t="s">
        <v>982</v>
      </c>
      <c r="N177" s="263" t="str">
        <f>VLOOKUP(D177,'[6]Bao cao So GDDT'!$D$14:$S$282,11,FALSE)</f>
        <v>Giảng viên
(hạng III)</v>
      </c>
      <c r="O177" s="390" t="s">
        <v>1438</v>
      </c>
      <c r="P177" s="172" t="s">
        <v>692</v>
      </c>
      <c r="Q177" s="173">
        <v>4</v>
      </c>
      <c r="R177" s="174">
        <v>3.99</v>
      </c>
      <c r="S177" s="176">
        <f t="shared" si="84"/>
        <v>0.59850000000000003</v>
      </c>
      <c r="T177" s="370"/>
      <c r="U177" s="176">
        <f t="shared" si="68"/>
        <v>0</v>
      </c>
      <c r="V177" s="175">
        <f t="shared" si="85"/>
        <v>0</v>
      </c>
      <c r="W177" s="170"/>
      <c r="X177" s="179">
        <v>0.15</v>
      </c>
      <c r="Y177" s="216">
        <f t="shared" si="69"/>
        <v>0.59850000000000003</v>
      </c>
      <c r="Z177" s="216">
        <f t="shared" si="70"/>
        <v>4.5884999999999998</v>
      </c>
      <c r="AA177" s="180">
        <f t="shared" si="71"/>
        <v>10737090</v>
      </c>
      <c r="AB177" s="180"/>
      <c r="AC177" s="180">
        <f t="shared" si="72"/>
        <v>0</v>
      </c>
      <c r="AD177" s="180">
        <v>0</v>
      </c>
      <c r="AE177" s="180">
        <f t="shared" si="73"/>
        <v>10737090</v>
      </c>
      <c r="AF177" s="178">
        <f t="shared" si="74"/>
        <v>858967.20000000007</v>
      </c>
      <c r="AG177" s="178">
        <f t="shared" si="75"/>
        <v>161056.35</v>
      </c>
      <c r="AH177" s="178">
        <f t="shared" si="76"/>
        <v>107370.90000000001</v>
      </c>
      <c r="AI177" s="178"/>
      <c r="AJ177" s="178">
        <f t="shared" si="77"/>
        <v>1127394.45</v>
      </c>
      <c r="AK177" s="192"/>
      <c r="AL177" s="535">
        <f t="shared" si="82"/>
        <v>0</v>
      </c>
      <c r="AM177" s="182"/>
      <c r="AN177" s="182"/>
      <c r="AO177" s="193">
        <f t="shared" si="65"/>
        <v>3.99</v>
      </c>
      <c r="AP177" s="246">
        <v>0.25</v>
      </c>
      <c r="AQ177" s="194">
        <f t="shared" si="78"/>
        <v>0.99750000000000005</v>
      </c>
      <c r="AR177" s="178">
        <f t="shared" si="79"/>
        <v>2334150</v>
      </c>
      <c r="AS177" s="178"/>
      <c r="AT177" s="178">
        <f t="shared" si="80"/>
        <v>11943846</v>
      </c>
      <c r="AU177" s="469">
        <f t="shared" si="81"/>
        <v>159</v>
      </c>
      <c r="AV177" s="195"/>
      <c r="AW177" s="198" t="s">
        <v>710</v>
      </c>
    </row>
    <row r="178" spans="1:49" s="189" customFormat="1" ht="36.75" customHeight="1" x14ac:dyDescent="0.25">
      <c r="A178" s="168">
        <f>_xlfn.AGGREGATE(4,7,A$13:A177)+1</f>
        <v>160</v>
      </c>
      <c r="B178" s="168" t="str">
        <f>VLOOKUP(D178,[1]LuongBC_T01!$B$9:$C$292,2,FALSE)</f>
        <v>0016100006732008</v>
      </c>
      <c r="C178" s="199" t="s">
        <v>984</v>
      </c>
      <c r="D178" s="169" t="s">
        <v>311</v>
      </c>
      <c r="E178" s="263" t="s">
        <v>1094</v>
      </c>
      <c r="F178" s="169" t="s">
        <v>549</v>
      </c>
      <c r="G178" s="200" t="s">
        <v>25</v>
      </c>
      <c r="H178" s="200" t="s">
        <v>283</v>
      </c>
      <c r="I178" s="170" t="s">
        <v>283</v>
      </c>
      <c r="J178" s="169" t="s">
        <v>539</v>
      </c>
      <c r="K178" s="170" t="str">
        <f>VLOOKUP(D178,[2]T3!$B$2:$D$328,3,FALSE)</f>
        <v>024497762</v>
      </c>
      <c r="L178" s="171" t="s">
        <v>337</v>
      </c>
      <c r="M178" s="171" t="s">
        <v>984</v>
      </c>
      <c r="N178" s="263" t="str">
        <f>VLOOKUP(D178,'[6]Bao cao So GDDT'!$D$14:$S$282,11,FALSE)</f>
        <v>Giảng viên (hạng III)</v>
      </c>
      <c r="O178" s="390" t="s">
        <v>807</v>
      </c>
      <c r="P178" s="172" t="s">
        <v>692</v>
      </c>
      <c r="Q178" s="173">
        <v>3</v>
      </c>
      <c r="R178" s="174">
        <v>3.99</v>
      </c>
      <c r="S178" s="176">
        <f t="shared" si="84"/>
        <v>0.59850000000000003</v>
      </c>
      <c r="T178" s="370"/>
      <c r="U178" s="176">
        <f t="shared" si="68"/>
        <v>0</v>
      </c>
      <c r="V178" s="175">
        <f t="shared" si="85"/>
        <v>0</v>
      </c>
      <c r="W178" s="170"/>
      <c r="X178" s="179">
        <v>0.15</v>
      </c>
      <c r="Y178" s="216">
        <f t="shared" si="69"/>
        <v>0.59850000000000003</v>
      </c>
      <c r="Z178" s="216">
        <f t="shared" si="70"/>
        <v>4.5884999999999998</v>
      </c>
      <c r="AA178" s="180">
        <f t="shared" si="71"/>
        <v>10737090</v>
      </c>
      <c r="AB178" s="180"/>
      <c r="AC178" s="180">
        <f t="shared" si="72"/>
        <v>0</v>
      </c>
      <c r="AD178" s="180">
        <v>0</v>
      </c>
      <c r="AE178" s="180">
        <f t="shared" si="73"/>
        <v>10737090</v>
      </c>
      <c r="AF178" s="178">
        <f t="shared" si="74"/>
        <v>858967.20000000007</v>
      </c>
      <c r="AG178" s="178">
        <f t="shared" si="75"/>
        <v>161056.35</v>
      </c>
      <c r="AH178" s="178">
        <f t="shared" si="76"/>
        <v>107370.90000000001</v>
      </c>
      <c r="AI178" s="178"/>
      <c r="AJ178" s="178">
        <f t="shared" si="77"/>
        <v>1127394.45</v>
      </c>
      <c r="AK178" s="192"/>
      <c r="AL178" s="535">
        <f t="shared" si="82"/>
        <v>0</v>
      </c>
      <c r="AM178" s="182"/>
      <c r="AN178" s="182"/>
      <c r="AO178" s="193">
        <f t="shared" si="65"/>
        <v>3.99</v>
      </c>
      <c r="AP178" s="246">
        <v>0.25</v>
      </c>
      <c r="AQ178" s="194">
        <f t="shared" si="78"/>
        <v>0.99750000000000005</v>
      </c>
      <c r="AR178" s="178">
        <f t="shared" si="79"/>
        <v>2334150</v>
      </c>
      <c r="AS178" s="178"/>
      <c r="AT178" s="178">
        <f t="shared" si="80"/>
        <v>11943846</v>
      </c>
      <c r="AU178" s="469">
        <f t="shared" si="81"/>
        <v>160</v>
      </c>
      <c r="AV178" s="195"/>
      <c r="AW178" s="198" t="s">
        <v>710</v>
      </c>
    </row>
    <row r="179" spans="1:49" s="189" customFormat="1" ht="31.5" customHeight="1" x14ac:dyDescent="0.25">
      <c r="A179" s="168">
        <f>_xlfn.AGGREGATE(4,7,A$13:A178)+1</f>
        <v>161</v>
      </c>
      <c r="B179" s="168" t="str">
        <f>VLOOKUP(D179,[1]LuongBC_T01!$B$9:$C$292,2,FALSE)</f>
        <v>0016100006686006</v>
      </c>
      <c r="C179" s="199" t="s">
        <v>985</v>
      </c>
      <c r="D179" s="230" t="s">
        <v>573</v>
      </c>
      <c r="E179" s="263" t="s">
        <v>1094</v>
      </c>
      <c r="F179" s="169" t="s">
        <v>549</v>
      </c>
      <c r="G179" s="170"/>
      <c r="H179" s="200" t="s">
        <v>283</v>
      </c>
      <c r="I179" s="200" t="s">
        <v>283</v>
      </c>
      <c r="J179" s="220" t="s">
        <v>594</v>
      </c>
      <c r="K179" s="170" t="str">
        <f>VLOOKUP(D179,[2]T3!$B$2:$D$328,3,FALSE)</f>
        <v>080083000079</v>
      </c>
      <c r="L179" s="201" t="s">
        <v>1122</v>
      </c>
      <c r="M179" s="201" t="s">
        <v>985</v>
      </c>
      <c r="N179" s="263" t="str">
        <f>VLOOKUP(D179,'[6]Bao cao So GDDT'!$D$14:$S$282,11,FALSE)</f>
        <v>Giảng viên
(hạng III)</v>
      </c>
      <c r="O179" s="392" t="s">
        <v>807</v>
      </c>
      <c r="P179" s="172" t="s">
        <v>692</v>
      </c>
      <c r="Q179" s="173">
        <v>3</v>
      </c>
      <c r="R179" s="174">
        <v>3.99</v>
      </c>
      <c r="S179" s="176">
        <f t="shared" si="84"/>
        <v>0.63839999999999997</v>
      </c>
      <c r="T179" s="370"/>
      <c r="U179" s="176">
        <f t="shared" si="68"/>
        <v>0</v>
      </c>
      <c r="V179" s="175">
        <f t="shared" si="85"/>
        <v>0</v>
      </c>
      <c r="W179" s="170"/>
      <c r="X179" s="179">
        <v>0.16</v>
      </c>
      <c r="Y179" s="216">
        <f t="shared" si="69"/>
        <v>0.63839999999999997</v>
      </c>
      <c r="Z179" s="216">
        <f t="shared" si="70"/>
        <v>4.6284000000000001</v>
      </c>
      <c r="AA179" s="180">
        <f t="shared" si="71"/>
        <v>10830456</v>
      </c>
      <c r="AB179" s="180"/>
      <c r="AC179" s="180">
        <f t="shared" si="72"/>
        <v>0</v>
      </c>
      <c r="AD179" s="180">
        <f>AA179/24*AB179*75%</f>
        <v>0</v>
      </c>
      <c r="AE179" s="180">
        <f t="shared" si="73"/>
        <v>10830456</v>
      </c>
      <c r="AF179" s="178">
        <f t="shared" si="74"/>
        <v>866436.48</v>
      </c>
      <c r="AG179" s="178">
        <f t="shared" si="75"/>
        <v>162456.84</v>
      </c>
      <c r="AH179" s="178">
        <f t="shared" si="76"/>
        <v>108304.56</v>
      </c>
      <c r="AI179" s="178"/>
      <c r="AJ179" s="178">
        <f t="shared" si="77"/>
        <v>1137197.8799999999</v>
      </c>
      <c r="AK179" s="192"/>
      <c r="AL179" s="535">
        <f t="shared" si="82"/>
        <v>0</v>
      </c>
      <c r="AM179" s="182"/>
      <c r="AN179" s="182"/>
      <c r="AO179" s="193">
        <f t="shared" si="65"/>
        <v>3.99</v>
      </c>
      <c r="AP179" s="246">
        <v>0.25</v>
      </c>
      <c r="AQ179" s="194">
        <f t="shared" si="78"/>
        <v>0.99750000000000005</v>
      </c>
      <c r="AR179" s="178">
        <f t="shared" si="79"/>
        <v>2334150</v>
      </c>
      <c r="AS179" s="178"/>
      <c r="AT179" s="178">
        <f t="shared" si="80"/>
        <v>12027408</v>
      </c>
      <c r="AU179" s="469">
        <f t="shared" si="81"/>
        <v>161</v>
      </c>
      <c r="AV179" s="186"/>
      <c r="AW179" s="198" t="s">
        <v>710</v>
      </c>
    </row>
    <row r="180" spans="1:49" s="189" customFormat="1" ht="31.5" customHeight="1" x14ac:dyDescent="0.25">
      <c r="A180" s="168">
        <f>_xlfn.AGGREGATE(4,7,A$13:A179)+1</f>
        <v>162</v>
      </c>
      <c r="B180" s="168" t="str">
        <f>VLOOKUP(D180,[1]LuongBC_T01!$B$9:$C$292,2,FALSE)</f>
        <v>0016100006655003</v>
      </c>
      <c r="C180" s="199" t="s">
        <v>1081</v>
      </c>
      <c r="D180" s="169" t="s">
        <v>1234</v>
      </c>
      <c r="E180" s="263" t="s">
        <v>1094</v>
      </c>
      <c r="F180" s="169" t="s">
        <v>549</v>
      </c>
      <c r="G180" s="200"/>
      <c r="H180" s="200"/>
      <c r="I180" s="200" t="s">
        <v>283</v>
      </c>
      <c r="J180" s="200" t="s">
        <v>593</v>
      </c>
      <c r="K180" s="170" t="str">
        <f>VLOOKUP(D180,[2]T3!$B$2:$D$328,3,FALSE)</f>
        <v>024941650</v>
      </c>
      <c r="L180" s="654" t="s">
        <v>615</v>
      </c>
      <c r="M180" s="654" t="s">
        <v>1081</v>
      </c>
      <c r="N180" s="263" t="str">
        <f>VLOOKUP(D180,'[6]Bao cao So GDDT'!$D$14:$S$282,11,FALSE)</f>
        <v>Giảng viên
(hạng III)</v>
      </c>
      <c r="O180" s="263" t="s">
        <v>807</v>
      </c>
      <c r="P180" s="170" t="s">
        <v>692</v>
      </c>
      <c r="Q180" s="170">
        <v>3</v>
      </c>
      <c r="R180" s="177">
        <v>3.66</v>
      </c>
      <c r="S180" s="176">
        <f t="shared" si="84"/>
        <v>0.40260000000000001</v>
      </c>
      <c r="T180" s="220"/>
      <c r="U180" s="176">
        <f t="shared" si="68"/>
        <v>0</v>
      </c>
      <c r="V180" s="175">
        <f t="shared" si="85"/>
        <v>0</v>
      </c>
      <c r="W180" s="170"/>
      <c r="X180" s="179">
        <v>0.11</v>
      </c>
      <c r="Y180" s="216">
        <f t="shared" si="69"/>
        <v>0.40260000000000001</v>
      </c>
      <c r="Z180" s="216">
        <f t="shared" si="70"/>
        <v>4.0625999999999998</v>
      </c>
      <c r="AA180" s="180">
        <f t="shared" si="71"/>
        <v>9506484</v>
      </c>
      <c r="AB180" s="180"/>
      <c r="AC180" s="180">
        <f t="shared" si="72"/>
        <v>0</v>
      </c>
      <c r="AD180" s="180">
        <f>AA180/24*AB180*75%</f>
        <v>0</v>
      </c>
      <c r="AE180" s="180">
        <f t="shared" si="73"/>
        <v>9506484</v>
      </c>
      <c r="AF180" s="178">
        <f t="shared" si="74"/>
        <v>760518.72</v>
      </c>
      <c r="AG180" s="178">
        <f t="shared" si="75"/>
        <v>142597.25999999998</v>
      </c>
      <c r="AH180" s="178">
        <f t="shared" si="76"/>
        <v>95064.84</v>
      </c>
      <c r="AI180" s="178"/>
      <c r="AJ180" s="178">
        <f t="shared" si="77"/>
        <v>998180.82</v>
      </c>
      <c r="AK180" s="192"/>
      <c r="AL180" s="535">
        <f t="shared" si="82"/>
        <v>0</v>
      </c>
      <c r="AM180" s="182"/>
      <c r="AN180" s="182"/>
      <c r="AO180" s="193">
        <f t="shared" si="65"/>
        <v>3.66</v>
      </c>
      <c r="AP180" s="179">
        <v>0.25</v>
      </c>
      <c r="AQ180" s="194">
        <f t="shared" si="78"/>
        <v>0.91500000000000004</v>
      </c>
      <c r="AR180" s="178">
        <f t="shared" si="79"/>
        <v>2141100</v>
      </c>
      <c r="AS180" s="178"/>
      <c r="AT180" s="178">
        <f t="shared" si="80"/>
        <v>10649403</v>
      </c>
      <c r="AU180" s="469">
        <f t="shared" si="81"/>
        <v>162</v>
      </c>
      <c r="AV180" s="195"/>
      <c r="AW180" s="198"/>
    </row>
    <row r="181" spans="1:49" s="189" customFormat="1" ht="31.5" customHeight="1" x14ac:dyDescent="0.25">
      <c r="A181" s="168">
        <f>_xlfn.AGGREGATE(4,7,A$13:A180)+1</f>
        <v>163</v>
      </c>
      <c r="B181" s="168" t="str">
        <f>VLOOKUP(D181,[1]LuongBC_T01!$B$9:$C$292,2,FALSE)</f>
        <v>0016100006700009</v>
      </c>
      <c r="C181" s="199" t="s">
        <v>1017</v>
      </c>
      <c r="D181" s="230" t="s">
        <v>751</v>
      </c>
      <c r="E181" s="263" t="s">
        <v>1094</v>
      </c>
      <c r="F181" s="231"/>
      <c r="G181" s="251"/>
      <c r="H181" s="231"/>
      <c r="I181" s="231"/>
      <c r="J181" s="231"/>
      <c r="K181" s="170" t="str">
        <f>VLOOKUP(D181,[2]T3!$B$2:$D$328,3,FALSE)</f>
        <v>025583771</v>
      </c>
      <c r="L181" s="724" t="s">
        <v>758</v>
      </c>
      <c r="M181" s="724" t="s">
        <v>1017</v>
      </c>
      <c r="N181" s="263" t="str">
        <f>VLOOKUP(D181,'[6]Bao cao So GDDT'!$D$14:$S$282,11,FALSE)</f>
        <v>Giảng viên
(hạng III)</v>
      </c>
      <c r="O181" s="393" t="s">
        <v>807</v>
      </c>
      <c r="P181" s="170" t="s">
        <v>692</v>
      </c>
      <c r="Q181" s="170">
        <v>2</v>
      </c>
      <c r="R181" s="177">
        <v>3.33</v>
      </c>
      <c r="S181" s="176">
        <f t="shared" si="84"/>
        <v>0.33300000000000002</v>
      </c>
      <c r="T181" s="169"/>
      <c r="U181" s="176">
        <f t="shared" si="68"/>
        <v>0</v>
      </c>
      <c r="V181" s="175"/>
      <c r="W181" s="170"/>
      <c r="X181" s="179">
        <v>0.1</v>
      </c>
      <c r="Y181" s="216">
        <f t="shared" si="69"/>
        <v>0.33300000000000002</v>
      </c>
      <c r="Z181" s="216">
        <f t="shared" si="70"/>
        <v>3.6630000000000003</v>
      </c>
      <c r="AA181" s="180">
        <f t="shared" si="71"/>
        <v>8571420</v>
      </c>
      <c r="AB181" s="180"/>
      <c r="AC181" s="180">
        <f t="shared" si="72"/>
        <v>0</v>
      </c>
      <c r="AD181" s="180">
        <f>AA181/24*AB181*75%</f>
        <v>0</v>
      </c>
      <c r="AE181" s="180">
        <f t="shared" si="73"/>
        <v>8571420</v>
      </c>
      <c r="AF181" s="178">
        <f t="shared" si="74"/>
        <v>685713.6</v>
      </c>
      <c r="AG181" s="178">
        <f t="shared" si="75"/>
        <v>128571.29999999999</v>
      </c>
      <c r="AH181" s="178">
        <f t="shared" si="76"/>
        <v>85714.2</v>
      </c>
      <c r="AI181" s="178"/>
      <c r="AJ181" s="178">
        <f t="shared" si="77"/>
        <v>899999.09999999986</v>
      </c>
      <c r="AK181" s="192"/>
      <c r="AL181" s="535">
        <f t="shared" si="82"/>
        <v>0</v>
      </c>
      <c r="AM181" s="182"/>
      <c r="AN181" s="182"/>
      <c r="AO181" s="183">
        <f t="shared" si="65"/>
        <v>3.33</v>
      </c>
      <c r="AP181" s="246">
        <v>0.25</v>
      </c>
      <c r="AQ181" s="194">
        <f t="shared" si="78"/>
        <v>0.83250000000000002</v>
      </c>
      <c r="AR181" s="178">
        <f t="shared" si="79"/>
        <v>1948050</v>
      </c>
      <c r="AS181" s="178"/>
      <c r="AT181" s="178">
        <f t="shared" si="80"/>
        <v>9619471</v>
      </c>
      <c r="AU181" s="469">
        <f t="shared" si="81"/>
        <v>163</v>
      </c>
      <c r="AV181" s="195"/>
      <c r="AW181" s="196" t="e">
        <f>#REF!*9</f>
        <v>#REF!</v>
      </c>
    </row>
    <row r="182" spans="1:49" s="189" customFormat="1" ht="31.5" customHeight="1" x14ac:dyDescent="0.25">
      <c r="A182" s="168">
        <f>_xlfn.AGGREGATE(4,7,A$13:A181)+1</f>
        <v>164</v>
      </c>
      <c r="B182" s="168" t="str">
        <f>VLOOKUP(D182,[1]LuongBC_T01!$B$9:$C$292,2,FALSE)</f>
        <v>0016100006722002</v>
      </c>
      <c r="C182" s="199" t="s">
        <v>1018</v>
      </c>
      <c r="D182" s="230" t="s">
        <v>752</v>
      </c>
      <c r="E182" s="263" t="s">
        <v>1094</v>
      </c>
      <c r="F182" s="231"/>
      <c r="G182" s="231"/>
      <c r="H182" s="231"/>
      <c r="I182" s="231"/>
      <c r="J182" s="231"/>
      <c r="K182" s="170" t="str">
        <f>VLOOKUP(D182,[2]T3!$B$2:$D$328,3,FALSE)</f>
        <v>046069000174</v>
      </c>
      <c r="L182" s="253" t="s">
        <v>759</v>
      </c>
      <c r="M182" s="253" t="s">
        <v>1018</v>
      </c>
      <c r="N182" s="263" t="str">
        <f>VLOOKUP(D182,'[6]Bao cao So GDDT'!$D$14:$S$282,11,FALSE)</f>
        <v>Giảng viên
(hạng III)</v>
      </c>
      <c r="O182" s="393" t="s">
        <v>807</v>
      </c>
      <c r="P182" s="170" t="s">
        <v>692</v>
      </c>
      <c r="Q182" s="170">
        <v>2</v>
      </c>
      <c r="R182" s="177">
        <v>3.33</v>
      </c>
      <c r="S182" s="176">
        <f t="shared" si="84"/>
        <v>0.4662</v>
      </c>
      <c r="T182" s="169"/>
      <c r="U182" s="176">
        <f t="shared" si="68"/>
        <v>0</v>
      </c>
      <c r="V182" s="175"/>
      <c r="W182" s="170"/>
      <c r="X182" s="179">
        <v>0.14000000000000001</v>
      </c>
      <c r="Y182" s="216">
        <f t="shared" si="69"/>
        <v>0.4662</v>
      </c>
      <c r="Z182" s="216">
        <f t="shared" si="70"/>
        <v>3.7962000000000002</v>
      </c>
      <c r="AA182" s="180">
        <f t="shared" si="71"/>
        <v>8883108</v>
      </c>
      <c r="AB182" s="180"/>
      <c r="AC182" s="180">
        <f t="shared" si="72"/>
        <v>0</v>
      </c>
      <c r="AD182" s="180">
        <f>AA182/24*AB182*75%</f>
        <v>0</v>
      </c>
      <c r="AE182" s="180">
        <f t="shared" si="73"/>
        <v>8883108</v>
      </c>
      <c r="AF182" s="178">
        <f t="shared" si="74"/>
        <v>710648.64</v>
      </c>
      <c r="AG182" s="178">
        <f t="shared" si="75"/>
        <v>133246.62</v>
      </c>
      <c r="AH182" s="178">
        <f t="shared" si="76"/>
        <v>88831.08</v>
      </c>
      <c r="AI182" s="178"/>
      <c r="AJ182" s="178">
        <f t="shared" si="77"/>
        <v>932726.34</v>
      </c>
      <c r="AK182" s="192"/>
      <c r="AL182" s="535">
        <f t="shared" si="82"/>
        <v>0</v>
      </c>
      <c r="AM182" s="182"/>
      <c r="AN182" s="182"/>
      <c r="AO182" s="183">
        <f t="shared" si="65"/>
        <v>3.33</v>
      </c>
      <c r="AP182" s="246">
        <v>0.25</v>
      </c>
      <c r="AQ182" s="194">
        <f t="shared" si="78"/>
        <v>0.83250000000000002</v>
      </c>
      <c r="AR182" s="178">
        <f t="shared" si="79"/>
        <v>1948050</v>
      </c>
      <c r="AS182" s="178"/>
      <c r="AT182" s="178">
        <f t="shared" si="80"/>
        <v>9898432</v>
      </c>
      <c r="AU182" s="469">
        <f t="shared" si="81"/>
        <v>164</v>
      </c>
      <c r="AV182" s="195"/>
      <c r="AW182" s="196" t="e">
        <f>#REF!/28</f>
        <v>#REF!</v>
      </c>
    </row>
    <row r="183" spans="1:49" s="189" customFormat="1" ht="31.5" customHeight="1" x14ac:dyDescent="0.25">
      <c r="A183" s="168">
        <f>_xlfn.AGGREGATE(4,7,A$13:A182)+1</f>
        <v>165</v>
      </c>
      <c r="B183" s="168" t="str">
        <f>VLOOKUP(D183,[1]LuongBC_T01!$B$9:$C$292,2,FALSE)</f>
        <v>0016100006589008</v>
      </c>
      <c r="C183" s="199" t="s">
        <v>906</v>
      </c>
      <c r="D183" s="169" t="s">
        <v>812</v>
      </c>
      <c r="E183" s="263" t="s">
        <v>1617</v>
      </c>
      <c r="F183" s="220"/>
      <c r="G183" s="220" t="s">
        <v>25</v>
      </c>
      <c r="H183" s="220"/>
      <c r="I183" s="220"/>
      <c r="J183" s="220"/>
      <c r="K183" s="170" t="str">
        <f>VLOOKUP(D183,[2]T3!$B$2:$D$328,3,FALSE)</f>
        <v>024327951</v>
      </c>
      <c r="L183" s="220"/>
      <c r="M183" s="170" t="s">
        <v>906</v>
      </c>
      <c r="N183" s="263" t="str">
        <f>VLOOKUP(D183,'[6]Bao cao So GDDT'!$D$14:$S$282,11,FALSE)</f>
        <v>Giảng viên GDNN LT (hạng III)</v>
      </c>
      <c r="O183" s="390" t="s">
        <v>1438</v>
      </c>
      <c r="P183" s="170" t="s">
        <v>692</v>
      </c>
      <c r="Q183" s="170">
        <v>1</v>
      </c>
      <c r="R183" s="177">
        <v>3</v>
      </c>
      <c r="S183" s="176">
        <f t="shared" si="84"/>
        <v>0.24</v>
      </c>
      <c r="T183" s="220"/>
      <c r="U183" s="176">
        <f t="shared" si="68"/>
        <v>0</v>
      </c>
      <c r="V183" s="175">
        <f t="shared" ref="V183:V200" si="87">R183*T183*$D$8/100</f>
        <v>0</v>
      </c>
      <c r="W183" s="170"/>
      <c r="X183" s="179">
        <v>0.08</v>
      </c>
      <c r="Y183" s="216">
        <f t="shared" si="69"/>
        <v>0.24</v>
      </c>
      <c r="Z183" s="216">
        <f t="shared" si="70"/>
        <v>3.24</v>
      </c>
      <c r="AA183" s="180">
        <f t="shared" si="71"/>
        <v>7581600</v>
      </c>
      <c r="AB183" s="180"/>
      <c r="AC183" s="180">
        <f t="shared" si="72"/>
        <v>0</v>
      </c>
      <c r="AD183" s="180">
        <v>0</v>
      </c>
      <c r="AE183" s="180">
        <f t="shared" si="73"/>
        <v>7581600</v>
      </c>
      <c r="AF183" s="178">
        <f t="shared" si="74"/>
        <v>606528</v>
      </c>
      <c r="AG183" s="178">
        <f t="shared" si="75"/>
        <v>113724</v>
      </c>
      <c r="AH183" s="178">
        <f t="shared" si="76"/>
        <v>75816</v>
      </c>
      <c r="AI183" s="178"/>
      <c r="AJ183" s="178">
        <f t="shared" si="77"/>
        <v>796068</v>
      </c>
      <c r="AK183" s="192"/>
      <c r="AL183" s="535">
        <f t="shared" si="82"/>
        <v>0</v>
      </c>
      <c r="AM183" s="182"/>
      <c r="AN183" s="182"/>
      <c r="AO183" s="183">
        <f t="shared" si="65"/>
        <v>3</v>
      </c>
      <c r="AP183" s="246">
        <v>0.25</v>
      </c>
      <c r="AQ183" s="185">
        <f t="shared" si="78"/>
        <v>0.75</v>
      </c>
      <c r="AR183" s="178">
        <f t="shared" si="79"/>
        <v>1755000</v>
      </c>
      <c r="AS183" s="178"/>
      <c r="AT183" s="178">
        <f t="shared" si="80"/>
        <v>8540532</v>
      </c>
      <c r="AU183" s="469">
        <f t="shared" si="81"/>
        <v>165</v>
      </c>
      <c r="AV183" s="195"/>
      <c r="AW183" s="198"/>
    </row>
    <row r="184" spans="1:49" s="189" customFormat="1" ht="31.5" customHeight="1" x14ac:dyDescent="0.25">
      <c r="A184" s="168">
        <f>_xlfn.AGGREGATE(4,7,A$13:A183)+1</f>
        <v>166</v>
      </c>
      <c r="B184" s="168" t="str">
        <f>VLOOKUP(D184,[1]LuongBC_T01!$B$9:$C$292,2,FALSE)</f>
        <v>0016100006702001</v>
      </c>
      <c r="C184" s="199" t="s">
        <v>905</v>
      </c>
      <c r="D184" s="169" t="s">
        <v>820</v>
      </c>
      <c r="E184" s="263" t="s">
        <v>1617</v>
      </c>
      <c r="F184" s="220"/>
      <c r="G184" s="220"/>
      <c r="H184" s="220"/>
      <c r="I184" s="220"/>
      <c r="J184" s="220"/>
      <c r="K184" s="170" t="str">
        <f>VLOOKUP(D184,[2]T3!$B$2:$D$328,3,FALSE)</f>
        <v>024104165</v>
      </c>
      <c r="L184" s="220"/>
      <c r="M184" s="170" t="s">
        <v>905</v>
      </c>
      <c r="N184" s="263" t="str">
        <f>VLOOKUP(D184,'[6]Bao cao So GDDT'!$D$14:$S$282,11,FALSE)</f>
        <v>Giảng viên GDNN LT (hạng III)</v>
      </c>
      <c r="O184" s="390" t="s">
        <v>1438</v>
      </c>
      <c r="P184" s="170" t="s">
        <v>692</v>
      </c>
      <c r="Q184" s="170">
        <v>1</v>
      </c>
      <c r="R184" s="177">
        <v>3</v>
      </c>
      <c r="S184" s="176">
        <f t="shared" si="84"/>
        <v>0.24</v>
      </c>
      <c r="T184" s="220"/>
      <c r="U184" s="176">
        <f t="shared" si="68"/>
        <v>0</v>
      </c>
      <c r="V184" s="175">
        <f t="shared" si="87"/>
        <v>0</v>
      </c>
      <c r="W184" s="170"/>
      <c r="X184" s="179">
        <v>0.08</v>
      </c>
      <c r="Y184" s="216">
        <f t="shared" si="69"/>
        <v>0.24</v>
      </c>
      <c r="Z184" s="216">
        <f t="shared" si="70"/>
        <v>3.24</v>
      </c>
      <c r="AA184" s="180">
        <f t="shared" si="71"/>
        <v>7581600</v>
      </c>
      <c r="AB184" s="180"/>
      <c r="AC184" s="180">
        <f t="shared" si="72"/>
        <v>0</v>
      </c>
      <c r="AD184" s="180">
        <v>0</v>
      </c>
      <c r="AE184" s="180">
        <f t="shared" si="73"/>
        <v>7581600</v>
      </c>
      <c r="AF184" s="178">
        <f t="shared" si="74"/>
        <v>606528</v>
      </c>
      <c r="AG184" s="178">
        <f t="shared" si="75"/>
        <v>113724</v>
      </c>
      <c r="AH184" s="178">
        <f t="shared" si="76"/>
        <v>75816</v>
      </c>
      <c r="AI184" s="178"/>
      <c r="AJ184" s="178">
        <f t="shared" si="77"/>
        <v>796068</v>
      </c>
      <c r="AK184" s="192"/>
      <c r="AL184" s="535">
        <f t="shared" si="82"/>
        <v>0</v>
      </c>
      <c r="AM184" s="182"/>
      <c r="AN184" s="182"/>
      <c r="AO184" s="183">
        <f t="shared" si="65"/>
        <v>3</v>
      </c>
      <c r="AP184" s="246">
        <v>0.25</v>
      </c>
      <c r="AQ184" s="185">
        <f t="shared" si="78"/>
        <v>0.75</v>
      </c>
      <c r="AR184" s="178">
        <f t="shared" si="79"/>
        <v>1755000</v>
      </c>
      <c r="AS184" s="178"/>
      <c r="AT184" s="178">
        <f t="shared" si="80"/>
        <v>8540532</v>
      </c>
      <c r="AU184" s="469">
        <f t="shared" si="81"/>
        <v>166</v>
      </c>
      <c r="AV184" s="195"/>
      <c r="AW184" s="198"/>
    </row>
    <row r="185" spans="1:49" s="191" customFormat="1" ht="31.5" customHeight="1" x14ac:dyDescent="0.25">
      <c r="A185" s="168">
        <f>_xlfn.AGGREGATE(4,7,A$13:A184)+1</f>
        <v>167</v>
      </c>
      <c r="B185" s="168" t="str">
        <f>VLOOKUP(D185,[1]LuongBC_T01!$B$9:$C$292,2,FALSE)</f>
        <v>0016100006620005</v>
      </c>
      <c r="C185" s="199" t="s">
        <v>956</v>
      </c>
      <c r="D185" s="169" t="s">
        <v>1219</v>
      </c>
      <c r="E185" s="263" t="s">
        <v>1094</v>
      </c>
      <c r="F185" s="169" t="s">
        <v>549</v>
      </c>
      <c r="G185" s="200" t="s">
        <v>25</v>
      </c>
      <c r="H185" s="170" t="s">
        <v>283</v>
      </c>
      <c r="I185" s="200" t="s">
        <v>283</v>
      </c>
      <c r="J185" s="220" t="s">
        <v>255</v>
      </c>
      <c r="K185" s="170" t="str">
        <f>VLOOKUP(D185,[2]T3!$B$2:$D$328,3,FALSE)</f>
        <v>082175000189</v>
      </c>
      <c r="L185" s="241" t="s">
        <v>170</v>
      </c>
      <c r="M185" s="241" t="s">
        <v>956</v>
      </c>
      <c r="N185" s="263" t="str">
        <f>VLOOKUP(D185,'[6]Bao cao So GDDT'!$D$14:$S$282,11,FALSE)</f>
        <v>Giảng viên
(hạng III)</v>
      </c>
      <c r="O185" s="390" t="s">
        <v>807</v>
      </c>
      <c r="P185" s="172" t="s">
        <v>692</v>
      </c>
      <c r="Q185" s="173">
        <v>5</v>
      </c>
      <c r="R185" s="174">
        <v>4.32</v>
      </c>
      <c r="S185" s="176">
        <f t="shared" si="84"/>
        <v>0.77759999999999996</v>
      </c>
      <c r="T185" s="377"/>
      <c r="U185" s="176">
        <f t="shared" si="68"/>
        <v>0</v>
      </c>
      <c r="V185" s="175">
        <f t="shared" si="87"/>
        <v>0</v>
      </c>
      <c r="W185" s="200"/>
      <c r="X185" s="179">
        <v>0.18</v>
      </c>
      <c r="Y185" s="216">
        <f t="shared" si="69"/>
        <v>0.77759999999999996</v>
      </c>
      <c r="Z185" s="216">
        <f t="shared" si="70"/>
        <v>5.0975999999999999</v>
      </c>
      <c r="AA185" s="180">
        <f t="shared" si="71"/>
        <v>11928384</v>
      </c>
      <c r="AB185" s="180"/>
      <c r="AC185" s="180">
        <f t="shared" si="72"/>
        <v>0</v>
      </c>
      <c r="AD185" s="180">
        <f t="shared" ref="AD185:AD191" si="88">AA185/24*AB185*75%</f>
        <v>0</v>
      </c>
      <c r="AE185" s="180">
        <f t="shared" si="73"/>
        <v>11928384</v>
      </c>
      <c r="AF185" s="178">
        <f t="shared" si="74"/>
        <v>954270.71999999997</v>
      </c>
      <c r="AG185" s="178">
        <f t="shared" si="75"/>
        <v>178925.75999999998</v>
      </c>
      <c r="AH185" s="178">
        <f t="shared" si="76"/>
        <v>119283.84</v>
      </c>
      <c r="AI185" s="178"/>
      <c r="AJ185" s="178">
        <f t="shared" si="77"/>
        <v>1252480.32</v>
      </c>
      <c r="AK185" s="181"/>
      <c r="AL185" s="535">
        <f t="shared" si="82"/>
        <v>0</v>
      </c>
      <c r="AM185" s="182"/>
      <c r="AN185" s="182"/>
      <c r="AO185" s="193">
        <f t="shared" si="65"/>
        <v>4.32</v>
      </c>
      <c r="AP185" s="246">
        <v>0.25</v>
      </c>
      <c r="AQ185" s="194">
        <f t="shared" si="78"/>
        <v>1.08</v>
      </c>
      <c r="AR185" s="178">
        <f t="shared" si="79"/>
        <v>2527200</v>
      </c>
      <c r="AS185" s="178"/>
      <c r="AT185" s="178">
        <f t="shared" si="80"/>
        <v>13203104</v>
      </c>
      <c r="AU185" s="469">
        <f t="shared" si="81"/>
        <v>167</v>
      </c>
      <c r="AV185" s="195"/>
      <c r="AW185" s="198" t="s">
        <v>710</v>
      </c>
    </row>
    <row r="186" spans="1:49" s="189" customFormat="1" ht="37.5" customHeight="1" x14ac:dyDescent="0.25">
      <c r="A186" s="168">
        <f>_xlfn.AGGREGATE(4,7,A$13:A185)+1</f>
        <v>168</v>
      </c>
      <c r="B186" s="168" t="s">
        <v>1500</v>
      </c>
      <c r="C186" s="659" t="s">
        <v>1557</v>
      </c>
      <c r="D186" s="169" t="s">
        <v>1439</v>
      </c>
      <c r="E186" s="263" t="s">
        <v>1617</v>
      </c>
      <c r="F186" s="220"/>
      <c r="G186" s="220"/>
      <c r="H186" s="220"/>
      <c r="I186" s="220"/>
      <c r="J186" s="220"/>
      <c r="K186" s="168"/>
      <c r="L186" s="490" t="s">
        <v>1448</v>
      </c>
      <c r="M186" s="170"/>
      <c r="N186" s="263" t="str">
        <f>VLOOKUP(D186,'[6]Bao cao So GDDT'!$D$14:$S$282,11,FALSE)</f>
        <v>Giảng viên GDNN LT (hạng III)</v>
      </c>
      <c r="O186" s="661" t="s">
        <v>1438</v>
      </c>
      <c r="P186" s="251"/>
      <c r="Q186" s="251"/>
      <c r="R186" s="170">
        <v>2.67</v>
      </c>
      <c r="S186" s="176"/>
      <c r="T186" s="220"/>
      <c r="U186" s="176">
        <f>ROUND(R186*T186/100,4)</f>
        <v>0</v>
      </c>
      <c r="V186" s="175"/>
      <c r="W186" s="170"/>
      <c r="X186" s="179">
        <f>VLOOKUP(D186,PCTN!D89:W356,20,FALSE)</f>
        <v>0</v>
      </c>
      <c r="Y186" s="216">
        <f>ROUND((R186+U186+W186)*X186,4)</f>
        <v>0</v>
      </c>
      <c r="Z186" s="216">
        <f>R186+U186+W186+Y186</f>
        <v>2.67</v>
      </c>
      <c r="AA186" s="180">
        <f>ROUND(Z186*$D$8,0)</f>
        <v>6247800</v>
      </c>
      <c r="AB186" s="180"/>
      <c r="AC186" s="180">
        <f>AA186/24*AB186</f>
        <v>0</v>
      </c>
      <c r="AD186" s="180">
        <v>0</v>
      </c>
      <c r="AE186" s="180">
        <f>ROUND(AA186-AC186+AD186,0)</f>
        <v>6247800</v>
      </c>
      <c r="AF186" s="178">
        <f>AA186*8%</f>
        <v>499824</v>
      </c>
      <c r="AG186" s="178">
        <f>AA186*1.5%</f>
        <v>93717</v>
      </c>
      <c r="AH186" s="178">
        <f>AA186*1%</f>
        <v>62478</v>
      </c>
      <c r="AI186" s="178"/>
      <c r="AJ186" s="178">
        <f>SUM(AF186:AI186)</f>
        <v>656019</v>
      </c>
      <c r="AK186" s="192"/>
      <c r="AL186" s="535">
        <f t="shared" si="82"/>
        <v>0</v>
      </c>
      <c r="AM186" s="182"/>
      <c r="AN186" s="182"/>
      <c r="AO186" s="183">
        <f>R186+U186+W186</f>
        <v>2.67</v>
      </c>
      <c r="AP186" s="639">
        <v>0.25</v>
      </c>
      <c r="AQ186" s="185">
        <f>ROUND(AO186*AP186,4)</f>
        <v>0.66749999999999998</v>
      </c>
      <c r="AR186" s="178">
        <f>ROUND(AQ186*$D$8,0)</f>
        <v>1561950</v>
      </c>
      <c r="AS186" s="178"/>
      <c r="AT186" s="178">
        <f>ROUND(AE186-AJ186+AL186+AN186+AR186,0)</f>
        <v>7153731</v>
      </c>
      <c r="AU186" s="538">
        <f>A186</f>
        <v>168</v>
      </c>
      <c r="AV186" s="539"/>
      <c r="AW186" s="658"/>
    </row>
    <row r="187" spans="1:49" s="189" customFormat="1" ht="37.5" customHeight="1" x14ac:dyDescent="0.25">
      <c r="A187" s="168">
        <f>_xlfn.AGGREGATE(4,7,A$13:A186)+1</f>
        <v>169</v>
      </c>
      <c r="B187" s="168" t="s">
        <v>1503</v>
      </c>
      <c r="C187" s="998" t="s">
        <v>1562</v>
      </c>
      <c r="D187" s="544" t="s">
        <v>1457</v>
      </c>
      <c r="E187" s="563" t="s">
        <v>1617</v>
      </c>
      <c r="F187" s="564"/>
      <c r="G187" s="564"/>
      <c r="H187" s="564"/>
      <c r="I187" s="564"/>
      <c r="J187" s="564"/>
      <c r="K187" s="565"/>
      <c r="L187" s="721"/>
      <c r="M187" s="545"/>
      <c r="N187" s="263" t="str">
        <f>VLOOKUP(D187,'[6]Bao cao So GDDT'!$D$14:$S$282,11,FALSE)</f>
        <v>Giảng viên GDNN LT (hạng III)</v>
      </c>
      <c r="O187" s="661" t="s">
        <v>1438</v>
      </c>
      <c r="P187" s="566"/>
      <c r="Q187" s="566"/>
      <c r="R187" s="545">
        <v>2.67</v>
      </c>
      <c r="S187" s="546"/>
      <c r="T187" s="564"/>
      <c r="U187" s="546">
        <f>ROUND(R187*T187/100,4)</f>
        <v>0</v>
      </c>
      <c r="V187" s="547"/>
      <c r="W187" s="545"/>
      <c r="X187" s="179">
        <f>VLOOKUP(D187,PCTN!D93:W360,20,FALSE)</f>
        <v>0</v>
      </c>
      <c r="Y187" s="216">
        <f>ROUND((R187+U187+W187)*X187,4)</f>
        <v>0</v>
      </c>
      <c r="Z187" s="216">
        <f>R187+U187+W187+Y187</f>
        <v>2.67</v>
      </c>
      <c r="AA187" s="180">
        <f>ROUND(Z187*$D$8,0)</f>
        <v>6247800</v>
      </c>
      <c r="AB187" s="549"/>
      <c r="AC187" s="180">
        <f>AA187/24*AB187</f>
        <v>0</v>
      </c>
      <c r="AD187" s="180">
        <f t="shared" si="88"/>
        <v>0</v>
      </c>
      <c r="AE187" s="180">
        <f>ROUND(AA187-AC187+AD187,0)</f>
        <v>6247800</v>
      </c>
      <c r="AF187" s="178">
        <f>AA187*8%</f>
        <v>499824</v>
      </c>
      <c r="AG187" s="178">
        <f>AA187*1.5%</f>
        <v>93717</v>
      </c>
      <c r="AH187" s="178">
        <f>AA187*1%</f>
        <v>62478</v>
      </c>
      <c r="AI187" s="550"/>
      <c r="AJ187" s="178">
        <f>SUM(AF187:AI187)</f>
        <v>656019</v>
      </c>
      <c r="AK187" s="567"/>
      <c r="AL187" s="535">
        <f t="shared" si="82"/>
        <v>0</v>
      </c>
      <c r="AM187" s="568"/>
      <c r="AN187" s="568"/>
      <c r="AO187" s="569">
        <f>R187+U187+W187</f>
        <v>2.67</v>
      </c>
      <c r="AP187" s="639">
        <v>0.25</v>
      </c>
      <c r="AQ187" s="185">
        <f>ROUND(AO187*AP187,4)</f>
        <v>0.66749999999999998</v>
      </c>
      <c r="AR187" s="178">
        <f>ROUND(AQ187*$D$8,0)</f>
        <v>1561950</v>
      </c>
      <c r="AS187" s="550"/>
      <c r="AT187" s="178">
        <f>ROUND(AE187-AJ187+AL187+AN187+AR187,0)</f>
        <v>7153731</v>
      </c>
      <c r="AU187" s="538">
        <f>A187</f>
        <v>169</v>
      </c>
      <c r="AV187" s="722"/>
      <c r="AW187" s="658"/>
    </row>
    <row r="188" spans="1:49" s="189" customFormat="1" ht="42.75" customHeight="1" x14ac:dyDescent="0.25">
      <c r="A188" s="168">
        <f>_xlfn.AGGREGATE(4,7,A$13:A187)+1</f>
        <v>170</v>
      </c>
      <c r="B188" s="168"/>
      <c r="C188" s="168"/>
      <c r="D188" s="169" t="s">
        <v>1589</v>
      </c>
      <c r="E188" s="263" t="s">
        <v>1617</v>
      </c>
      <c r="F188" s="220"/>
      <c r="G188" s="220"/>
      <c r="H188" s="220"/>
      <c r="I188" s="220"/>
      <c r="J188" s="220"/>
      <c r="K188" s="168"/>
      <c r="L188" s="490"/>
      <c r="M188" s="170"/>
      <c r="N188" s="263"/>
      <c r="O188" s="263" t="s">
        <v>1438</v>
      </c>
      <c r="P188" s="170"/>
      <c r="Q188" s="170"/>
      <c r="R188" s="170">
        <v>2.34</v>
      </c>
      <c r="S188" s="176"/>
      <c r="T188" s="220"/>
      <c r="U188" s="546">
        <f>ROUND(R188*T188/100,4)</f>
        <v>0</v>
      </c>
      <c r="V188" s="175"/>
      <c r="W188" s="170"/>
      <c r="X188" s="179">
        <v>0</v>
      </c>
      <c r="Y188" s="216">
        <f>ROUND((R188+U188+W188)*X188,4)</f>
        <v>0</v>
      </c>
      <c r="Z188" s="216">
        <f>R188+U188+W188+Y188</f>
        <v>2.34</v>
      </c>
      <c r="AA188" s="180">
        <f>ROUND(Z188*$D$8,0)</f>
        <v>5475600</v>
      </c>
      <c r="AB188" s="180">
        <v>0</v>
      </c>
      <c r="AC188" s="180">
        <f>AA188/24*AB188</f>
        <v>0</v>
      </c>
      <c r="AD188" s="180">
        <v>0</v>
      </c>
      <c r="AE188" s="180">
        <f>ROUND(AA188-AC188+AD188,0)</f>
        <v>5475600</v>
      </c>
      <c r="AF188" s="178">
        <f>AA188*8%</f>
        <v>438048</v>
      </c>
      <c r="AG188" s="178">
        <f>AA188*1.5%</f>
        <v>82134</v>
      </c>
      <c r="AH188" s="178">
        <f>AA188*1%</f>
        <v>54756</v>
      </c>
      <c r="AI188" s="178"/>
      <c r="AJ188" s="178">
        <f>SUM(AF188:AI188)</f>
        <v>574938</v>
      </c>
      <c r="AK188" s="192"/>
      <c r="AL188" s="535">
        <f>AK188*$D$8</f>
        <v>0</v>
      </c>
      <c r="AM188" s="182"/>
      <c r="AN188" s="182"/>
      <c r="AO188" s="183">
        <f>R188+U188+W188</f>
        <v>2.34</v>
      </c>
      <c r="AP188" s="246">
        <v>0.25</v>
      </c>
      <c r="AQ188" s="185">
        <f>ROUND(AO188*AP188,4)</f>
        <v>0.58499999999999996</v>
      </c>
      <c r="AR188" s="178">
        <f>ROUND(AQ188*$D$8,0)</f>
        <v>1368900</v>
      </c>
      <c r="AS188" s="178"/>
      <c r="AT188" s="178">
        <f>ROUND(AE188-AJ188+AL188+AN188+AR188,0)</f>
        <v>6269562</v>
      </c>
      <c r="AU188" s="469">
        <f>A188</f>
        <v>170</v>
      </c>
      <c r="AV188" s="195"/>
      <c r="AW188" s="658"/>
    </row>
    <row r="189" spans="1:49" s="189" customFormat="1" ht="31.5" customHeight="1" x14ac:dyDescent="0.25">
      <c r="A189" s="168">
        <f>_xlfn.AGGREGATE(4,7,A$13:A188)+1</f>
        <v>171</v>
      </c>
      <c r="B189" s="168" t="str">
        <f>VLOOKUP(D189,[1]LuongBC_T01!$B$9:$C$292,2,FALSE)</f>
        <v>0016100006777001</v>
      </c>
      <c r="C189" s="199" t="s">
        <v>915</v>
      </c>
      <c r="D189" s="169" t="s">
        <v>62</v>
      </c>
      <c r="E189" s="263" t="s">
        <v>1591</v>
      </c>
      <c r="F189" s="169" t="s">
        <v>550</v>
      </c>
      <c r="G189" s="200" t="s">
        <v>25</v>
      </c>
      <c r="H189" s="170" t="s">
        <v>283</v>
      </c>
      <c r="I189" s="170" t="s">
        <v>283</v>
      </c>
      <c r="J189" s="169" t="s">
        <v>245</v>
      </c>
      <c r="K189" s="170" t="str">
        <f>VLOOKUP(D189,[2]T3!$B$2:$D$328,3,FALSE)</f>
        <v>024774604</v>
      </c>
      <c r="L189" s="171" t="s">
        <v>114</v>
      </c>
      <c r="M189" s="171" t="s">
        <v>915</v>
      </c>
      <c r="N189" s="263" t="str">
        <f>VLOOKUP(D189,'[6]Bao cao So GDDT'!$D$14:$S$282,11,FALSE)</f>
        <v>Giảng viên GDNN LT (hạng III)</v>
      </c>
      <c r="O189" s="390" t="s">
        <v>1438</v>
      </c>
      <c r="P189" s="172" t="s">
        <v>692</v>
      </c>
      <c r="Q189" s="173">
        <v>4</v>
      </c>
      <c r="R189" s="174">
        <v>4.32</v>
      </c>
      <c r="S189" s="176">
        <f>U189+W189+Y189</f>
        <v>1.2132000000000001</v>
      </c>
      <c r="T189" s="370"/>
      <c r="U189" s="176">
        <f>ROUND(R189*T189/100,4)</f>
        <v>0</v>
      </c>
      <c r="V189" s="175">
        <f>R189*T189*$D$8/100</f>
        <v>0</v>
      </c>
      <c r="W189" s="170">
        <v>0.45</v>
      </c>
      <c r="X189" s="179">
        <v>0.16</v>
      </c>
      <c r="Y189" s="216">
        <f>ROUND((R189+U189+W189)*X189,4)</f>
        <v>0.76319999999999999</v>
      </c>
      <c r="Z189" s="216">
        <f>R189+U189+W189+Y189</f>
        <v>5.5332000000000008</v>
      </c>
      <c r="AA189" s="180">
        <f>ROUND(Z189*$D$8,0)</f>
        <v>12947688</v>
      </c>
      <c r="AB189" s="180"/>
      <c r="AC189" s="180">
        <f>AA189/24*AB189</f>
        <v>0</v>
      </c>
      <c r="AD189" s="180">
        <f>AA189/24*AB189*75%</f>
        <v>0</v>
      </c>
      <c r="AE189" s="180">
        <f>ROUND(AA189-AC189+AD189,0)</f>
        <v>12947688</v>
      </c>
      <c r="AF189" s="178">
        <f>AA189*8%</f>
        <v>1035815.04</v>
      </c>
      <c r="AG189" s="178">
        <f>AA189*1.5%</f>
        <v>194215.32</v>
      </c>
      <c r="AH189" s="178">
        <f>AA189*1%</f>
        <v>129476.88</v>
      </c>
      <c r="AI189" s="178"/>
      <c r="AJ189" s="178">
        <f>SUM(AF189:AI189)</f>
        <v>1359507.2400000002</v>
      </c>
      <c r="AK189" s="192"/>
      <c r="AL189" s="535">
        <f t="shared" ref="AL189:AL190" si="89">AK189*$D$8</f>
        <v>0</v>
      </c>
      <c r="AM189" s="182"/>
      <c r="AN189" s="182"/>
      <c r="AO189" s="193">
        <f>R189+U189+W189</f>
        <v>4.7700000000000005</v>
      </c>
      <c r="AP189" s="246">
        <v>0.45</v>
      </c>
      <c r="AQ189" s="194">
        <f>ROUND(AO189*AP189,4)</f>
        <v>2.1465000000000001</v>
      </c>
      <c r="AR189" s="178">
        <f>ROUND(AQ189*$D$8,0)</f>
        <v>5022810</v>
      </c>
      <c r="AS189" s="178"/>
      <c r="AT189" s="178">
        <f>ROUND(AE189-AJ189+AL189+AN189+AR189,0)</f>
        <v>16610991</v>
      </c>
      <c r="AU189" s="469">
        <f>A189</f>
        <v>171</v>
      </c>
      <c r="AV189" s="195"/>
      <c r="AW189" s="198" t="s">
        <v>710</v>
      </c>
    </row>
    <row r="190" spans="1:49" s="189" customFormat="1" ht="31.5" customHeight="1" x14ac:dyDescent="0.25">
      <c r="A190" s="168">
        <f>_xlfn.AGGREGATE(4,7,A$13:A189)+1</f>
        <v>172</v>
      </c>
      <c r="B190" s="168" t="str">
        <f>VLOOKUP(D190,[1]LuongBC_T01!$B$9:$C$292,2,FALSE)</f>
        <v>0016100006730005</v>
      </c>
      <c r="C190" s="199" t="s">
        <v>913</v>
      </c>
      <c r="D190" s="169" t="s">
        <v>1201</v>
      </c>
      <c r="E190" s="263" t="s">
        <v>1254</v>
      </c>
      <c r="F190" s="169" t="s">
        <v>549</v>
      </c>
      <c r="G190" s="200"/>
      <c r="H190" s="200" t="s">
        <v>283</v>
      </c>
      <c r="I190" s="200" t="s">
        <v>283</v>
      </c>
      <c r="J190" s="200" t="s">
        <v>580</v>
      </c>
      <c r="K190" s="170" t="str">
        <f>VLOOKUP(D190,[2]T3!$B$2:$D$328,3,FALSE)</f>
        <v>025531048</v>
      </c>
      <c r="L190" s="201" t="s">
        <v>602</v>
      </c>
      <c r="M190" s="201" t="s">
        <v>913</v>
      </c>
      <c r="N190" s="263" t="str">
        <f>VLOOKUP(D190,'[6]Bao cao So GDDT'!$D$14:$S$282,11,FALSE)</f>
        <v>Giảng viên GDNN LT (hạng III)</v>
      </c>
      <c r="O190" s="390" t="s">
        <v>1438</v>
      </c>
      <c r="P190" s="170" t="s">
        <v>692</v>
      </c>
      <c r="Q190" s="170">
        <v>3</v>
      </c>
      <c r="R190" s="177">
        <v>3.99</v>
      </c>
      <c r="S190" s="176">
        <f t="shared" si="84"/>
        <v>0.95760000000000001</v>
      </c>
      <c r="T190" s="220"/>
      <c r="U190" s="176">
        <f t="shared" si="68"/>
        <v>0</v>
      </c>
      <c r="V190" s="175">
        <f t="shared" si="87"/>
        <v>0</v>
      </c>
      <c r="W190" s="170">
        <v>0.35</v>
      </c>
      <c r="X190" s="179">
        <v>0.14000000000000001</v>
      </c>
      <c r="Y190" s="216">
        <f t="shared" si="69"/>
        <v>0.60760000000000003</v>
      </c>
      <c r="Z190" s="216">
        <f t="shared" si="70"/>
        <v>4.9475999999999996</v>
      </c>
      <c r="AA190" s="180">
        <f t="shared" si="71"/>
        <v>11577384</v>
      </c>
      <c r="AB190" s="180"/>
      <c r="AC190" s="180">
        <f t="shared" si="72"/>
        <v>0</v>
      </c>
      <c r="AD190" s="180">
        <f t="shared" si="88"/>
        <v>0</v>
      </c>
      <c r="AE190" s="180">
        <f t="shared" si="73"/>
        <v>11577384</v>
      </c>
      <c r="AF190" s="178">
        <f t="shared" si="74"/>
        <v>926190.72</v>
      </c>
      <c r="AG190" s="178">
        <f t="shared" si="75"/>
        <v>173660.75999999998</v>
      </c>
      <c r="AH190" s="178">
        <f t="shared" si="76"/>
        <v>115773.84</v>
      </c>
      <c r="AI190" s="178"/>
      <c r="AJ190" s="178">
        <f t="shared" si="77"/>
        <v>1215625.32</v>
      </c>
      <c r="AK190" s="192"/>
      <c r="AL190" s="535">
        <f t="shared" si="89"/>
        <v>0</v>
      </c>
      <c r="AM190" s="182"/>
      <c r="AN190" s="182"/>
      <c r="AO190" s="193">
        <f t="shared" si="65"/>
        <v>4.34</v>
      </c>
      <c r="AP190" s="246">
        <v>0.45</v>
      </c>
      <c r="AQ190" s="194">
        <f t="shared" si="78"/>
        <v>1.9530000000000001</v>
      </c>
      <c r="AR190" s="178">
        <f t="shared" si="79"/>
        <v>4570020</v>
      </c>
      <c r="AS190" s="178"/>
      <c r="AT190" s="178">
        <f t="shared" si="80"/>
        <v>14931779</v>
      </c>
      <c r="AU190" s="469">
        <f t="shared" si="81"/>
        <v>172</v>
      </c>
      <c r="AV190" s="195"/>
      <c r="AW190" s="198" t="s">
        <v>710</v>
      </c>
    </row>
    <row r="191" spans="1:49" s="189" customFormat="1" ht="31.5" customHeight="1" x14ac:dyDescent="0.25">
      <c r="A191" s="168">
        <f>_xlfn.AGGREGATE(4,7,A$13:A190)+1</f>
        <v>173</v>
      </c>
      <c r="B191" s="168" t="str">
        <f>VLOOKUP(D191,[1]LuongBC_T01!$B$9:$C$292,2,FALSE)</f>
        <v>0016100006726008</v>
      </c>
      <c r="C191" s="199" t="s">
        <v>925</v>
      </c>
      <c r="D191" s="169" t="s">
        <v>301</v>
      </c>
      <c r="E191" s="263" t="s">
        <v>1680</v>
      </c>
      <c r="F191" s="169" t="s">
        <v>549</v>
      </c>
      <c r="G191" s="200" t="s">
        <v>25</v>
      </c>
      <c r="H191" s="200" t="s">
        <v>283</v>
      </c>
      <c r="I191" s="170" t="s">
        <v>283</v>
      </c>
      <c r="J191" s="169" t="s">
        <v>527</v>
      </c>
      <c r="K191" s="170" t="str">
        <f>VLOOKUP(D191,[2]T3!$B$2:$D$328,3,FALSE)</f>
        <v>024827262</v>
      </c>
      <c r="L191" s="171" t="s">
        <v>336</v>
      </c>
      <c r="M191" s="171" t="s">
        <v>925</v>
      </c>
      <c r="N191" s="263" t="str">
        <f>VLOOKUP(D191,'[6]Bao cao So GDDT'!$D$14:$S$282,11,FALSE)</f>
        <v>Giảng viên GDNN LT (hạng III)</v>
      </c>
      <c r="O191" s="390" t="s">
        <v>1438</v>
      </c>
      <c r="P191" s="172" t="s">
        <v>692</v>
      </c>
      <c r="Q191" s="173">
        <v>4</v>
      </c>
      <c r="R191" s="174">
        <v>4.32</v>
      </c>
      <c r="S191" s="176">
        <f t="shared" si="84"/>
        <v>0.9355</v>
      </c>
      <c r="T191" s="370"/>
      <c r="U191" s="176">
        <f t="shared" si="68"/>
        <v>0</v>
      </c>
      <c r="V191" s="175">
        <f t="shared" si="87"/>
        <v>0</v>
      </c>
      <c r="W191" s="170">
        <v>0.25</v>
      </c>
      <c r="X191" s="179">
        <v>0.15</v>
      </c>
      <c r="Y191" s="216">
        <f t="shared" si="69"/>
        <v>0.6855</v>
      </c>
      <c r="Z191" s="216">
        <f t="shared" si="70"/>
        <v>5.2555000000000005</v>
      </c>
      <c r="AA191" s="180">
        <f t="shared" si="71"/>
        <v>12297870</v>
      </c>
      <c r="AB191" s="180"/>
      <c r="AC191" s="180">
        <f t="shared" si="72"/>
        <v>0</v>
      </c>
      <c r="AD191" s="180">
        <f t="shared" si="88"/>
        <v>0</v>
      </c>
      <c r="AE191" s="180">
        <f t="shared" si="73"/>
        <v>12297870</v>
      </c>
      <c r="AF191" s="178">
        <f t="shared" si="74"/>
        <v>983829.6</v>
      </c>
      <c r="AG191" s="178">
        <f t="shared" si="75"/>
        <v>184468.05</v>
      </c>
      <c r="AH191" s="178">
        <f t="shared" si="76"/>
        <v>122978.7</v>
      </c>
      <c r="AI191" s="178"/>
      <c r="AJ191" s="178">
        <f t="shared" ref="AJ191:AJ254" si="90">SUM(AF191:AI191)</f>
        <v>1291276.3499999999</v>
      </c>
      <c r="AK191" s="192"/>
      <c r="AL191" s="535">
        <f>AK191*$D$8</f>
        <v>0</v>
      </c>
      <c r="AM191" s="182"/>
      <c r="AN191" s="182"/>
      <c r="AO191" s="193">
        <f t="shared" si="65"/>
        <v>4.57</v>
      </c>
      <c r="AP191" s="246">
        <v>0.45</v>
      </c>
      <c r="AQ191" s="194">
        <f t="shared" si="78"/>
        <v>2.0565000000000002</v>
      </c>
      <c r="AR191" s="178">
        <f t="shared" si="79"/>
        <v>4812210</v>
      </c>
      <c r="AS191" s="178"/>
      <c r="AT191" s="178">
        <f t="shared" si="80"/>
        <v>15818804</v>
      </c>
      <c r="AU191" s="469">
        <f t="shared" si="81"/>
        <v>173</v>
      </c>
      <c r="AV191" s="195"/>
      <c r="AW191" s="187" t="s">
        <v>709</v>
      </c>
    </row>
    <row r="192" spans="1:49" s="189" customFormat="1" ht="36" customHeight="1" x14ac:dyDescent="0.25">
      <c r="A192" s="168">
        <f>_xlfn.AGGREGATE(4,7,A$13:A191)+1</f>
        <v>174</v>
      </c>
      <c r="B192" s="168" t="str">
        <f>VLOOKUP(D192,[1]LuongBC_T01!$B$9:$C$292,2,FALSE)</f>
        <v>0016100006579005</v>
      </c>
      <c r="C192" s="199" t="s">
        <v>987</v>
      </c>
      <c r="D192" s="169" t="s">
        <v>569</v>
      </c>
      <c r="E192" s="263" t="s">
        <v>1251</v>
      </c>
      <c r="F192" s="169" t="s">
        <v>549</v>
      </c>
      <c r="G192" s="200" t="s">
        <v>25</v>
      </c>
      <c r="H192" s="200" t="s">
        <v>283</v>
      </c>
      <c r="I192" s="200" t="s">
        <v>283</v>
      </c>
      <c r="J192" s="200" t="s">
        <v>579</v>
      </c>
      <c r="K192" s="170" t="str">
        <f>VLOOKUP(D192,[2]T3!$B$2:$D$328,3,FALSE)</f>
        <v>025523427</v>
      </c>
      <c r="L192" s="201" t="s">
        <v>601</v>
      </c>
      <c r="M192" s="201" t="s">
        <v>987</v>
      </c>
      <c r="N192" s="263" t="str">
        <f>VLOOKUP(D192,'[6]Bao cao So GDDT'!$D$14:$S$282,11,FALSE)</f>
        <v>Giảng viên GDNN LT (hạng III)</v>
      </c>
      <c r="O192" s="390" t="s">
        <v>1438</v>
      </c>
      <c r="P192" s="170" t="s">
        <v>692</v>
      </c>
      <c r="Q192" s="170">
        <v>3</v>
      </c>
      <c r="R192" s="177">
        <v>3.99</v>
      </c>
      <c r="S192" s="176">
        <f t="shared" si="84"/>
        <v>0.55859999999999999</v>
      </c>
      <c r="T192" s="220"/>
      <c r="U192" s="176">
        <f t="shared" si="68"/>
        <v>0</v>
      </c>
      <c r="V192" s="175">
        <f t="shared" si="87"/>
        <v>0</v>
      </c>
      <c r="W192" s="170"/>
      <c r="X192" s="179">
        <v>0.14000000000000001</v>
      </c>
      <c r="Y192" s="216">
        <f t="shared" si="69"/>
        <v>0.55859999999999999</v>
      </c>
      <c r="Z192" s="216">
        <f t="shared" si="70"/>
        <v>4.5486000000000004</v>
      </c>
      <c r="AA192" s="180">
        <f t="shared" si="71"/>
        <v>10643724</v>
      </c>
      <c r="AB192" s="180"/>
      <c r="AC192" s="180">
        <f t="shared" si="72"/>
        <v>0</v>
      </c>
      <c r="AD192" s="180">
        <v>0</v>
      </c>
      <c r="AE192" s="180">
        <f t="shared" si="73"/>
        <v>10643724</v>
      </c>
      <c r="AF192" s="178">
        <f t="shared" si="74"/>
        <v>851497.92</v>
      </c>
      <c r="AG192" s="178">
        <f t="shared" si="75"/>
        <v>159655.85999999999</v>
      </c>
      <c r="AH192" s="178">
        <f t="shared" si="76"/>
        <v>106437.24</v>
      </c>
      <c r="AI192" s="178"/>
      <c r="AJ192" s="178">
        <f t="shared" si="90"/>
        <v>1117591.02</v>
      </c>
      <c r="AK192" s="192">
        <v>0</v>
      </c>
      <c r="AL192" s="535">
        <f t="shared" ref="AL192:AL219" si="91">AK192*$D$8</f>
        <v>0</v>
      </c>
      <c r="AM192" s="182"/>
      <c r="AN192" s="182"/>
      <c r="AO192" s="193">
        <f t="shared" si="65"/>
        <v>3.99</v>
      </c>
      <c r="AP192" s="246">
        <v>0.45</v>
      </c>
      <c r="AQ192" s="194">
        <f t="shared" si="78"/>
        <v>1.7955000000000001</v>
      </c>
      <c r="AR192" s="178">
        <f t="shared" si="79"/>
        <v>4201470</v>
      </c>
      <c r="AS192" s="178"/>
      <c r="AT192" s="178">
        <f t="shared" si="80"/>
        <v>13727603</v>
      </c>
      <c r="AU192" s="469">
        <f t="shared" si="81"/>
        <v>174</v>
      </c>
      <c r="AV192" s="447"/>
      <c r="AW192" s="198" t="s">
        <v>710</v>
      </c>
    </row>
    <row r="193" spans="1:49" s="189" customFormat="1" ht="31.5" customHeight="1" x14ac:dyDescent="0.25">
      <c r="A193" s="168">
        <f>_xlfn.AGGREGATE(4,7,A$13:A192)+1</f>
        <v>175</v>
      </c>
      <c r="B193" s="168" t="str">
        <f>VLOOKUP(D193,[1]LuongBC_T01!$B$9:$C$292,2,FALSE)</f>
        <v>0016100006778008</v>
      </c>
      <c r="C193" s="199" t="s">
        <v>1019</v>
      </c>
      <c r="D193" s="169" t="s">
        <v>739</v>
      </c>
      <c r="E193" s="263" t="s">
        <v>1251</v>
      </c>
      <c r="F193" s="169"/>
      <c r="G193" s="170" t="s">
        <v>25</v>
      </c>
      <c r="H193" s="170"/>
      <c r="I193" s="170"/>
      <c r="J193" s="169"/>
      <c r="K193" s="170" t="str">
        <f>VLOOKUP(D193,[2]T3!$B$2:$D$328,3,FALSE)</f>
        <v>025611151</v>
      </c>
      <c r="L193" s="253" t="s">
        <v>746</v>
      </c>
      <c r="M193" s="253" t="s">
        <v>1019</v>
      </c>
      <c r="N193" s="263" t="str">
        <f>VLOOKUP(D193,'[6]Bao cao So GDDT'!$D$14:$S$282,11,FALSE)</f>
        <v>Giảng viên GDNN LT (hạng III)</v>
      </c>
      <c r="O193" s="390" t="s">
        <v>1438</v>
      </c>
      <c r="P193" s="222" t="s">
        <v>692</v>
      </c>
      <c r="Q193" s="172">
        <v>3</v>
      </c>
      <c r="R193" s="174">
        <v>3.99</v>
      </c>
      <c r="S193" s="176">
        <f t="shared" si="84"/>
        <v>0.59850000000000003</v>
      </c>
      <c r="T193" s="370"/>
      <c r="U193" s="176">
        <f t="shared" si="68"/>
        <v>0</v>
      </c>
      <c r="V193" s="175">
        <f t="shared" si="87"/>
        <v>0</v>
      </c>
      <c r="W193" s="170"/>
      <c r="X193" s="179">
        <v>0.15</v>
      </c>
      <c r="Y193" s="216">
        <f t="shared" si="69"/>
        <v>0.59850000000000003</v>
      </c>
      <c r="Z193" s="216">
        <f t="shared" si="70"/>
        <v>4.5884999999999998</v>
      </c>
      <c r="AA193" s="180">
        <f t="shared" si="71"/>
        <v>10737090</v>
      </c>
      <c r="AB193" s="180"/>
      <c r="AC193" s="180">
        <f t="shared" si="72"/>
        <v>0</v>
      </c>
      <c r="AD193" s="180">
        <v>0</v>
      </c>
      <c r="AE193" s="180">
        <f t="shared" si="73"/>
        <v>10737090</v>
      </c>
      <c r="AF193" s="178">
        <f t="shared" si="74"/>
        <v>858967.20000000007</v>
      </c>
      <c r="AG193" s="178">
        <f t="shared" si="75"/>
        <v>161056.35</v>
      </c>
      <c r="AH193" s="178">
        <f t="shared" si="76"/>
        <v>107370.90000000001</v>
      </c>
      <c r="AI193" s="178"/>
      <c r="AJ193" s="178">
        <f t="shared" si="90"/>
        <v>1127394.45</v>
      </c>
      <c r="AK193" s="192"/>
      <c r="AL193" s="535">
        <f t="shared" si="91"/>
        <v>0</v>
      </c>
      <c r="AM193" s="182"/>
      <c r="AN193" s="182"/>
      <c r="AO193" s="193">
        <f t="shared" si="65"/>
        <v>3.99</v>
      </c>
      <c r="AP193" s="246">
        <v>0.45</v>
      </c>
      <c r="AQ193" s="194">
        <f t="shared" si="78"/>
        <v>1.7955000000000001</v>
      </c>
      <c r="AR193" s="178">
        <f t="shared" si="79"/>
        <v>4201470</v>
      </c>
      <c r="AS193" s="178"/>
      <c r="AT193" s="178">
        <f t="shared" si="80"/>
        <v>13811166</v>
      </c>
      <c r="AU193" s="469">
        <f t="shared" si="81"/>
        <v>175</v>
      </c>
      <c r="AV193" s="195"/>
      <c r="AW193" s="198"/>
    </row>
    <row r="194" spans="1:49" s="189" customFormat="1" ht="31.5" customHeight="1" x14ac:dyDescent="0.25">
      <c r="A194" s="168">
        <f>_xlfn.AGGREGATE(4,7,A$13:A193)+1</f>
        <v>176</v>
      </c>
      <c r="B194" s="168" t="str">
        <f>VLOOKUP(D194,[1]LuongBC_T01!$B$9:$C$292,2,FALSE)</f>
        <v>0016100006109009</v>
      </c>
      <c r="C194" s="199" t="s">
        <v>966</v>
      </c>
      <c r="D194" s="169" t="s">
        <v>1221</v>
      </c>
      <c r="E194" s="263" t="s">
        <v>1251</v>
      </c>
      <c r="F194" s="169" t="s">
        <v>549</v>
      </c>
      <c r="G194" s="170" t="s">
        <v>25</v>
      </c>
      <c r="H194" s="170" t="s">
        <v>283</v>
      </c>
      <c r="I194" s="200" t="s">
        <v>283</v>
      </c>
      <c r="J194" s="220" t="s">
        <v>260</v>
      </c>
      <c r="K194" s="168" t="s">
        <v>1338</v>
      </c>
      <c r="L194" s="171" t="s">
        <v>169</v>
      </c>
      <c r="M194" s="171" t="s">
        <v>966</v>
      </c>
      <c r="N194" s="263" t="str">
        <f>VLOOKUP(D194,'[6]Bao cao So GDDT'!$D$14:$S$282,11,FALSE)</f>
        <v>Giảng viên GDNN LT (hạng III)</v>
      </c>
      <c r="O194" s="390" t="s">
        <v>1438</v>
      </c>
      <c r="P194" s="172" t="s">
        <v>692</v>
      </c>
      <c r="Q194" s="173">
        <v>4</v>
      </c>
      <c r="R194" s="174">
        <v>4.32</v>
      </c>
      <c r="S194" s="176">
        <f t="shared" si="84"/>
        <v>0.77759999999999996</v>
      </c>
      <c r="T194" s="370"/>
      <c r="U194" s="176">
        <f t="shared" si="68"/>
        <v>0</v>
      </c>
      <c r="V194" s="175">
        <f t="shared" si="87"/>
        <v>0</v>
      </c>
      <c r="W194" s="170"/>
      <c r="X194" s="179">
        <v>0.18</v>
      </c>
      <c r="Y194" s="216">
        <f t="shared" si="69"/>
        <v>0.77759999999999996</v>
      </c>
      <c r="Z194" s="216">
        <f t="shared" si="70"/>
        <v>5.0975999999999999</v>
      </c>
      <c r="AA194" s="180">
        <f t="shared" si="71"/>
        <v>11928384</v>
      </c>
      <c r="AB194" s="180"/>
      <c r="AC194" s="180">
        <f t="shared" si="72"/>
        <v>0</v>
      </c>
      <c r="AD194" s="180">
        <f>AA194/24*AB194*75%</f>
        <v>0</v>
      </c>
      <c r="AE194" s="180">
        <f t="shared" si="73"/>
        <v>11928384</v>
      </c>
      <c r="AF194" s="178">
        <f t="shared" si="74"/>
        <v>954270.71999999997</v>
      </c>
      <c r="AG194" s="178">
        <f t="shared" si="75"/>
        <v>178925.75999999998</v>
      </c>
      <c r="AH194" s="178">
        <f t="shared" si="76"/>
        <v>119283.84</v>
      </c>
      <c r="AI194" s="178"/>
      <c r="AJ194" s="178">
        <f t="shared" si="90"/>
        <v>1252480.32</v>
      </c>
      <c r="AK194" s="192"/>
      <c r="AL194" s="535">
        <f t="shared" si="91"/>
        <v>0</v>
      </c>
      <c r="AM194" s="182"/>
      <c r="AN194" s="182"/>
      <c r="AO194" s="193">
        <f t="shared" si="65"/>
        <v>4.32</v>
      </c>
      <c r="AP194" s="246">
        <v>0.45</v>
      </c>
      <c r="AQ194" s="194">
        <f t="shared" si="78"/>
        <v>1.944</v>
      </c>
      <c r="AR194" s="178">
        <f t="shared" si="79"/>
        <v>4548960</v>
      </c>
      <c r="AS194" s="178"/>
      <c r="AT194" s="178">
        <f t="shared" si="80"/>
        <v>15224864</v>
      </c>
      <c r="AU194" s="469">
        <f t="shared" si="81"/>
        <v>176</v>
      </c>
      <c r="AV194" s="195"/>
      <c r="AW194" s="186" t="s">
        <v>710</v>
      </c>
    </row>
    <row r="195" spans="1:49" s="189" customFormat="1" ht="31.5" customHeight="1" x14ac:dyDescent="0.25">
      <c r="A195" s="168">
        <f>_xlfn.AGGREGATE(4,7,A$13:A194)+1</f>
        <v>177</v>
      </c>
      <c r="B195" s="168" t="str">
        <f>VLOOKUP(D195,[1]LuongBC_T01!$B$9:$C$292,2,FALSE)</f>
        <v>0016100006727004</v>
      </c>
      <c r="C195" s="199" t="s">
        <v>926</v>
      </c>
      <c r="D195" s="169" t="s">
        <v>296</v>
      </c>
      <c r="E195" s="263" t="s">
        <v>1251</v>
      </c>
      <c r="F195" s="169" t="s">
        <v>549</v>
      </c>
      <c r="G195" s="200" t="s">
        <v>25</v>
      </c>
      <c r="H195" s="200" t="s">
        <v>283</v>
      </c>
      <c r="I195" s="170" t="s">
        <v>283</v>
      </c>
      <c r="J195" s="169" t="s">
        <v>526</v>
      </c>
      <c r="K195" s="170" t="str">
        <f>VLOOKUP(D195,[2]T3!$B$2:$D$328,3,FALSE)</f>
        <v>024935952</v>
      </c>
      <c r="L195" s="171" t="s">
        <v>328</v>
      </c>
      <c r="M195" s="171" t="s">
        <v>926</v>
      </c>
      <c r="N195" s="263" t="str">
        <f>VLOOKUP(D195,'[6]Bao cao So GDDT'!$D$14:$S$282,11,FALSE)</f>
        <v>Giảng viên GDNN LT (hạng III)</v>
      </c>
      <c r="O195" s="390" t="s">
        <v>1438</v>
      </c>
      <c r="P195" s="172" t="s">
        <v>692</v>
      </c>
      <c r="Q195" s="173">
        <v>3</v>
      </c>
      <c r="R195" s="174">
        <v>3.99</v>
      </c>
      <c r="S195" s="176">
        <f t="shared" si="84"/>
        <v>0.59850000000000003</v>
      </c>
      <c r="T195" s="370"/>
      <c r="U195" s="176">
        <f t="shared" si="68"/>
        <v>0</v>
      </c>
      <c r="V195" s="175">
        <f t="shared" si="87"/>
        <v>0</v>
      </c>
      <c r="W195" s="170"/>
      <c r="X195" s="179">
        <v>0.15</v>
      </c>
      <c r="Y195" s="216">
        <f t="shared" si="69"/>
        <v>0.59850000000000003</v>
      </c>
      <c r="Z195" s="216">
        <f t="shared" si="70"/>
        <v>4.5884999999999998</v>
      </c>
      <c r="AA195" s="180">
        <f t="shared" si="71"/>
        <v>10737090</v>
      </c>
      <c r="AB195" s="180"/>
      <c r="AC195" s="180">
        <f t="shared" si="72"/>
        <v>0</v>
      </c>
      <c r="AD195" s="180">
        <f>AA195/24*AB195*75%</f>
        <v>0</v>
      </c>
      <c r="AE195" s="180">
        <f t="shared" si="73"/>
        <v>10737090</v>
      </c>
      <c r="AF195" s="178">
        <f t="shared" si="74"/>
        <v>858967.20000000007</v>
      </c>
      <c r="AG195" s="178">
        <f t="shared" si="75"/>
        <v>161056.35</v>
      </c>
      <c r="AH195" s="178">
        <f t="shared" si="76"/>
        <v>107370.90000000001</v>
      </c>
      <c r="AI195" s="178"/>
      <c r="AJ195" s="178">
        <f t="shared" si="90"/>
        <v>1127394.45</v>
      </c>
      <c r="AK195" s="192"/>
      <c r="AL195" s="535">
        <f t="shared" si="91"/>
        <v>0</v>
      </c>
      <c r="AM195" s="182"/>
      <c r="AN195" s="182"/>
      <c r="AO195" s="193">
        <f t="shared" si="65"/>
        <v>3.99</v>
      </c>
      <c r="AP195" s="246">
        <v>0.45</v>
      </c>
      <c r="AQ195" s="194">
        <f t="shared" si="78"/>
        <v>1.7955000000000001</v>
      </c>
      <c r="AR195" s="178">
        <f t="shared" si="79"/>
        <v>4201470</v>
      </c>
      <c r="AS195" s="178"/>
      <c r="AT195" s="178">
        <f t="shared" si="80"/>
        <v>13811166</v>
      </c>
      <c r="AU195" s="469">
        <f t="shared" si="81"/>
        <v>177</v>
      </c>
      <c r="AV195" s="195"/>
      <c r="AW195" s="198" t="s">
        <v>710</v>
      </c>
    </row>
    <row r="196" spans="1:49" s="189" customFormat="1" ht="31.5" customHeight="1" x14ac:dyDescent="0.25">
      <c r="A196" s="168">
        <f>_xlfn.AGGREGATE(4,7,A$13:A195)+1</f>
        <v>178</v>
      </c>
      <c r="B196" s="168" t="str">
        <f>VLOOKUP(D196,[1]LuongBC_T01!$B$9:$C$292,2,FALSE)</f>
        <v>0016100006645008</v>
      </c>
      <c r="C196" s="371" t="s">
        <v>1051</v>
      </c>
      <c r="D196" s="169" t="s">
        <v>1224</v>
      </c>
      <c r="E196" s="263" t="s">
        <v>1251</v>
      </c>
      <c r="F196" s="169" t="s">
        <v>549</v>
      </c>
      <c r="G196" s="200" t="s">
        <v>25</v>
      </c>
      <c r="H196" s="200" t="s">
        <v>283</v>
      </c>
      <c r="I196" s="200" t="s">
        <v>283</v>
      </c>
      <c r="J196" s="200" t="s">
        <v>578</v>
      </c>
      <c r="K196" s="168" t="s">
        <v>1336</v>
      </c>
      <c r="L196" s="201" t="s">
        <v>600</v>
      </c>
      <c r="M196" s="201" t="s">
        <v>1051</v>
      </c>
      <c r="N196" s="263" t="str">
        <f>VLOOKUP(D196,'[6]Bao cao So GDDT'!$D$14:$S$282,11,FALSE)</f>
        <v>Giảng viên GDNN LT (hạng III)</v>
      </c>
      <c r="O196" s="390" t="s">
        <v>1438</v>
      </c>
      <c r="P196" s="170" t="s">
        <v>692</v>
      </c>
      <c r="Q196" s="170">
        <v>3</v>
      </c>
      <c r="R196" s="177">
        <v>3.99</v>
      </c>
      <c r="S196" s="176">
        <f t="shared" si="84"/>
        <v>0.55859999999999999</v>
      </c>
      <c r="T196" s="220"/>
      <c r="U196" s="176">
        <f t="shared" si="68"/>
        <v>0</v>
      </c>
      <c r="V196" s="175">
        <f t="shared" si="87"/>
        <v>0</v>
      </c>
      <c r="W196" s="170"/>
      <c r="X196" s="179">
        <v>0.14000000000000001</v>
      </c>
      <c r="Y196" s="216">
        <f t="shared" si="69"/>
        <v>0.55859999999999999</v>
      </c>
      <c r="Z196" s="216">
        <f t="shared" si="70"/>
        <v>4.5486000000000004</v>
      </c>
      <c r="AA196" s="180">
        <f t="shared" si="71"/>
        <v>10643724</v>
      </c>
      <c r="AB196" s="180"/>
      <c r="AC196" s="180">
        <f t="shared" si="72"/>
        <v>0</v>
      </c>
      <c r="AD196" s="180">
        <v>0</v>
      </c>
      <c r="AE196" s="180">
        <f t="shared" si="73"/>
        <v>10643724</v>
      </c>
      <c r="AF196" s="178">
        <f t="shared" si="74"/>
        <v>851497.92</v>
      </c>
      <c r="AG196" s="178">
        <f t="shared" si="75"/>
        <v>159655.85999999999</v>
      </c>
      <c r="AH196" s="178">
        <f t="shared" si="76"/>
        <v>106437.24</v>
      </c>
      <c r="AI196" s="178"/>
      <c r="AJ196" s="178">
        <f t="shared" si="90"/>
        <v>1117591.02</v>
      </c>
      <c r="AK196" s="192"/>
      <c r="AL196" s="535">
        <f t="shared" si="91"/>
        <v>0</v>
      </c>
      <c r="AM196" s="182"/>
      <c r="AN196" s="182"/>
      <c r="AO196" s="193">
        <f t="shared" si="65"/>
        <v>3.99</v>
      </c>
      <c r="AP196" s="246">
        <v>0.45</v>
      </c>
      <c r="AQ196" s="194">
        <f t="shared" si="78"/>
        <v>1.7955000000000001</v>
      </c>
      <c r="AR196" s="178">
        <f t="shared" si="79"/>
        <v>4201470</v>
      </c>
      <c r="AS196" s="178"/>
      <c r="AT196" s="178">
        <f t="shared" si="80"/>
        <v>13727603</v>
      </c>
      <c r="AU196" s="469">
        <f t="shared" si="81"/>
        <v>178</v>
      </c>
      <c r="AV196" s="195"/>
      <c r="AW196" s="198" t="s">
        <v>710</v>
      </c>
    </row>
    <row r="197" spans="1:49" s="189" customFormat="1" ht="31.5" customHeight="1" x14ac:dyDescent="0.25">
      <c r="A197" s="168">
        <f>_xlfn.AGGREGATE(4,7,A$13:A196)+1</f>
        <v>179</v>
      </c>
      <c r="B197" s="168" t="str">
        <f>VLOOKUP(D197,[1]LuongBC_T01!$B$9:$C$292,2,FALSE)</f>
        <v>0016100005288007</v>
      </c>
      <c r="C197" s="199" t="s">
        <v>989</v>
      </c>
      <c r="D197" s="169" t="s">
        <v>568</v>
      </c>
      <c r="E197" s="263" t="s">
        <v>1251</v>
      </c>
      <c r="F197" s="169" t="s">
        <v>549</v>
      </c>
      <c r="G197" s="200" t="s">
        <v>25</v>
      </c>
      <c r="H197" s="200" t="s">
        <v>283</v>
      </c>
      <c r="I197" s="200" t="s">
        <v>283</v>
      </c>
      <c r="J197" s="200" t="s">
        <v>577</v>
      </c>
      <c r="K197" s="170" t="str">
        <f>VLOOKUP(D197,[2]T3!$B$2:$D$328,3,FALSE)</f>
        <v>025232273</v>
      </c>
      <c r="L197" s="201" t="s">
        <v>599</v>
      </c>
      <c r="M197" s="201" t="s">
        <v>989</v>
      </c>
      <c r="N197" s="263" t="str">
        <f>VLOOKUP(D197,'[6]Bao cao So GDDT'!$D$14:$S$282,11,FALSE)</f>
        <v>Giảng viên GDNN LT (hạng III)</v>
      </c>
      <c r="O197" s="390" t="s">
        <v>1438</v>
      </c>
      <c r="P197" s="170" t="s">
        <v>692</v>
      </c>
      <c r="Q197" s="170">
        <v>3</v>
      </c>
      <c r="R197" s="177">
        <v>3.99</v>
      </c>
      <c r="S197" s="176">
        <f t="shared" si="84"/>
        <v>0.55859999999999999</v>
      </c>
      <c r="T197" s="220"/>
      <c r="U197" s="176">
        <f t="shared" si="68"/>
        <v>0</v>
      </c>
      <c r="V197" s="175">
        <f t="shared" si="87"/>
        <v>0</v>
      </c>
      <c r="W197" s="170"/>
      <c r="X197" s="179">
        <v>0.14000000000000001</v>
      </c>
      <c r="Y197" s="216">
        <f t="shared" si="69"/>
        <v>0.55859999999999999</v>
      </c>
      <c r="Z197" s="216">
        <f t="shared" si="70"/>
        <v>4.5486000000000004</v>
      </c>
      <c r="AA197" s="180">
        <f t="shared" si="71"/>
        <v>10643724</v>
      </c>
      <c r="AB197" s="180"/>
      <c r="AC197" s="180">
        <f t="shared" si="72"/>
        <v>0</v>
      </c>
      <c r="AD197" s="180">
        <f>AA197/24*AB197*75%</f>
        <v>0</v>
      </c>
      <c r="AE197" s="180">
        <f t="shared" si="73"/>
        <v>10643724</v>
      </c>
      <c r="AF197" s="178">
        <f t="shared" si="74"/>
        <v>851497.92</v>
      </c>
      <c r="AG197" s="178">
        <f t="shared" si="75"/>
        <v>159655.85999999999</v>
      </c>
      <c r="AH197" s="178">
        <f t="shared" si="76"/>
        <v>106437.24</v>
      </c>
      <c r="AI197" s="178"/>
      <c r="AJ197" s="178">
        <f t="shared" si="90"/>
        <v>1117591.02</v>
      </c>
      <c r="AK197" s="192"/>
      <c r="AL197" s="535">
        <f t="shared" si="91"/>
        <v>0</v>
      </c>
      <c r="AM197" s="182"/>
      <c r="AN197" s="182"/>
      <c r="AO197" s="193">
        <f t="shared" si="65"/>
        <v>3.99</v>
      </c>
      <c r="AP197" s="246">
        <v>0.45</v>
      </c>
      <c r="AQ197" s="194">
        <f t="shared" si="78"/>
        <v>1.7955000000000001</v>
      </c>
      <c r="AR197" s="178">
        <f t="shared" si="79"/>
        <v>4201470</v>
      </c>
      <c r="AS197" s="178"/>
      <c r="AT197" s="178">
        <f t="shared" si="80"/>
        <v>13727603</v>
      </c>
      <c r="AU197" s="469">
        <f t="shared" si="81"/>
        <v>179</v>
      </c>
      <c r="AV197" s="195"/>
      <c r="AW197" s="198" t="s">
        <v>710</v>
      </c>
    </row>
    <row r="198" spans="1:49" s="189" customFormat="1" ht="31.5" customHeight="1" x14ac:dyDescent="0.25">
      <c r="A198" s="168">
        <f>_xlfn.AGGREGATE(4,7,A$13:A197)+1</f>
        <v>180</v>
      </c>
      <c r="B198" s="168" t="str">
        <f>VLOOKUP(D198,[1]LuongBC_T01!$B$9:$C$292,2,FALSE)</f>
        <v>0016100006578009</v>
      </c>
      <c r="C198" s="199" t="s">
        <v>962</v>
      </c>
      <c r="D198" s="230" t="s">
        <v>666</v>
      </c>
      <c r="E198" s="263" t="s">
        <v>1251</v>
      </c>
      <c r="F198" s="230" t="s">
        <v>549</v>
      </c>
      <c r="G198" s="170" t="s">
        <v>25</v>
      </c>
      <c r="H198" s="200" t="s">
        <v>283</v>
      </c>
      <c r="I198" s="200" t="s">
        <v>283</v>
      </c>
      <c r="J198" s="220"/>
      <c r="K198" s="170" t="str">
        <f>VLOOKUP(D198,[2]T3!$B$2:$D$328,3,FALSE)</f>
        <v>025294204</v>
      </c>
      <c r="L198" s="171" t="s">
        <v>667</v>
      </c>
      <c r="M198" s="171" t="s">
        <v>962</v>
      </c>
      <c r="N198" s="263" t="str">
        <f>VLOOKUP(D198,'[6]Bao cao So GDDT'!$D$14:$S$282,11,FALSE)</f>
        <v>Giảng viên GDNN LT (hạng III)</v>
      </c>
      <c r="O198" s="390" t="s">
        <v>1438</v>
      </c>
      <c r="P198" s="172" t="s">
        <v>692</v>
      </c>
      <c r="Q198" s="173">
        <v>4</v>
      </c>
      <c r="R198" s="174">
        <v>4.32</v>
      </c>
      <c r="S198" s="176">
        <f t="shared" si="84"/>
        <v>0.77759999999999996</v>
      </c>
      <c r="T198" s="370"/>
      <c r="U198" s="176">
        <f t="shared" si="68"/>
        <v>0</v>
      </c>
      <c r="V198" s="175">
        <f t="shared" si="87"/>
        <v>0</v>
      </c>
      <c r="W198" s="170"/>
      <c r="X198" s="179">
        <v>0.18</v>
      </c>
      <c r="Y198" s="216">
        <f t="shared" si="69"/>
        <v>0.77759999999999996</v>
      </c>
      <c r="Z198" s="216">
        <f t="shared" si="70"/>
        <v>5.0975999999999999</v>
      </c>
      <c r="AA198" s="180">
        <f t="shared" si="71"/>
        <v>11928384</v>
      </c>
      <c r="AB198" s="180"/>
      <c r="AC198" s="180">
        <f t="shared" si="72"/>
        <v>0</v>
      </c>
      <c r="AD198" s="180">
        <f>AA198/24*AB198*75%</f>
        <v>0</v>
      </c>
      <c r="AE198" s="180">
        <f t="shared" si="73"/>
        <v>11928384</v>
      </c>
      <c r="AF198" s="178">
        <f t="shared" si="74"/>
        <v>954270.71999999997</v>
      </c>
      <c r="AG198" s="178">
        <f t="shared" si="75"/>
        <v>178925.75999999998</v>
      </c>
      <c r="AH198" s="178">
        <f t="shared" si="76"/>
        <v>119283.84</v>
      </c>
      <c r="AI198" s="178"/>
      <c r="AJ198" s="178">
        <f t="shared" si="90"/>
        <v>1252480.32</v>
      </c>
      <c r="AK198" s="192"/>
      <c r="AL198" s="535">
        <f t="shared" si="91"/>
        <v>0</v>
      </c>
      <c r="AM198" s="182"/>
      <c r="AN198" s="182"/>
      <c r="AO198" s="193">
        <f t="shared" ref="AO198:AO261" si="92">R198+U198+W198</f>
        <v>4.32</v>
      </c>
      <c r="AP198" s="246">
        <v>0.45</v>
      </c>
      <c r="AQ198" s="194">
        <f t="shared" si="78"/>
        <v>1.944</v>
      </c>
      <c r="AR198" s="178">
        <f t="shared" si="79"/>
        <v>4548960</v>
      </c>
      <c r="AS198" s="178"/>
      <c r="AT198" s="178">
        <f t="shared" si="80"/>
        <v>15224864</v>
      </c>
      <c r="AU198" s="469">
        <f t="shared" si="81"/>
        <v>180</v>
      </c>
      <c r="AV198" s="195"/>
      <c r="AW198" s="198" t="s">
        <v>710</v>
      </c>
    </row>
    <row r="199" spans="1:49" s="189" customFormat="1" ht="31.5" customHeight="1" x14ac:dyDescent="0.25">
      <c r="A199" s="168">
        <f>_xlfn.AGGREGATE(4,7,A$13:A198)+1</f>
        <v>181</v>
      </c>
      <c r="B199" s="168" t="str">
        <f>VLOOKUP(D199,[1]LuongBC_T01!$B$9:$C$292,2,FALSE)</f>
        <v>0016100006646004</v>
      </c>
      <c r="C199" s="387" t="s">
        <v>902</v>
      </c>
      <c r="D199" s="169" t="s">
        <v>814</v>
      </c>
      <c r="E199" s="263" t="s">
        <v>1251</v>
      </c>
      <c r="F199" s="220"/>
      <c r="G199" s="220" t="s">
        <v>25</v>
      </c>
      <c r="H199" s="220"/>
      <c r="I199" s="220"/>
      <c r="J199" s="220"/>
      <c r="K199" s="170">
        <v>186057737</v>
      </c>
      <c r="L199" s="220"/>
      <c r="M199" s="170" t="s">
        <v>902</v>
      </c>
      <c r="N199" s="263" t="str">
        <f>VLOOKUP(D199,'[6]Bao cao So GDDT'!$D$14:$S$282,11,FALSE)</f>
        <v>Giảng viên GDNN LT (hạng III)</v>
      </c>
      <c r="O199" s="390" t="s">
        <v>1438</v>
      </c>
      <c r="P199" s="170" t="s">
        <v>692</v>
      </c>
      <c r="Q199" s="170">
        <v>2</v>
      </c>
      <c r="R199" s="177">
        <v>3.66</v>
      </c>
      <c r="S199" s="176">
        <f t="shared" si="84"/>
        <v>0.32940000000000003</v>
      </c>
      <c r="T199" s="220"/>
      <c r="U199" s="176">
        <f t="shared" si="68"/>
        <v>0</v>
      </c>
      <c r="V199" s="175">
        <f t="shared" si="87"/>
        <v>0</v>
      </c>
      <c r="W199" s="170"/>
      <c r="X199" s="179">
        <v>0.09</v>
      </c>
      <c r="Y199" s="216">
        <f t="shared" si="69"/>
        <v>0.32940000000000003</v>
      </c>
      <c r="Z199" s="216">
        <f t="shared" si="70"/>
        <v>3.9894000000000003</v>
      </c>
      <c r="AA199" s="180">
        <f t="shared" si="71"/>
        <v>9335196</v>
      </c>
      <c r="AB199" s="180"/>
      <c r="AC199" s="180">
        <f t="shared" si="72"/>
        <v>0</v>
      </c>
      <c r="AD199" s="180">
        <v>0</v>
      </c>
      <c r="AE199" s="180">
        <f t="shared" si="73"/>
        <v>9335196</v>
      </c>
      <c r="AF199" s="178">
        <f t="shared" si="74"/>
        <v>746815.68</v>
      </c>
      <c r="AG199" s="178">
        <f t="shared" si="75"/>
        <v>140027.94</v>
      </c>
      <c r="AH199" s="178">
        <f t="shared" si="76"/>
        <v>93351.96</v>
      </c>
      <c r="AI199" s="178"/>
      <c r="AJ199" s="178">
        <f t="shared" si="90"/>
        <v>980195.58000000007</v>
      </c>
      <c r="AK199" s="192"/>
      <c r="AL199" s="535">
        <f t="shared" si="91"/>
        <v>0</v>
      </c>
      <c r="AM199" s="182"/>
      <c r="AN199" s="182"/>
      <c r="AO199" s="183">
        <f t="shared" si="92"/>
        <v>3.66</v>
      </c>
      <c r="AP199" s="246">
        <v>0.45</v>
      </c>
      <c r="AQ199" s="185">
        <f t="shared" si="78"/>
        <v>1.647</v>
      </c>
      <c r="AR199" s="178">
        <f t="shared" si="79"/>
        <v>3853980</v>
      </c>
      <c r="AS199" s="178"/>
      <c r="AT199" s="178">
        <f t="shared" si="80"/>
        <v>12208980</v>
      </c>
      <c r="AU199" s="469">
        <f t="shared" si="81"/>
        <v>181</v>
      </c>
      <c r="AV199" s="244"/>
      <c r="AW199" s="244" t="s">
        <v>1527</v>
      </c>
    </row>
    <row r="200" spans="1:49" s="189" customFormat="1" ht="31.5" customHeight="1" x14ac:dyDescent="0.25">
      <c r="A200" s="168">
        <f>_xlfn.AGGREGATE(4,7,A$13:A199)+1</f>
        <v>182</v>
      </c>
      <c r="B200" s="168" t="str">
        <f>VLOOKUP(D200,[1]LuongBC_T01!$B$9:$C$292,2,FALSE)</f>
        <v>0016100006729007</v>
      </c>
      <c r="C200" s="371" t="s">
        <v>1052</v>
      </c>
      <c r="D200" s="169" t="s">
        <v>1228</v>
      </c>
      <c r="E200" s="263" t="s">
        <v>1251</v>
      </c>
      <c r="F200" s="169" t="s">
        <v>549</v>
      </c>
      <c r="G200" s="200"/>
      <c r="H200" s="200" t="s">
        <v>283</v>
      </c>
      <c r="I200" s="200" t="s">
        <v>283</v>
      </c>
      <c r="J200" s="200" t="s">
        <v>589</v>
      </c>
      <c r="K200" s="170" t="str">
        <f>VLOOKUP(D200,[2]T3!$B$2:$D$328,3,FALSE)</f>
        <v>022472262</v>
      </c>
      <c r="L200" s="201" t="s">
        <v>611</v>
      </c>
      <c r="M200" s="201" t="s">
        <v>1052</v>
      </c>
      <c r="N200" s="263" t="str">
        <f>VLOOKUP(D200,'[6]Bao cao So GDDT'!$D$14:$S$282,11,FALSE)</f>
        <v>Giảng viên GDNN LT (hạng III)</v>
      </c>
      <c r="O200" s="390" t="s">
        <v>1438</v>
      </c>
      <c r="P200" s="170" t="s">
        <v>692</v>
      </c>
      <c r="Q200" s="170">
        <v>3</v>
      </c>
      <c r="R200" s="177">
        <v>3.66</v>
      </c>
      <c r="S200" s="176">
        <f t="shared" si="84"/>
        <v>0.51239999999999997</v>
      </c>
      <c r="T200" s="220"/>
      <c r="U200" s="176">
        <f t="shared" si="68"/>
        <v>0</v>
      </c>
      <c r="V200" s="175">
        <f t="shared" si="87"/>
        <v>0</v>
      </c>
      <c r="W200" s="170"/>
      <c r="X200" s="179">
        <v>0.14000000000000001</v>
      </c>
      <c r="Y200" s="216">
        <f t="shared" si="69"/>
        <v>0.51239999999999997</v>
      </c>
      <c r="Z200" s="216">
        <f t="shared" si="70"/>
        <v>4.1723999999999997</v>
      </c>
      <c r="AA200" s="180">
        <f t="shared" si="71"/>
        <v>9763416</v>
      </c>
      <c r="AB200" s="180"/>
      <c r="AC200" s="180">
        <f t="shared" si="72"/>
        <v>0</v>
      </c>
      <c r="AD200" s="180">
        <v>0</v>
      </c>
      <c r="AE200" s="180">
        <f t="shared" si="73"/>
        <v>9763416</v>
      </c>
      <c r="AF200" s="178">
        <f t="shared" si="74"/>
        <v>781073.28</v>
      </c>
      <c r="AG200" s="178">
        <f t="shared" si="75"/>
        <v>146451.24</v>
      </c>
      <c r="AH200" s="178">
        <f t="shared" si="76"/>
        <v>97634.16</v>
      </c>
      <c r="AI200" s="178"/>
      <c r="AJ200" s="178">
        <f t="shared" si="90"/>
        <v>1025158.68</v>
      </c>
      <c r="AK200" s="192"/>
      <c r="AL200" s="535">
        <f t="shared" si="91"/>
        <v>0</v>
      </c>
      <c r="AM200" s="182"/>
      <c r="AN200" s="182"/>
      <c r="AO200" s="193">
        <f t="shared" si="92"/>
        <v>3.66</v>
      </c>
      <c r="AP200" s="246">
        <v>0.25</v>
      </c>
      <c r="AQ200" s="194">
        <f t="shared" si="78"/>
        <v>0.91500000000000004</v>
      </c>
      <c r="AR200" s="178">
        <f t="shared" si="79"/>
        <v>2141100</v>
      </c>
      <c r="AS200" s="178"/>
      <c r="AT200" s="178">
        <f t="shared" si="80"/>
        <v>10879357</v>
      </c>
      <c r="AU200" s="469">
        <f t="shared" si="81"/>
        <v>182</v>
      </c>
      <c r="AV200" s="195"/>
      <c r="AW200" s="198" t="s">
        <v>710</v>
      </c>
    </row>
    <row r="201" spans="1:49" s="189" customFormat="1" ht="31.5" customHeight="1" x14ac:dyDescent="0.25">
      <c r="A201" s="168">
        <f>_xlfn.AGGREGATE(4,7,A$13:A200)+1</f>
        <v>183</v>
      </c>
      <c r="B201" s="168" t="str">
        <f>VLOOKUP(D201,[1]LuongBC_T01!$B$9:$C$292,2,FALSE)</f>
        <v>'0016100006822007</v>
      </c>
      <c r="C201" s="199" t="s">
        <v>1020</v>
      </c>
      <c r="D201" s="230" t="s">
        <v>753</v>
      </c>
      <c r="E201" s="263" t="s">
        <v>1251</v>
      </c>
      <c r="F201" s="231"/>
      <c r="G201" s="231"/>
      <c r="H201" s="231"/>
      <c r="I201" s="231"/>
      <c r="J201" s="231"/>
      <c r="K201" s="170" t="str">
        <f>VLOOKUP(D201,[2]T3!$B$2:$D$328,3,FALSE)</f>
        <v>024947914</v>
      </c>
      <c r="L201" s="253" t="s">
        <v>760</v>
      </c>
      <c r="M201" s="253" t="s">
        <v>1020</v>
      </c>
      <c r="N201" s="263" t="str">
        <f>VLOOKUP(D201,'[6]Bao cao So GDDT'!$D$14:$S$282,11,FALSE)</f>
        <v>Giảng viên GDNN LT (hạng III)</v>
      </c>
      <c r="O201" s="390" t="s">
        <v>1438</v>
      </c>
      <c r="P201" s="170" t="s">
        <v>692</v>
      </c>
      <c r="Q201" s="170">
        <v>2</v>
      </c>
      <c r="R201" s="177">
        <v>3.33</v>
      </c>
      <c r="S201" s="176">
        <f t="shared" si="84"/>
        <v>0.33300000000000002</v>
      </c>
      <c r="T201" s="169"/>
      <c r="U201" s="176">
        <f t="shared" si="68"/>
        <v>0</v>
      </c>
      <c r="V201" s="175"/>
      <c r="W201" s="170"/>
      <c r="X201" s="179">
        <v>0.1</v>
      </c>
      <c r="Y201" s="216">
        <f t="shared" si="69"/>
        <v>0.33300000000000002</v>
      </c>
      <c r="Z201" s="216">
        <f t="shared" si="70"/>
        <v>3.6630000000000003</v>
      </c>
      <c r="AA201" s="180">
        <f t="shared" si="71"/>
        <v>8571420</v>
      </c>
      <c r="AB201" s="180"/>
      <c r="AC201" s="180">
        <f t="shared" si="72"/>
        <v>0</v>
      </c>
      <c r="AD201" s="180">
        <v>0</v>
      </c>
      <c r="AE201" s="180">
        <f t="shared" si="73"/>
        <v>8571420</v>
      </c>
      <c r="AF201" s="178">
        <f t="shared" si="74"/>
        <v>685713.6</v>
      </c>
      <c r="AG201" s="178">
        <f t="shared" si="75"/>
        <v>128571.29999999999</v>
      </c>
      <c r="AH201" s="178">
        <f t="shared" si="76"/>
        <v>85714.2</v>
      </c>
      <c r="AI201" s="178"/>
      <c r="AJ201" s="178">
        <f t="shared" si="90"/>
        <v>899999.09999999986</v>
      </c>
      <c r="AK201" s="192"/>
      <c r="AL201" s="535">
        <f t="shared" si="91"/>
        <v>0</v>
      </c>
      <c r="AM201" s="182"/>
      <c r="AN201" s="182"/>
      <c r="AO201" s="183">
        <f t="shared" si="92"/>
        <v>3.33</v>
      </c>
      <c r="AP201" s="246">
        <v>0.25</v>
      </c>
      <c r="AQ201" s="194">
        <f t="shared" si="78"/>
        <v>0.83250000000000002</v>
      </c>
      <c r="AR201" s="178">
        <f t="shared" si="79"/>
        <v>1948050</v>
      </c>
      <c r="AS201" s="178"/>
      <c r="AT201" s="178">
        <f t="shared" si="80"/>
        <v>9619471</v>
      </c>
      <c r="AU201" s="469">
        <f t="shared" si="81"/>
        <v>183</v>
      </c>
      <c r="AV201" s="195"/>
      <c r="AW201" s="196" t="e">
        <f>AW182*11</f>
        <v>#REF!</v>
      </c>
    </row>
    <row r="202" spans="1:49" s="189" customFormat="1" ht="31.5" customHeight="1" x14ac:dyDescent="0.25">
      <c r="A202" s="168">
        <f>_xlfn.AGGREGATE(4,7,A$13:A201)+1</f>
        <v>184</v>
      </c>
      <c r="B202" s="168" t="str">
        <f>VLOOKUP(D202,[1]LuongBC_T01!$B$9:$C$292,2,FALSE)</f>
        <v>0016100007759007</v>
      </c>
      <c r="C202" s="170" t="s">
        <v>1315</v>
      </c>
      <c r="D202" s="169" t="s">
        <v>1296</v>
      </c>
      <c r="E202" s="263" t="s">
        <v>1398</v>
      </c>
      <c r="F202" s="220"/>
      <c r="G202" s="220"/>
      <c r="H202" s="220"/>
      <c r="I202" s="220"/>
      <c r="J202" s="220"/>
      <c r="K202" s="170" t="str">
        <f>VLOOKUP(D202,[2]T3!$B$2:$D$328,3,FALSE)</f>
        <v>300881563</v>
      </c>
      <c r="L202" s="220"/>
      <c r="M202" s="170"/>
      <c r="N202" s="263" t="str">
        <f>VLOOKUP(D202,'[6]Bao cao So GDDT'!$D$14:$S$282,11,FALSE)</f>
        <v>Giảng viên GDNN LT (hạng III)</v>
      </c>
      <c r="O202" s="390" t="s">
        <v>1438</v>
      </c>
      <c r="P202" s="251"/>
      <c r="Q202" s="251"/>
      <c r="R202" s="177">
        <v>3.66</v>
      </c>
      <c r="S202" s="176">
        <f t="shared" si="84"/>
        <v>1.272</v>
      </c>
      <c r="T202" s="220"/>
      <c r="U202" s="176">
        <f t="shared" si="68"/>
        <v>0</v>
      </c>
      <c r="V202" s="175"/>
      <c r="W202" s="170">
        <v>0.45</v>
      </c>
      <c r="X202" s="179">
        <v>0.2</v>
      </c>
      <c r="Y202" s="216">
        <f t="shared" si="69"/>
        <v>0.82199999999999995</v>
      </c>
      <c r="Z202" s="216">
        <f t="shared" si="70"/>
        <v>4.9320000000000004</v>
      </c>
      <c r="AA202" s="180">
        <f t="shared" si="71"/>
        <v>11540880</v>
      </c>
      <c r="AB202" s="180"/>
      <c r="AC202" s="180">
        <f t="shared" si="72"/>
        <v>0</v>
      </c>
      <c r="AD202" s="180">
        <f>AA202/24*AB202*75%</f>
        <v>0</v>
      </c>
      <c r="AE202" s="180">
        <f t="shared" si="73"/>
        <v>11540880</v>
      </c>
      <c r="AF202" s="178">
        <f t="shared" si="74"/>
        <v>923270.4</v>
      </c>
      <c r="AG202" s="178">
        <f t="shared" si="75"/>
        <v>173113.19999999998</v>
      </c>
      <c r="AH202" s="178">
        <f t="shared" si="76"/>
        <v>115408.8</v>
      </c>
      <c r="AI202" s="178"/>
      <c r="AJ202" s="178">
        <f t="shared" si="90"/>
        <v>1211792.4000000001</v>
      </c>
      <c r="AK202" s="192"/>
      <c r="AL202" s="535">
        <f t="shared" si="91"/>
        <v>0</v>
      </c>
      <c r="AM202" s="182"/>
      <c r="AN202" s="182"/>
      <c r="AO202" s="183">
        <f t="shared" si="92"/>
        <v>4.1100000000000003</v>
      </c>
      <c r="AP202" s="246">
        <v>0.25</v>
      </c>
      <c r="AQ202" s="185">
        <f t="shared" si="78"/>
        <v>1.0275000000000001</v>
      </c>
      <c r="AR202" s="178">
        <f t="shared" si="79"/>
        <v>2404350</v>
      </c>
      <c r="AS202" s="178"/>
      <c r="AT202" s="178">
        <f t="shared" si="80"/>
        <v>12733438</v>
      </c>
      <c r="AU202" s="469">
        <f t="shared" si="81"/>
        <v>184</v>
      </c>
      <c r="AV202" s="195"/>
      <c r="AW202" s="485"/>
    </row>
    <row r="203" spans="1:49" s="189" customFormat="1" ht="30.75" customHeight="1" x14ac:dyDescent="0.25">
      <c r="A203" s="168">
        <f>_xlfn.AGGREGATE(4,7,A$13:A202)+1</f>
        <v>185</v>
      </c>
      <c r="B203" s="168" t="str">
        <f>VLOOKUP(D203,[1]LuongBC_T01!$B$9:$C$292,2,FALSE)</f>
        <v>0016100006738006</v>
      </c>
      <c r="C203" s="199" t="s">
        <v>924</v>
      </c>
      <c r="D203" s="169" t="s">
        <v>1207</v>
      </c>
      <c r="E203" s="263" t="s">
        <v>1260</v>
      </c>
      <c r="F203" s="169" t="s">
        <v>549</v>
      </c>
      <c r="G203" s="170" t="s">
        <v>25</v>
      </c>
      <c r="H203" s="200" t="s">
        <v>283</v>
      </c>
      <c r="I203" s="200" t="s">
        <v>283</v>
      </c>
      <c r="J203" s="220" t="s">
        <v>261</v>
      </c>
      <c r="K203" s="170" t="str">
        <f>VLOOKUP(D203,[2]T3!$B$2:$D$328,3,FALSE)</f>
        <v>023646525</v>
      </c>
      <c r="L203" s="171" t="s">
        <v>171</v>
      </c>
      <c r="M203" s="171" t="s">
        <v>924</v>
      </c>
      <c r="N203" s="263" t="str">
        <f>VLOOKUP(D203,'[6]Bao cao So GDDT'!$D$14:$S$282,11,FALSE)</f>
        <v>Giảng viên GDNN LT (hạng III)</v>
      </c>
      <c r="O203" s="390" t="s">
        <v>1438</v>
      </c>
      <c r="P203" s="172" t="s">
        <v>692</v>
      </c>
      <c r="Q203" s="173">
        <v>4</v>
      </c>
      <c r="R203" s="174">
        <v>4.32</v>
      </c>
      <c r="S203" s="176">
        <f t="shared" si="84"/>
        <v>0.73440000000000005</v>
      </c>
      <c r="T203" s="370"/>
      <c r="U203" s="176">
        <f t="shared" si="68"/>
        <v>0</v>
      </c>
      <c r="V203" s="175">
        <f t="shared" ref="V203:V212" si="93">R203*T203*$D$8/100</f>
        <v>0</v>
      </c>
      <c r="W203" s="170"/>
      <c r="X203" s="179">
        <v>0.17</v>
      </c>
      <c r="Y203" s="216">
        <f t="shared" si="69"/>
        <v>0.73440000000000005</v>
      </c>
      <c r="Z203" s="216">
        <f t="shared" si="70"/>
        <v>5.0544000000000002</v>
      </c>
      <c r="AA203" s="180">
        <f t="shared" si="71"/>
        <v>11827296</v>
      </c>
      <c r="AB203" s="180"/>
      <c r="AC203" s="180">
        <f t="shared" si="72"/>
        <v>0</v>
      </c>
      <c r="AD203" s="180">
        <v>0</v>
      </c>
      <c r="AE203" s="180">
        <f t="shared" si="73"/>
        <v>11827296</v>
      </c>
      <c r="AF203" s="178">
        <f t="shared" si="74"/>
        <v>946183.68000000005</v>
      </c>
      <c r="AG203" s="178">
        <f t="shared" si="75"/>
        <v>177409.44</v>
      </c>
      <c r="AH203" s="178">
        <f t="shared" si="76"/>
        <v>118272.96000000001</v>
      </c>
      <c r="AI203" s="178"/>
      <c r="AJ203" s="178">
        <f t="shared" si="90"/>
        <v>1241866.08</v>
      </c>
      <c r="AK203" s="192"/>
      <c r="AL203" s="535">
        <f t="shared" si="91"/>
        <v>0</v>
      </c>
      <c r="AM203" s="182"/>
      <c r="AN203" s="182"/>
      <c r="AO203" s="193">
        <f t="shared" si="92"/>
        <v>4.32</v>
      </c>
      <c r="AP203" s="246">
        <v>0.25</v>
      </c>
      <c r="AQ203" s="194">
        <f t="shared" si="78"/>
        <v>1.08</v>
      </c>
      <c r="AR203" s="178">
        <f t="shared" si="79"/>
        <v>2527200</v>
      </c>
      <c r="AS203" s="178"/>
      <c r="AT203" s="178">
        <f t="shared" si="80"/>
        <v>13112630</v>
      </c>
      <c r="AU203" s="469">
        <f t="shared" si="81"/>
        <v>185</v>
      </c>
      <c r="AV203" s="195"/>
      <c r="AW203" s="187" t="s">
        <v>711</v>
      </c>
    </row>
    <row r="204" spans="1:49" s="189" customFormat="1" ht="32.25" customHeight="1" x14ac:dyDescent="0.25">
      <c r="A204" s="168">
        <f>_xlfn.AGGREGATE(4,7,A$13:A203)+1</f>
        <v>186</v>
      </c>
      <c r="B204" s="168" t="str">
        <f>VLOOKUP(D204,[1]LuongBC_T01!$B$9:$C$292,2,FALSE)</f>
        <v>0016100006791004</v>
      </c>
      <c r="C204" s="199" t="s">
        <v>970</v>
      </c>
      <c r="D204" s="169" t="s">
        <v>66</v>
      </c>
      <c r="E204" s="263" t="s">
        <v>1260</v>
      </c>
      <c r="F204" s="169" t="s">
        <v>549</v>
      </c>
      <c r="G204" s="200"/>
      <c r="H204" s="170" t="s">
        <v>283</v>
      </c>
      <c r="I204" s="170" t="s">
        <v>283</v>
      </c>
      <c r="J204" s="169" t="s">
        <v>244</v>
      </c>
      <c r="K204" s="170" t="str">
        <f>VLOOKUP(D204,[2]T3!$B$2:$D$328,3,FALSE)</f>
        <v>024723439</v>
      </c>
      <c r="L204" s="171" t="s">
        <v>138</v>
      </c>
      <c r="M204" s="171" t="s">
        <v>970</v>
      </c>
      <c r="N204" s="263" t="str">
        <f>VLOOKUP(D204,'[6]Bao cao So GDDT'!$D$14:$S$282,11,FALSE)</f>
        <v>Giảng viên GDNN LT (hạng III)</v>
      </c>
      <c r="O204" s="390" t="s">
        <v>1438</v>
      </c>
      <c r="P204" s="172" t="s">
        <v>692</v>
      </c>
      <c r="Q204" s="173">
        <v>4</v>
      </c>
      <c r="R204" s="174">
        <v>3.99</v>
      </c>
      <c r="S204" s="176">
        <f t="shared" si="84"/>
        <v>0.63839999999999997</v>
      </c>
      <c r="T204" s="370"/>
      <c r="U204" s="176">
        <f t="shared" si="68"/>
        <v>0</v>
      </c>
      <c r="V204" s="175">
        <f t="shared" si="93"/>
        <v>0</v>
      </c>
      <c r="W204" s="170"/>
      <c r="X204" s="179">
        <v>0.16</v>
      </c>
      <c r="Y204" s="216">
        <f t="shared" si="69"/>
        <v>0.63839999999999997</v>
      </c>
      <c r="Z204" s="216">
        <f t="shared" si="70"/>
        <v>4.6284000000000001</v>
      </c>
      <c r="AA204" s="180">
        <f t="shared" si="71"/>
        <v>10830456</v>
      </c>
      <c r="AB204" s="180"/>
      <c r="AC204" s="180">
        <f t="shared" si="72"/>
        <v>0</v>
      </c>
      <c r="AD204" s="180">
        <f t="shared" ref="AD204:AD209" si="94">AA204/24*AB204*75%</f>
        <v>0</v>
      </c>
      <c r="AE204" s="180">
        <f t="shared" si="73"/>
        <v>10830456</v>
      </c>
      <c r="AF204" s="178">
        <f t="shared" si="74"/>
        <v>866436.48</v>
      </c>
      <c r="AG204" s="178">
        <f t="shared" si="75"/>
        <v>162456.84</v>
      </c>
      <c r="AH204" s="178">
        <f t="shared" si="76"/>
        <v>108304.56</v>
      </c>
      <c r="AI204" s="178"/>
      <c r="AJ204" s="178">
        <f t="shared" si="90"/>
        <v>1137197.8799999999</v>
      </c>
      <c r="AK204" s="192"/>
      <c r="AL204" s="535">
        <f t="shared" si="91"/>
        <v>0</v>
      </c>
      <c r="AM204" s="182"/>
      <c r="AN204" s="182"/>
      <c r="AO204" s="193">
        <f t="shared" si="92"/>
        <v>3.99</v>
      </c>
      <c r="AP204" s="246">
        <v>0.25</v>
      </c>
      <c r="AQ204" s="194">
        <f t="shared" si="78"/>
        <v>0.99750000000000005</v>
      </c>
      <c r="AR204" s="178">
        <f t="shared" si="79"/>
        <v>2334150</v>
      </c>
      <c r="AS204" s="178"/>
      <c r="AT204" s="178">
        <f t="shared" si="80"/>
        <v>12027408</v>
      </c>
      <c r="AU204" s="469">
        <f t="shared" si="81"/>
        <v>186</v>
      </c>
      <c r="AV204" s="186"/>
      <c r="AW204" s="198" t="s">
        <v>711</v>
      </c>
    </row>
    <row r="205" spans="1:49" s="189" customFormat="1" ht="32.25" customHeight="1" x14ac:dyDescent="0.25">
      <c r="A205" s="168">
        <f>_xlfn.AGGREGATE(4,7,A$13:A204)+1</f>
        <v>187</v>
      </c>
      <c r="B205" s="168" t="str">
        <f>VLOOKUP(D205,[1]LuongBC_T01!$B$9:$C$292,2,FALSE)</f>
        <v>0016100006629002</v>
      </c>
      <c r="C205" s="199" t="s">
        <v>971</v>
      </c>
      <c r="D205" s="169" t="s">
        <v>59</v>
      </c>
      <c r="E205" s="263" t="s">
        <v>1260</v>
      </c>
      <c r="F205" s="169" t="s">
        <v>549</v>
      </c>
      <c r="G205" s="200"/>
      <c r="H205" s="170" t="s">
        <v>283</v>
      </c>
      <c r="I205" s="170" t="s">
        <v>283</v>
      </c>
      <c r="J205" s="169" t="s">
        <v>241</v>
      </c>
      <c r="K205" s="170" t="str">
        <f>VLOOKUP(D205,[2]T3!$B$2:$D$328,3,FALSE)</f>
        <v>023099369</v>
      </c>
      <c r="L205" s="171" t="s">
        <v>139</v>
      </c>
      <c r="M205" s="171" t="s">
        <v>971</v>
      </c>
      <c r="N205" s="263" t="str">
        <f>VLOOKUP(D205,'[6]Bao cao So GDDT'!$D$14:$S$282,11,FALSE)</f>
        <v>Giảng viên GDNN LT (hạng III)</v>
      </c>
      <c r="O205" s="390" t="s">
        <v>1438</v>
      </c>
      <c r="P205" s="172" t="s">
        <v>692</v>
      </c>
      <c r="Q205" s="173">
        <v>4</v>
      </c>
      <c r="R205" s="174">
        <v>3.99</v>
      </c>
      <c r="S205" s="176">
        <f t="shared" si="84"/>
        <v>0.63839999999999997</v>
      </c>
      <c r="T205" s="370"/>
      <c r="U205" s="176">
        <f t="shared" si="68"/>
        <v>0</v>
      </c>
      <c r="V205" s="175">
        <f t="shared" si="93"/>
        <v>0</v>
      </c>
      <c r="W205" s="170"/>
      <c r="X205" s="179">
        <v>0.16</v>
      </c>
      <c r="Y205" s="216">
        <f t="shared" si="69"/>
        <v>0.63839999999999997</v>
      </c>
      <c r="Z205" s="216">
        <f t="shared" si="70"/>
        <v>4.6284000000000001</v>
      </c>
      <c r="AA205" s="180">
        <f t="shared" si="71"/>
        <v>10830456</v>
      </c>
      <c r="AB205" s="180"/>
      <c r="AC205" s="180">
        <f t="shared" si="72"/>
        <v>0</v>
      </c>
      <c r="AD205" s="180">
        <f t="shared" si="94"/>
        <v>0</v>
      </c>
      <c r="AE205" s="180">
        <f t="shared" si="73"/>
        <v>10830456</v>
      </c>
      <c r="AF205" s="178">
        <f t="shared" si="74"/>
        <v>866436.48</v>
      </c>
      <c r="AG205" s="178">
        <f t="shared" si="75"/>
        <v>162456.84</v>
      </c>
      <c r="AH205" s="178">
        <f t="shared" si="76"/>
        <v>108304.56</v>
      </c>
      <c r="AI205" s="178"/>
      <c r="AJ205" s="178">
        <f t="shared" si="90"/>
        <v>1137197.8799999999</v>
      </c>
      <c r="AK205" s="192"/>
      <c r="AL205" s="535">
        <f t="shared" si="91"/>
        <v>0</v>
      </c>
      <c r="AM205" s="182"/>
      <c r="AN205" s="182"/>
      <c r="AO205" s="193">
        <f t="shared" si="92"/>
        <v>3.99</v>
      </c>
      <c r="AP205" s="246">
        <v>0.25</v>
      </c>
      <c r="AQ205" s="194">
        <f t="shared" si="78"/>
        <v>0.99750000000000005</v>
      </c>
      <c r="AR205" s="178">
        <f t="shared" si="79"/>
        <v>2334150</v>
      </c>
      <c r="AS205" s="178"/>
      <c r="AT205" s="178">
        <f t="shared" si="80"/>
        <v>12027408</v>
      </c>
      <c r="AU205" s="469">
        <f t="shared" si="81"/>
        <v>187</v>
      </c>
      <c r="AV205" s="186"/>
      <c r="AW205" s="187" t="s">
        <v>711</v>
      </c>
    </row>
    <row r="206" spans="1:49" s="189" customFormat="1" ht="32.25" customHeight="1" x14ac:dyDescent="0.25">
      <c r="A206" s="168">
        <f>_xlfn.AGGREGATE(4,7,A$13:A205)+1</f>
        <v>188</v>
      </c>
      <c r="B206" s="168" t="str">
        <f>VLOOKUP(D206,[1]LuongBC_T01!$B$9:$C$292,2,FALSE)</f>
        <v>0016100006508008</v>
      </c>
      <c r="C206" s="199" t="s">
        <v>910</v>
      </c>
      <c r="D206" s="169" t="s">
        <v>305</v>
      </c>
      <c r="E206" s="263" t="s">
        <v>1260</v>
      </c>
      <c r="F206" s="169" t="s">
        <v>549</v>
      </c>
      <c r="G206" s="200"/>
      <c r="H206" s="170" t="s">
        <v>283</v>
      </c>
      <c r="I206" s="170" t="s">
        <v>283</v>
      </c>
      <c r="J206" s="169" t="s">
        <v>534</v>
      </c>
      <c r="K206" s="170" t="str">
        <f>VLOOKUP(D206,[2]T3!$B$2:$D$328,3,FALSE)</f>
        <v>022354694</v>
      </c>
      <c r="L206" s="171" t="s">
        <v>331</v>
      </c>
      <c r="M206" s="171" t="s">
        <v>910</v>
      </c>
      <c r="N206" s="263" t="str">
        <f>VLOOKUP(D206,'[6]Bao cao So GDDT'!$D$14:$S$282,11,FALSE)</f>
        <v>Giảng viên GDNN LT (hạng III)</v>
      </c>
      <c r="O206" s="390" t="s">
        <v>1438</v>
      </c>
      <c r="P206" s="172" t="s">
        <v>692</v>
      </c>
      <c r="Q206" s="173">
        <v>3</v>
      </c>
      <c r="R206" s="174">
        <v>3.99</v>
      </c>
      <c r="S206" s="176">
        <f t="shared" si="84"/>
        <v>0.67830000000000001</v>
      </c>
      <c r="T206" s="370"/>
      <c r="U206" s="176">
        <f t="shared" si="68"/>
        <v>0</v>
      </c>
      <c r="V206" s="175">
        <f t="shared" si="93"/>
        <v>0</v>
      </c>
      <c r="W206" s="170"/>
      <c r="X206" s="179">
        <v>0.17</v>
      </c>
      <c r="Y206" s="216">
        <f t="shared" si="69"/>
        <v>0.67830000000000001</v>
      </c>
      <c r="Z206" s="216">
        <f t="shared" si="70"/>
        <v>4.6683000000000003</v>
      </c>
      <c r="AA206" s="180">
        <f t="shared" si="71"/>
        <v>10923822</v>
      </c>
      <c r="AB206" s="180"/>
      <c r="AC206" s="180">
        <f t="shared" si="72"/>
        <v>0</v>
      </c>
      <c r="AD206" s="180">
        <f t="shared" si="94"/>
        <v>0</v>
      </c>
      <c r="AE206" s="180">
        <f t="shared" si="73"/>
        <v>10923822</v>
      </c>
      <c r="AF206" s="178">
        <f t="shared" si="74"/>
        <v>873905.76</v>
      </c>
      <c r="AG206" s="178">
        <f t="shared" si="75"/>
        <v>163857.32999999999</v>
      </c>
      <c r="AH206" s="178">
        <f t="shared" si="76"/>
        <v>109238.22</v>
      </c>
      <c r="AI206" s="178"/>
      <c r="AJ206" s="178">
        <f t="shared" si="90"/>
        <v>1147001.31</v>
      </c>
      <c r="AK206" s="192"/>
      <c r="AL206" s="535">
        <f t="shared" si="91"/>
        <v>0</v>
      </c>
      <c r="AM206" s="182"/>
      <c r="AN206" s="182"/>
      <c r="AO206" s="193">
        <f t="shared" si="92"/>
        <v>3.99</v>
      </c>
      <c r="AP206" s="246">
        <v>0.25</v>
      </c>
      <c r="AQ206" s="194">
        <f t="shared" si="78"/>
        <v>0.99750000000000005</v>
      </c>
      <c r="AR206" s="178">
        <f t="shared" si="79"/>
        <v>2334150</v>
      </c>
      <c r="AS206" s="178"/>
      <c r="AT206" s="178">
        <f t="shared" si="80"/>
        <v>12110971</v>
      </c>
      <c r="AU206" s="469">
        <f t="shared" si="81"/>
        <v>188</v>
      </c>
      <c r="AV206" s="195"/>
      <c r="AW206" s="187" t="s">
        <v>711</v>
      </c>
    </row>
    <row r="207" spans="1:49" s="189" customFormat="1" ht="32.25" customHeight="1" x14ac:dyDescent="0.25">
      <c r="A207" s="168">
        <f>_xlfn.AGGREGATE(4,7,A$13:A206)+1</f>
        <v>189</v>
      </c>
      <c r="B207" s="168" t="str">
        <f>VLOOKUP(D207,[1]LuongBC_T01!$B$9:$C$292,2,FALSE)</f>
        <v>0016100006809008</v>
      </c>
      <c r="C207" s="199" t="s">
        <v>975</v>
      </c>
      <c r="D207" s="169" t="s">
        <v>310</v>
      </c>
      <c r="E207" s="263" t="s">
        <v>1260</v>
      </c>
      <c r="F207" s="169" t="s">
        <v>549</v>
      </c>
      <c r="G207" s="200" t="s">
        <v>25</v>
      </c>
      <c r="H207" s="200" t="s">
        <v>283</v>
      </c>
      <c r="I207" s="170" t="s">
        <v>283</v>
      </c>
      <c r="J207" s="169" t="s">
        <v>544</v>
      </c>
      <c r="K207" s="170" t="str">
        <f>VLOOKUP(D207,[2]T3!$B$2:$D$328,3,FALSE)</f>
        <v>025078389</v>
      </c>
      <c r="L207" s="171" t="s">
        <v>335</v>
      </c>
      <c r="M207" s="171" t="s">
        <v>975</v>
      </c>
      <c r="N207" s="263" t="str">
        <f>VLOOKUP(D207,'[6]Bao cao So GDDT'!$D$14:$S$282,11,FALSE)</f>
        <v>Giảng viên GDNN LT (hạng III)</v>
      </c>
      <c r="O207" s="390" t="s">
        <v>1438</v>
      </c>
      <c r="P207" s="172" t="s">
        <v>692</v>
      </c>
      <c r="Q207" s="173">
        <v>4</v>
      </c>
      <c r="R207" s="174">
        <v>3.99</v>
      </c>
      <c r="S207" s="176">
        <f t="shared" si="84"/>
        <v>0.67830000000000001</v>
      </c>
      <c r="T207" s="370"/>
      <c r="U207" s="176">
        <f t="shared" si="68"/>
        <v>0</v>
      </c>
      <c r="V207" s="175">
        <f t="shared" si="93"/>
        <v>0</v>
      </c>
      <c r="W207" s="170"/>
      <c r="X207" s="179">
        <v>0.17</v>
      </c>
      <c r="Y207" s="216">
        <f t="shared" si="69"/>
        <v>0.67830000000000001</v>
      </c>
      <c r="Z207" s="216">
        <f t="shared" si="70"/>
        <v>4.6683000000000003</v>
      </c>
      <c r="AA207" s="180">
        <f t="shared" si="71"/>
        <v>10923822</v>
      </c>
      <c r="AB207" s="180"/>
      <c r="AC207" s="180">
        <f t="shared" si="72"/>
        <v>0</v>
      </c>
      <c r="AD207" s="180">
        <f t="shared" si="94"/>
        <v>0</v>
      </c>
      <c r="AE207" s="180">
        <f t="shared" si="73"/>
        <v>10923822</v>
      </c>
      <c r="AF207" s="178">
        <f t="shared" si="74"/>
        <v>873905.76</v>
      </c>
      <c r="AG207" s="178">
        <f t="shared" si="75"/>
        <v>163857.32999999999</v>
      </c>
      <c r="AH207" s="178">
        <f t="shared" si="76"/>
        <v>109238.22</v>
      </c>
      <c r="AI207" s="178"/>
      <c r="AJ207" s="178">
        <f t="shared" si="90"/>
        <v>1147001.31</v>
      </c>
      <c r="AK207" s="192"/>
      <c r="AL207" s="535">
        <f t="shared" si="91"/>
        <v>0</v>
      </c>
      <c r="AM207" s="182"/>
      <c r="AN207" s="182"/>
      <c r="AO207" s="193">
        <f t="shared" si="92"/>
        <v>3.99</v>
      </c>
      <c r="AP207" s="246">
        <v>0.25</v>
      </c>
      <c r="AQ207" s="194">
        <f t="shared" si="78"/>
        <v>0.99750000000000005</v>
      </c>
      <c r="AR207" s="178">
        <f t="shared" si="79"/>
        <v>2334150</v>
      </c>
      <c r="AS207" s="178"/>
      <c r="AT207" s="178">
        <f t="shared" si="80"/>
        <v>12110971</v>
      </c>
      <c r="AU207" s="469">
        <f t="shared" si="81"/>
        <v>189</v>
      </c>
      <c r="AV207" s="195"/>
      <c r="AW207" s="187" t="s">
        <v>711</v>
      </c>
    </row>
    <row r="208" spans="1:49" s="189" customFormat="1" ht="32.25" customHeight="1" x14ac:dyDescent="0.25">
      <c r="A208" s="168">
        <f>_xlfn.AGGREGATE(4,7,A$13:A207)+1</f>
        <v>190</v>
      </c>
      <c r="B208" s="168" t="str">
        <f>VLOOKUP(D208,[1]LuongBC_T01!$B$9:$C$292,2,FALSE)</f>
        <v>0016100006626003</v>
      </c>
      <c r="C208" s="199" t="s">
        <v>922</v>
      </c>
      <c r="D208" s="169" t="s">
        <v>306</v>
      </c>
      <c r="E208" s="263" t="s">
        <v>1248</v>
      </c>
      <c r="F208" s="169" t="s">
        <v>549</v>
      </c>
      <c r="G208" s="200"/>
      <c r="H208" s="200" t="s">
        <v>283</v>
      </c>
      <c r="I208" s="170" t="s">
        <v>283</v>
      </c>
      <c r="J208" s="169" t="s">
        <v>535</v>
      </c>
      <c r="K208" s="170" t="str">
        <f>VLOOKUP(D208,[2]T3!$B$2:$D$328,3,FALSE)</f>
        <v>023204127</v>
      </c>
      <c r="L208" s="171" t="s">
        <v>333</v>
      </c>
      <c r="M208" s="171" t="s">
        <v>922</v>
      </c>
      <c r="N208" s="263" t="str">
        <f>VLOOKUP(D208,'[6]Bao cao So GDDT'!$D$14:$S$282,11,FALSE)</f>
        <v>Giảng viên GDNN LT (hạng III)</v>
      </c>
      <c r="O208" s="390" t="s">
        <v>1438</v>
      </c>
      <c r="P208" s="172" t="s">
        <v>692</v>
      </c>
      <c r="Q208" s="173">
        <v>3</v>
      </c>
      <c r="R208" s="174">
        <v>3.99</v>
      </c>
      <c r="S208" s="176">
        <f t="shared" si="84"/>
        <v>1.0009999999999999</v>
      </c>
      <c r="T208" s="370"/>
      <c r="U208" s="176">
        <f t="shared" si="68"/>
        <v>0</v>
      </c>
      <c r="V208" s="175">
        <f t="shared" si="93"/>
        <v>0</v>
      </c>
      <c r="W208" s="170">
        <v>0.35</v>
      </c>
      <c r="X208" s="179">
        <v>0.15</v>
      </c>
      <c r="Y208" s="216">
        <f t="shared" si="69"/>
        <v>0.65100000000000002</v>
      </c>
      <c r="Z208" s="216">
        <f t="shared" si="70"/>
        <v>4.9909999999999997</v>
      </c>
      <c r="AA208" s="180">
        <f t="shared" si="71"/>
        <v>11678940</v>
      </c>
      <c r="AB208" s="180"/>
      <c r="AC208" s="180">
        <f t="shared" si="72"/>
        <v>0</v>
      </c>
      <c r="AD208" s="180">
        <f t="shared" si="94"/>
        <v>0</v>
      </c>
      <c r="AE208" s="180">
        <f t="shared" si="73"/>
        <v>11678940</v>
      </c>
      <c r="AF208" s="178">
        <f t="shared" si="74"/>
        <v>934315.20000000007</v>
      </c>
      <c r="AG208" s="178">
        <f t="shared" si="75"/>
        <v>175184.1</v>
      </c>
      <c r="AH208" s="178">
        <f t="shared" si="76"/>
        <v>116789.40000000001</v>
      </c>
      <c r="AI208" s="178"/>
      <c r="AJ208" s="178">
        <f t="shared" si="90"/>
        <v>1226288.7</v>
      </c>
      <c r="AK208" s="192"/>
      <c r="AL208" s="535">
        <f t="shared" si="91"/>
        <v>0</v>
      </c>
      <c r="AM208" s="182"/>
      <c r="AN208" s="182"/>
      <c r="AO208" s="193">
        <f t="shared" si="92"/>
        <v>4.34</v>
      </c>
      <c r="AP208" s="246">
        <v>0.25</v>
      </c>
      <c r="AQ208" s="194">
        <f t="shared" si="78"/>
        <v>1.085</v>
      </c>
      <c r="AR208" s="178">
        <f t="shared" si="79"/>
        <v>2538900</v>
      </c>
      <c r="AS208" s="178"/>
      <c r="AT208" s="178">
        <f t="shared" si="80"/>
        <v>12991551</v>
      </c>
      <c r="AU208" s="469">
        <f t="shared" si="81"/>
        <v>190</v>
      </c>
      <c r="AV208" s="186"/>
      <c r="AW208" s="187" t="s">
        <v>711</v>
      </c>
    </row>
    <row r="209" spans="1:51" s="189" customFormat="1" ht="32.25" customHeight="1" x14ac:dyDescent="0.25">
      <c r="A209" s="168">
        <f>_xlfn.AGGREGATE(4,7,A$13:A208)+1</f>
        <v>191</v>
      </c>
      <c r="B209" s="168" t="str">
        <f>VLOOKUP(D209,[1]LuongBC_T01!$B$9:$C$292,2,FALSE)</f>
        <v>0016100006798009</v>
      </c>
      <c r="C209" s="199" t="s">
        <v>981</v>
      </c>
      <c r="D209" s="169" t="s">
        <v>304</v>
      </c>
      <c r="E209" s="263" t="s">
        <v>1260</v>
      </c>
      <c r="F209" s="169" t="s">
        <v>549</v>
      </c>
      <c r="G209" s="200" t="s">
        <v>25</v>
      </c>
      <c r="H209" s="200" t="s">
        <v>283</v>
      </c>
      <c r="I209" s="170" t="s">
        <v>283</v>
      </c>
      <c r="J209" s="169" t="s">
        <v>533</v>
      </c>
      <c r="K209" s="170" t="str">
        <f>VLOOKUP(D209,[2]T3!$B$2:$D$328,3,FALSE)</f>
        <v>023228757</v>
      </c>
      <c r="L209" s="171" t="s">
        <v>342</v>
      </c>
      <c r="M209" s="171" t="s">
        <v>981</v>
      </c>
      <c r="N209" s="263" t="str">
        <f>VLOOKUP(D209,'[6]Bao cao So GDDT'!$D$14:$S$282,11,FALSE)</f>
        <v>Giảng viên GDNN LT (hạng III)</v>
      </c>
      <c r="O209" s="390" t="s">
        <v>1438</v>
      </c>
      <c r="P209" s="172" t="s">
        <v>692</v>
      </c>
      <c r="Q209" s="173">
        <v>3</v>
      </c>
      <c r="R209" s="174">
        <v>3.99</v>
      </c>
      <c r="S209" s="176">
        <f t="shared" si="84"/>
        <v>0.59850000000000003</v>
      </c>
      <c r="T209" s="370"/>
      <c r="U209" s="176">
        <f t="shared" si="68"/>
        <v>0</v>
      </c>
      <c r="V209" s="175">
        <f t="shared" si="93"/>
        <v>0</v>
      </c>
      <c r="W209" s="170"/>
      <c r="X209" s="179">
        <v>0.15</v>
      </c>
      <c r="Y209" s="216">
        <f t="shared" si="69"/>
        <v>0.59850000000000003</v>
      </c>
      <c r="Z209" s="216">
        <f t="shared" si="70"/>
        <v>4.5884999999999998</v>
      </c>
      <c r="AA209" s="180">
        <f t="shared" si="71"/>
        <v>10737090</v>
      </c>
      <c r="AB209" s="180"/>
      <c r="AC209" s="180">
        <f t="shared" si="72"/>
        <v>0</v>
      </c>
      <c r="AD209" s="180">
        <f t="shared" si="94"/>
        <v>0</v>
      </c>
      <c r="AE209" s="180">
        <f t="shared" si="73"/>
        <v>10737090</v>
      </c>
      <c r="AF209" s="178">
        <f t="shared" si="74"/>
        <v>858967.20000000007</v>
      </c>
      <c r="AG209" s="178">
        <f t="shared" si="75"/>
        <v>161056.35</v>
      </c>
      <c r="AH209" s="178">
        <f t="shared" si="76"/>
        <v>107370.90000000001</v>
      </c>
      <c r="AI209" s="178"/>
      <c r="AJ209" s="178">
        <f t="shared" si="90"/>
        <v>1127394.45</v>
      </c>
      <c r="AK209" s="192"/>
      <c r="AL209" s="535">
        <f t="shared" si="91"/>
        <v>0</v>
      </c>
      <c r="AM209" s="182"/>
      <c r="AN209" s="182"/>
      <c r="AO209" s="193">
        <f t="shared" si="92"/>
        <v>3.99</v>
      </c>
      <c r="AP209" s="246">
        <v>0.25</v>
      </c>
      <c r="AQ209" s="194">
        <f t="shared" si="78"/>
        <v>0.99750000000000005</v>
      </c>
      <c r="AR209" s="178">
        <f t="shared" si="79"/>
        <v>2334150</v>
      </c>
      <c r="AS209" s="178"/>
      <c r="AT209" s="178">
        <f t="shared" si="80"/>
        <v>11943846</v>
      </c>
      <c r="AU209" s="469">
        <f t="shared" si="81"/>
        <v>191</v>
      </c>
      <c r="AV209" s="195"/>
      <c r="AW209" s="198" t="s">
        <v>711</v>
      </c>
    </row>
    <row r="210" spans="1:51" s="189" customFormat="1" ht="32.25" customHeight="1" x14ac:dyDescent="0.25">
      <c r="A210" s="168">
        <f>_xlfn.AGGREGATE(4,7,A$13:A209)+1</f>
        <v>192</v>
      </c>
      <c r="B210" s="168" t="str">
        <f>VLOOKUP(D210,[1]LuongBC_T01!$B$9:$C$292,2,FALSE)</f>
        <v>0016100006795007</v>
      </c>
      <c r="C210" s="199" t="s">
        <v>983</v>
      </c>
      <c r="D210" s="169" t="s">
        <v>303</v>
      </c>
      <c r="E210" s="263" t="s">
        <v>1260</v>
      </c>
      <c r="F210" s="169" t="s">
        <v>549</v>
      </c>
      <c r="G210" s="200" t="s">
        <v>25</v>
      </c>
      <c r="H210" s="200" t="s">
        <v>283</v>
      </c>
      <c r="I210" s="170" t="s">
        <v>283</v>
      </c>
      <c r="J210" s="169" t="s">
        <v>532</v>
      </c>
      <c r="K210" s="170" t="str">
        <f>VLOOKUP(D210,[2]T3!$B$2:$D$328,3,FALSE)</f>
        <v>025627682</v>
      </c>
      <c r="L210" s="171" t="s">
        <v>332</v>
      </c>
      <c r="M210" s="171" t="s">
        <v>983</v>
      </c>
      <c r="N210" s="263" t="str">
        <f>VLOOKUP(D210,'[6]Bao cao So GDDT'!$D$14:$S$282,11,FALSE)</f>
        <v>Giảng viên GDNN LT (hạng III)</v>
      </c>
      <c r="O210" s="390" t="s">
        <v>1438</v>
      </c>
      <c r="P210" s="172" t="s">
        <v>692</v>
      </c>
      <c r="Q210" s="173">
        <v>3</v>
      </c>
      <c r="R210" s="174">
        <v>3.99</v>
      </c>
      <c r="S210" s="176">
        <f t="shared" si="84"/>
        <v>0.59850000000000003</v>
      </c>
      <c r="T210" s="370"/>
      <c r="U210" s="176">
        <f t="shared" ref="U210:U272" si="95">ROUND(R210*T210/100,4)</f>
        <v>0</v>
      </c>
      <c r="V210" s="175">
        <f t="shared" si="93"/>
        <v>0</v>
      </c>
      <c r="W210" s="170"/>
      <c r="X210" s="179">
        <v>0.15</v>
      </c>
      <c r="Y210" s="216">
        <f t="shared" ref="Y210:Y272" si="96">ROUND((R210+U210+W210)*X210,4)</f>
        <v>0.59850000000000003</v>
      </c>
      <c r="Z210" s="216">
        <f t="shared" ref="Z210:Z272" si="97">R210+U210+W210+Y210</f>
        <v>4.5884999999999998</v>
      </c>
      <c r="AA210" s="180">
        <f t="shared" ref="AA210:AA272" si="98">ROUND(Z210*$D$8,0)</f>
        <v>10737090</v>
      </c>
      <c r="AB210" s="180"/>
      <c r="AC210" s="180">
        <f t="shared" ref="AC210:AC255" si="99">AA210/24*AB210</f>
        <v>0</v>
      </c>
      <c r="AD210" s="180">
        <v>0</v>
      </c>
      <c r="AE210" s="180">
        <f t="shared" ref="AE210:AE272" si="100">ROUND(AA210-AC210+AD210,0)</f>
        <v>10737090</v>
      </c>
      <c r="AF210" s="178">
        <f t="shared" ref="AF210:AF269" si="101">AA210*8%</f>
        <v>858967.20000000007</v>
      </c>
      <c r="AG210" s="178">
        <f t="shared" ref="AG210:AG269" si="102">AA210*1.5%</f>
        <v>161056.35</v>
      </c>
      <c r="AH210" s="178">
        <f t="shared" ref="AH210:AH269" si="103">AA210*1%</f>
        <v>107370.90000000001</v>
      </c>
      <c r="AI210" s="178"/>
      <c r="AJ210" s="178">
        <f t="shared" si="90"/>
        <v>1127394.45</v>
      </c>
      <c r="AK210" s="192"/>
      <c r="AL210" s="535">
        <f t="shared" si="91"/>
        <v>0</v>
      </c>
      <c r="AM210" s="182"/>
      <c r="AN210" s="182"/>
      <c r="AO210" s="193">
        <f t="shared" si="92"/>
        <v>3.99</v>
      </c>
      <c r="AP210" s="246">
        <v>0.25</v>
      </c>
      <c r="AQ210" s="194">
        <f t="shared" ref="AQ210:AQ272" si="104">ROUND(AO210*AP210,4)</f>
        <v>0.99750000000000005</v>
      </c>
      <c r="AR210" s="178">
        <f t="shared" ref="AR210:AR272" si="105">ROUND(AQ210*$D$8,0)</f>
        <v>2334150</v>
      </c>
      <c r="AS210" s="178"/>
      <c r="AT210" s="178">
        <f t="shared" ref="AT210:AT272" si="106">ROUND(AE210-AJ210+AL210+AN210+AR210,0)</f>
        <v>11943846</v>
      </c>
      <c r="AU210" s="469">
        <f t="shared" ref="AU210:AU268" si="107">A210</f>
        <v>192</v>
      </c>
      <c r="AV210" s="195"/>
      <c r="AW210" s="198" t="s">
        <v>711</v>
      </c>
    </row>
    <row r="211" spans="1:51" s="189" customFormat="1" ht="32.25" customHeight="1" x14ac:dyDescent="0.25">
      <c r="A211" s="168">
        <f>_xlfn.AGGREGATE(4,7,A$13:A210)+1</f>
        <v>193</v>
      </c>
      <c r="B211" s="168" t="str">
        <f>VLOOKUP(D211,[1]LuongBC_T01!$B$9:$C$292,2,FALSE)</f>
        <v>0016100006797002</v>
      </c>
      <c r="C211" s="199" t="s">
        <v>986</v>
      </c>
      <c r="D211" s="169" t="s">
        <v>297</v>
      </c>
      <c r="E211" s="263" t="s">
        <v>1260</v>
      </c>
      <c r="F211" s="169" t="s">
        <v>549</v>
      </c>
      <c r="G211" s="200"/>
      <c r="H211" s="200" t="s">
        <v>283</v>
      </c>
      <c r="I211" s="170" t="s">
        <v>283</v>
      </c>
      <c r="J211" s="169" t="s">
        <v>540</v>
      </c>
      <c r="K211" s="170" t="str">
        <f>VLOOKUP(D211,[2]T3!$B$2:$D$328,3,FALSE)</f>
        <v>023425372</v>
      </c>
      <c r="L211" s="171" t="s">
        <v>329</v>
      </c>
      <c r="M211" s="171" t="s">
        <v>986</v>
      </c>
      <c r="N211" s="263" t="str">
        <f>VLOOKUP(D211,'[6]Bao cao So GDDT'!$D$14:$S$282,11,FALSE)</f>
        <v>Giảng viên GDNN LT (hạng III)</v>
      </c>
      <c r="O211" s="390" t="s">
        <v>1438</v>
      </c>
      <c r="P211" s="172" t="s">
        <v>692</v>
      </c>
      <c r="Q211" s="173">
        <v>3</v>
      </c>
      <c r="R211" s="174">
        <v>3.99</v>
      </c>
      <c r="S211" s="176">
        <f t="shared" si="84"/>
        <v>0.59850000000000003</v>
      </c>
      <c r="T211" s="370"/>
      <c r="U211" s="176">
        <f t="shared" si="95"/>
        <v>0</v>
      </c>
      <c r="V211" s="175">
        <f t="shared" si="93"/>
        <v>0</v>
      </c>
      <c r="W211" s="170"/>
      <c r="X211" s="179">
        <v>0.15</v>
      </c>
      <c r="Y211" s="216">
        <f t="shared" si="96"/>
        <v>0.59850000000000003</v>
      </c>
      <c r="Z211" s="216">
        <f t="shared" si="97"/>
        <v>4.5884999999999998</v>
      </c>
      <c r="AA211" s="180">
        <f t="shared" si="98"/>
        <v>10737090</v>
      </c>
      <c r="AB211" s="180"/>
      <c r="AC211" s="180">
        <f t="shared" si="99"/>
        <v>0</v>
      </c>
      <c r="AD211" s="180">
        <f t="shared" ref="AD211:AD231" si="108">AA211/24*AB211*75%</f>
        <v>0</v>
      </c>
      <c r="AE211" s="180">
        <f t="shared" si="100"/>
        <v>10737090</v>
      </c>
      <c r="AF211" s="178">
        <f t="shared" si="101"/>
        <v>858967.20000000007</v>
      </c>
      <c r="AG211" s="178">
        <f t="shared" si="102"/>
        <v>161056.35</v>
      </c>
      <c r="AH211" s="178">
        <f t="shared" si="103"/>
        <v>107370.90000000001</v>
      </c>
      <c r="AI211" s="178"/>
      <c r="AJ211" s="178">
        <f t="shared" si="90"/>
        <v>1127394.45</v>
      </c>
      <c r="AK211" s="192"/>
      <c r="AL211" s="535">
        <f t="shared" si="91"/>
        <v>0</v>
      </c>
      <c r="AM211" s="182"/>
      <c r="AN211" s="182"/>
      <c r="AO211" s="193">
        <f t="shared" si="92"/>
        <v>3.99</v>
      </c>
      <c r="AP211" s="246">
        <v>0.25</v>
      </c>
      <c r="AQ211" s="194">
        <f t="shared" si="104"/>
        <v>0.99750000000000005</v>
      </c>
      <c r="AR211" s="178">
        <f t="shared" si="105"/>
        <v>2334150</v>
      </c>
      <c r="AS211" s="178"/>
      <c r="AT211" s="178">
        <f t="shared" si="106"/>
        <v>11943846</v>
      </c>
      <c r="AU211" s="469">
        <f t="shared" si="107"/>
        <v>193</v>
      </c>
      <c r="AV211" s="186"/>
      <c r="AW211" s="198" t="s">
        <v>711</v>
      </c>
    </row>
    <row r="212" spans="1:51" s="189" customFormat="1" ht="32.25" customHeight="1" x14ac:dyDescent="0.25">
      <c r="A212" s="168">
        <f>_xlfn.AGGREGATE(4,7,A$13:A211)+1</f>
        <v>194</v>
      </c>
      <c r="B212" s="168" t="str">
        <f>VLOOKUP(D212,[1]LuongBC_T01!$B$9:$C$292,2,FALSE)</f>
        <v>0016100006750006</v>
      </c>
      <c r="C212" s="199" t="s">
        <v>929</v>
      </c>
      <c r="D212" s="169" t="s">
        <v>1209</v>
      </c>
      <c r="E212" s="263" t="s">
        <v>1679</v>
      </c>
      <c r="F212" s="169" t="s">
        <v>549</v>
      </c>
      <c r="G212" s="200"/>
      <c r="H212" s="200" t="s">
        <v>283</v>
      </c>
      <c r="I212" s="200" t="s">
        <v>283</v>
      </c>
      <c r="J212" s="200" t="s">
        <v>581</v>
      </c>
      <c r="K212" s="170" t="str">
        <f>VLOOKUP(D212,[2]T3!$B$2:$D$328,3,FALSE)</f>
        <v>025187897</v>
      </c>
      <c r="L212" s="201" t="s">
        <v>603</v>
      </c>
      <c r="M212" s="201" t="s">
        <v>929</v>
      </c>
      <c r="N212" s="263" t="str">
        <f>VLOOKUP(D212,'[6]Bao cao So GDDT'!$D$14:$S$282,11,FALSE)</f>
        <v>Giảng viên GDNN LT (hạng III)</v>
      </c>
      <c r="O212" s="390" t="s">
        <v>1438</v>
      </c>
      <c r="P212" s="170" t="s">
        <v>692</v>
      </c>
      <c r="Q212" s="170">
        <v>3</v>
      </c>
      <c r="R212" s="177">
        <v>3.99</v>
      </c>
      <c r="S212" s="176">
        <f t="shared" si="84"/>
        <v>0.95760000000000001</v>
      </c>
      <c r="T212" s="220"/>
      <c r="U212" s="176">
        <f t="shared" si="95"/>
        <v>0</v>
      </c>
      <c r="V212" s="175">
        <f t="shared" si="93"/>
        <v>0</v>
      </c>
      <c r="W212" s="170">
        <v>0.35</v>
      </c>
      <c r="X212" s="179">
        <v>0.14000000000000001</v>
      </c>
      <c r="Y212" s="216">
        <f t="shared" si="96"/>
        <v>0.60760000000000003</v>
      </c>
      <c r="Z212" s="216">
        <f t="shared" si="97"/>
        <v>4.9475999999999996</v>
      </c>
      <c r="AA212" s="180">
        <f t="shared" si="98"/>
        <v>11577384</v>
      </c>
      <c r="AB212" s="180"/>
      <c r="AC212" s="180">
        <f t="shared" si="99"/>
        <v>0</v>
      </c>
      <c r="AD212" s="180">
        <f t="shared" si="108"/>
        <v>0</v>
      </c>
      <c r="AE212" s="180">
        <f t="shared" si="100"/>
        <v>11577384</v>
      </c>
      <c r="AF212" s="178">
        <f t="shared" si="101"/>
        <v>926190.72</v>
      </c>
      <c r="AG212" s="178">
        <f t="shared" si="102"/>
        <v>173660.75999999998</v>
      </c>
      <c r="AH212" s="178">
        <f t="shared" si="103"/>
        <v>115773.84</v>
      </c>
      <c r="AI212" s="178"/>
      <c r="AJ212" s="178">
        <f t="shared" si="90"/>
        <v>1215625.32</v>
      </c>
      <c r="AK212" s="192"/>
      <c r="AL212" s="535">
        <f t="shared" si="91"/>
        <v>0</v>
      </c>
      <c r="AM212" s="182"/>
      <c r="AN212" s="182"/>
      <c r="AO212" s="193">
        <f t="shared" si="92"/>
        <v>4.34</v>
      </c>
      <c r="AP212" s="246">
        <v>0.25</v>
      </c>
      <c r="AQ212" s="194">
        <f t="shared" si="104"/>
        <v>1.085</v>
      </c>
      <c r="AR212" s="178">
        <f t="shared" si="105"/>
        <v>2538900</v>
      </c>
      <c r="AS212" s="178"/>
      <c r="AT212" s="178">
        <f t="shared" si="106"/>
        <v>12900659</v>
      </c>
      <c r="AU212" s="469">
        <f t="shared" si="107"/>
        <v>194</v>
      </c>
      <c r="AV212" s="186"/>
      <c r="AW212" s="198" t="s">
        <v>711</v>
      </c>
    </row>
    <row r="213" spans="1:51" s="189" customFormat="1" ht="32.25" customHeight="1" x14ac:dyDescent="0.25">
      <c r="A213" s="168">
        <f>_xlfn.AGGREGATE(4,7,A$13:A212)+1</f>
        <v>195</v>
      </c>
      <c r="B213" s="168" t="str">
        <f>VLOOKUP(D213,[1]LuongBC_T01!$B$9:$C$292,2,FALSE)</f>
        <v>0016100007758008</v>
      </c>
      <c r="C213" s="170" t="s">
        <v>1316</v>
      </c>
      <c r="D213" s="169" t="s">
        <v>1298</v>
      </c>
      <c r="E213" s="263" t="s">
        <v>1550</v>
      </c>
      <c r="F213" s="220"/>
      <c r="G213" s="220"/>
      <c r="H213" s="220"/>
      <c r="I213" s="220"/>
      <c r="J213" s="220"/>
      <c r="K213" s="168" t="s">
        <v>1461</v>
      </c>
      <c r="L213" s="220"/>
      <c r="M213" s="170"/>
      <c r="N213" s="263" t="str">
        <f>VLOOKUP(D213,'[6]Bao cao So GDDT'!$D$14:$S$282,11,FALSE)</f>
        <v>Giảng viên GDNN LT (hạng III)</v>
      </c>
      <c r="O213" s="390" t="s">
        <v>1438</v>
      </c>
      <c r="P213" s="251"/>
      <c r="Q213" s="251"/>
      <c r="R213" s="177">
        <v>3.66</v>
      </c>
      <c r="S213" s="176"/>
      <c r="T213" s="220"/>
      <c r="U213" s="176">
        <f t="shared" si="95"/>
        <v>0</v>
      </c>
      <c r="V213" s="175"/>
      <c r="W213" s="170"/>
      <c r="X213" s="179">
        <v>0.12</v>
      </c>
      <c r="Y213" s="216">
        <f t="shared" si="96"/>
        <v>0.43919999999999998</v>
      </c>
      <c r="Z213" s="216">
        <f t="shared" si="97"/>
        <v>4.0991999999999997</v>
      </c>
      <c r="AA213" s="180">
        <f t="shared" si="98"/>
        <v>9592128</v>
      </c>
      <c r="AB213" s="180"/>
      <c r="AC213" s="180">
        <f t="shared" si="99"/>
        <v>0</v>
      </c>
      <c r="AD213" s="180">
        <f t="shared" si="108"/>
        <v>0</v>
      </c>
      <c r="AE213" s="180">
        <f t="shared" si="100"/>
        <v>9592128</v>
      </c>
      <c r="AF213" s="178">
        <f t="shared" si="101"/>
        <v>767370.23999999999</v>
      </c>
      <c r="AG213" s="178">
        <f t="shared" si="102"/>
        <v>143881.91999999998</v>
      </c>
      <c r="AH213" s="178">
        <f t="shared" si="103"/>
        <v>95921.279999999999</v>
      </c>
      <c r="AI213" s="178"/>
      <c r="AJ213" s="178">
        <f t="shared" si="90"/>
        <v>1007173.44</v>
      </c>
      <c r="AK213" s="192"/>
      <c r="AL213" s="535">
        <f t="shared" si="91"/>
        <v>0</v>
      </c>
      <c r="AM213" s="182"/>
      <c r="AN213" s="182"/>
      <c r="AO213" s="183">
        <f t="shared" si="92"/>
        <v>3.66</v>
      </c>
      <c r="AP213" s="246">
        <v>0.25</v>
      </c>
      <c r="AQ213" s="185">
        <f t="shared" si="104"/>
        <v>0.91500000000000004</v>
      </c>
      <c r="AR213" s="178">
        <f t="shared" si="105"/>
        <v>2141100</v>
      </c>
      <c r="AS213" s="178"/>
      <c r="AT213" s="178">
        <f t="shared" si="106"/>
        <v>10726055</v>
      </c>
      <c r="AU213" s="469">
        <f t="shared" si="107"/>
        <v>195</v>
      </c>
      <c r="AV213" s="195"/>
      <c r="AW213" s="485"/>
    </row>
    <row r="214" spans="1:51" s="189" customFormat="1" ht="32.25" customHeight="1" x14ac:dyDescent="0.25">
      <c r="A214" s="168">
        <f>_xlfn.AGGREGATE(4,7,A$13:A213)+1</f>
        <v>196</v>
      </c>
      <c r="B214" s="168" t="str">
        <f>VLOOKUP(D214,[1]LuongBC_T01!$B$9:$C$292,2,FALSE)</f>
        <v>0016100006749008</v>
      </c>
      <c r="C214" s="199" t="s">
        <v>977</v>
      </c>
      <c r="D214" s="169" t="s">
        <v>1223</v>
      </c>
      <c r="E214" s="263" t="s">
        <v>1260</v>
      </c>
      <c r="F214" s="169" t="s">
        <v>549</v>
      </c>
      <c r="G214" s="170"/>
      <c r="H214" s="170" t="s">
        <v>283</v>
      </c>
      <c r="I214" s="170" t="s">
        <v>284</v>
      </c>
      <c r="J214" s="169" t="s">
        <v>278</v>
      </c>
      <c r="K214" s="170" t="str">
        <f>VLOOKUP(D214,[2]T3!$B$2:$D$328,3,FALSE)</f>
        <v>024730162</v>
      </c>
      <c r="L214" s="171" t="s">
        <v>142</v>
      </c>
      <c r="M214" s="171" t="s">
        <v>977</v>
      </c>
      <c r="N214" s="263" t="str">
        <f>VLOOKUP(D214,'[6]Bao cao So GDDT'!$D$14:$S$282,11,FALSE)</f>
        <v>Giảng viên GDNN LT (hạng III)</v>
      </c>
      <c r="O214" s="390" t="s">
        <v>1438</v>
      </c>
      <c r="P214" s="222" t="s">
        <v>692</v>
      </c>
      <c r="Q214" s="172">
        <v>4</v>
      </c>
      <c r="R214" s="174">
        <v>4.32</v>
      </c>
      <c r="S214" s="176">
        <f t="shared" ref="S214:S235" si="109">U214+W214+Y214</f>
        <v>0.51839999999999997</v>
      </c>
      <c r="T214" s="370"/>
      <c r="U214" s="176">
        <f t="shared" si="95"/>
        <v>0</v>
      </c>
      <c r="V214" s="175">
        <f t="shared" ref="V214:V235" si="110">R214*T214*$D$8/100</f>
        <v>0</v>
      </c>
      <c r="W214" s="170"/>
      <c r="X214" s="179">
        <v>0.12</v>
      </c>
      <c r="Y214" s="216">
        <f t="shared" si="96"/>
        <v>0.51839999999999997</v>
      </c>
      <c r="Z214" s="216">
        <f t="shared" si="97"/>
        <v>4.8384</v>
      </c>
      <c r="AA214" s="180">
        <f t="shared" si="98"/>
        <v>11321856</v>
      </c>
      <c r="AB214" s="180"/>
      <c r="AC214" s="180">
        <f t="shared" si="99"/>
        <v>0</v>
      </c>
      <c r="AD214" s="180">
        <f t="shared" si="108"/>
        <v>0</v>
      </c>
      <c r="AE214" s="180">
        <f t="shared" si="100"/>
        <v>11321856</v>
      </c>
      <c r="AF214" s="178">
        <f t="shared" si="101"/>
        <v>905748.47999999998</v>
      </c>
      <c r="AG214" s="178">
        <f t="shared" si="102"/>
        <v>169827.84</v>
      </c>
      <c r="AH214" s="178">
        <f t="shared" si="103"/>
        <v>113218.56</v>
      </c>
      <c r="AI214" s="178"/>
      <c r="AJ214" s="178">
        <f t="shared" si="90"/>
        <v>1188794.8800000001</v>
      </c>
      <c r="AK214" s="192"/>
      <c r="AL214" s="535">
        <f t="shared" si="91"/>
        <v>0</v>
      </c>
      <c r="AM214" s="182"/>
      <c r="AN214" s="182"/>
      <c r="AO214" s="193">
        <f t="shared" si="92"/>
        <v>4.32</v>
      </c>
      <c r="AP214" s="246">
        <v>0.25</v>
      </c>
      <c r="AQ214" s="194">
        <f t="shared" si="104"/>
        <v>1.08</v>
      </c>
      <c r="AR214" s="178">
        <f t="shared" si="105"/>
        <v>2527200</v>
      </c>
      <c r="AS214" s="178"/>
      <c r="AT214" s="178">
        <f t="shared" si="106"/>
        <v>12660261</v>
      </c>
      <c r="AU214" s="469">
        <f t="shared" si="107"/>
        <v>196</v>
      </c>
      <c r="AV214" s="186"/>
      <c r="AW214" s="187" t="s">
        <v>711</v>
      </c>
    </row>
    <row r="215" spans="1:51" s="189" customFormat="1" ht="32.25" customHeight="1" x14ac:dyDescent="0.25">
      <c r="A215" s="168">
        <f>_xlfn.AGGREGATE(4,7,A$13:A214)+1</f>
        <v>197</v>
      </c>
      <c r="B215" s="168" t="str">
        <f>VLOOKUP(D215,[1]LuongBC_T01!$B$9:$C$292,2,FALSE)</f>
        <v>0016100006747005</v>
      </c>
      <c r="C215" s="199" t="s">
        <v>1010</v>
      </c>
      <c r="D215" s="230" t="s">
        <v>561</v>
      </c>
      <c r="E215" s="263" t="s">
        <v>1260</v>
      </c>
      <c r="F215" s="231"/>
      <c r="G215" s="231"/>
      <c r="H215" s="231"/>
      <c r="I215" s="231"/>
      <c r="J215" s="231"/>
      <c r="K215" s="170" t="str">
        <f>VLOOKUP(D215,[2]T3!$B$2:$D$328,3,FALSE)</f>
        <v>112163050</v>
      </c>
      <c r="L215" s="226">
        <v>1603205286594</v>
      </c>
      <c r="M215" s="226" t="s">
        <v>1010</v>
      </c>
      <c r="N215" s="263" t="str">
        <f>VLOOKUP(D215,'[6]Bao cao So GDDT'!$D$14:$S$282,11,FALSE)</f>
        <v>Giảng viên GDNN LT (hạng III)</v>
      </c>
      <c r="O215" s="393" t="s">
        <v>1438</v>
      </c>
      <c r="P215" s="170" t="s">
        <v>692</v>
      </c>
      <c r="Q215" s="170">
        <v>2</v>
      </c>
      <c r="R215" s="177">
        <v>3.66</v>
      </c>
      <c r="S215" s="176">
        <f t="shared" si="109"/>
        <v>0.40260000000000001</v>
      </c>
      <c r="T215" s="169"/>
      <c r="U215" s="176">
        <f t="shared" si="95"/>
        <v>0</v>
      </c>
      <c r="V215" s="175">
        <f t="shared" si="110"/>
        <v>0</v>
      </c>
      <c r="W215" s="170"/>
      <c r="X215" s="179">
        <v>0.11</v>
      </c>
      <c r="Y215" s="216">
        <f t="shared" si="96"/>
        <v>0.40260000000000001</v>
      </c>
      <c r="Z215" s="216">
        <f t="shared" si="97"/>
        <v>4.0625999999999998</v>
      </c>
      <c r="AA215" s="180">
        <f t="shared" si="98"/>
        <v>9506484</v>
      </c>
      <c r="AB215" s="180"/>
      <c r="AC215" s="180">
        <f t="shared" si="99"/>
        <v>0</v>
      </c>
      <c r="AD215" s="180">
        <f t="shared" si="108"/>
        <v>0</v>
      </c>
      <c r="AE215" s="180">
        <f t="shared" si="100"/>
        <v>9506484</v>
      </c>
      <c r="AF215" s="178">
        <f t="shared" si="101"/>
        <v>760518.72</v>
      </c>
      <c r="AG215" s="178">
        <f t="shared" si="102"/>
        <v>142597.25999999998</v>
      </c>
      <c r="AH215" s="178">
        <f t="shared" si="103"/>
        <v>95064.84</v>
      </c>
      <c r="AI215" s="178"/>
      <c r="AJ215" s="178">
        <f t="shared" si="90"/>
        <v>998180.82</v>
      </c>
      <c r="AK215" s="192"/>
      <c r="AL215" s="535">
        <f t="shared" si="91"/>
        <v>0</v>
      </c>
      <c r="AM215" s="182"/>
      <c r="AN215" s="182"/>
      <c r="AO215" s="183">
        <f t="shared" si="92"/>
        <v>3.66</v>
      </c>
      <c r="AP215" s="246">
        <v>0.25</v>
      </c>
      <c r="AQ215" s="194">
        <f t="shared" si="104"/>
        <v>0.91500000000000004</v>
      </c>
      <c r="AR215" s="178">
        <f t="shared" si="105"/>
        <v>2141100</v>
      </c>
      <c r="AS215" s="178"/>
      <c r="AT215" s="178">
        <f t="shared" si="106"/>
        <v>10649403</v>
      </c>
      <c r="AU215" s="469">
        <f t="shared" si="107"/>
        <v>197</v>
      </c>
      <c r="AV215" s="186"/>
      <c r="AW215" s="198" t="s">
        <v>711</v>
      </c>
    </row>
    <row r="216" spans="1:51" s="189" customFormat="1" ht="32.25" customHeight="1" x14ac:dyDescent="0.25">
      <c r="A216" s="168">
        <f>_xlfn.AGGREGATE(4,7,A$13:A215)+1</f>
        <v>198</v>
      </c>
      <c r="B216" s="168" t="str">
        <f>VLOOKUP(D216,[1]LuongBC_T01!$B$9:$C$292,2,FALSE)</f>
        <v>0016100006774002</v>
      </c>
      <c r="C216" s="199" t="s">
        <v>972</v>
      </c>
      <c r="D216" s="169" t="s">
        <v>314</v>
      </c>
      <c r="E216" s="263" t="s">
        <v>1260</v>
      </c>
      <c r="F216" s="169" t="s">
        <v>549</v>
      </c>
      <c r="G216" s="200"/>
      <c r="H216" s="200"/>
      <c r="I216" s="170" t="s">
        <v>283</v>
      </c>
      <c r="J216" s="169" t="s">
        <v>543</v>
      </c>
      <c r="K216" s="170" t="str">
        <f>VLOOKUP(D216,[2]T3!$B$2:$D$328,3,FALSE)</f>
        <v>023730236</v>
      </c>
      <c r="L216" s="171" t="s">
        <v>327</v>
      </c>
      <c r="M216" s="171" t="s">
        <v>972</v>
      </c>
      <c r="N216" s="263" t="str">
        <f>VLOOKUP(D216,'[6]Bao cao So GDDT'!$D$14:$S$282,11,FALSE)</f>
        <v>Giảng viên GDNN LT (hạng III)</v>
      </c>
      <c r="O216" s="390" t="s">
        <v>1438</v>
      </c>
      <c r="P216" s="172" t="s">
        <v>692</v>
      </c>
      <c r="Q216" s="173">
        <v>4</v>
      </c>
      <c r="R216" s="174">
        <v>4.32</v>
      </c>
      <c r="S216" s="176">
        <f t="shared" si="109"/>
        <v>0.69120000000000004</v>
      </c>
      <c r="T216" s="370"/>
      <c r="U216" s="176">
        <f t="shared" si="95"/>
        <v>0</v>
      </c>
      <c r="V216" s="175">
        <f t="shared" si="110"/>
        <v>0</v>
      </c>
      <c r="W216" s="170"/>
      <c r="X216" s="179">
        <v>0.16</v>
      </c>
      <c r="Y216" s="216">
        <f t="shared" si="96"/>
        <v>0.69120000000000004</v>
      </c>
      <c r="Z216" s="216">
        <f t="shared" si="97"/>
        <v>5.0112000000000005</v>
      </c>
      <c r="AA216" s="180">
        <f t="shared" si="98"/>
        <v>11726208</v>
      </c>
      <c r="AB216" s="180"/>
      <c r="AC216" s="180">
        <f t="shared" si="99"/>
        <v>0</v>
      </c>
      <c r="AD216" s="180">
        <f t="shared" si="108"/>
        <v>0</v>
      </c>
      <c r="AE216" s="180">
        <f t="shared" si="100"/>
        <v>11726208</v>
      </c>
      <c r="AF216" s="178">
        <f t="shared" si="101"/>
        <v>938096.64000000001</v>
      </c>
      <c r="AG216" s="178">
        <f t="shared" si="102"/>
        <v>175893.12</v>
      </c>
      <c r="AH216" s="178">
        <f t="shared" si="103"/>
        <v>117262.08</v>
      </c>
      <c r="AI216" s="178"/>
      <c r="AJ216" s="178">
        <f t="shared" si="90"/>
        <v>1231251.8400000001</v>
      </c>
      <c r="AK216" s="192"/>
      <c r="AL216" s="535">
        <f t="shared" si="91"/>
        <v>0</v>
      </c>
      <c r="AM216" s="182"/>
      <c r="AN216" s="182"/>
      <c r="AO216" s="193">
        <f t="shared" si="92"/>
        <v>4.32</v>
      </c>
      <c r="AP216" s="246">
        <v>0.25</v>
      </c>
      <c r="AQ216" s="194">
        <f t="shared" si="104"/>
        <v>1.08</v>
      </c>
      <c r="AR216" s="178">
        <f t="shared" si="105"/>
        <v>2527200</v>
      </c>
      <c r="AS216" s="178"/>
      <c r="AT216" s="178">
        <f t="shared" si="106"/>
        <v>13022156</v>
      </c>
      <c r="AU216" s="469">
        <f t="shared" si="107"/>
        <v>198</v>
      </c>
      <c r="AV216" s="195"/>
      <c r="AW216" s="198" t="s">
        <v>707</v>
      </c>
    </row>
    <row r="217" spans="1:51" s="189" customFormat="1" ht="32.25" customHeight="1" x14ac:dyDescent="0.25">
      <c r="A217" s="168">
        <f>_xlfn.AGGREGATE(4,7,A$13:A216)+1</f>
        <v>199</v>
      </c>
      <c r="B217" s="168" t="str">
        <f>VLOOKUP(D217,[1]LuongBC_T01!$B$9:$C$292,2,FALSE)</f>
        <v>0016100006762004</v>
      </c>
      <c r="C217" s="199" t="s">
        <v>944</v>
      </c>
      <c r="D217" s="169" t="s">
        <v>822</v>
      </c>
      <c r="E217" s="263" t="s">
        <v>1260</v>
      </c>
      <c r="F217" s="169"/>
      <c r="G217" s="170"/>
      <c r="H217" s="170"/>
      <c r="I217" s="170"/>
      <c r="J217" s="169"/>
      <c r="K217" s="170" t="str">
        <f>VLOOKUP(D217,[2]T3!$B$2:$D$328,3,FALSE)</f>
        <v>024999755</v>
      </c>
      <c r="L217" s="249"/>
      <c r="M217" s="249" t="s">
        <v>944</v>
      </c>
      <c r="N217" s="263" t="str">
        <f>VLOOKUP(D217,'[6]Bao cao So GDDT'!$D$14:$S$282,11,FALSE)</f>
        <v>Giảng viên GDNN LT (hạng III)</v>
      </c>
      <c r="O217" s="390" t="s">
        <v>1438</v>
      </c>
      <c r="P217" s="222" t="s">
        <v>692</v>
      </c>
      <c r="Q217" s="172">
        <v>3</v>
      </c>
      <c r="R217" s="174">
        <v>3.99</v>
      </c>
      <c r="S217" s="176">
        <f t="shared" si="109"/>
        <v>0.59850000000000003</v>
      </c>
      <c r="T217" s="370"/>
      <c r="U217" s="176">
        <f t="shared" si="95"/>
        <v>0</v>
      </c>
      <c r="V217" s="175">
        <f t="shared" si="110"/>
        <v>0</v>
      </c>
      <c r="W217" s="170"/>
      <c r="X217" s="179">
        <v>0.15</v>
      </c>
      <c r="Y217" s="216">
        <f t="shared" si="96"/>
        <v>0.59850000000000003</v>
      </c>
      <c r="Z217" s="216">
        <f t="shared" si="97"/>
        <v>4.5884999999999998</v>
      </c>
      <c r="AA217" s="180">
        <f t="shared" si="98"/>
        <v>10737090</v>
      </c>
      <c r="AB217" s="180"/>
      <c r="AC217" s="180">
        <f t="shared" si="99"/>
        <v>0</v>
      </c>
      <c r="AD217" s="180">
        <f t="shared" si="108"/>
        <v>0</v>
      </c>
      <c r="AE217" s="180">
        <f t="shared" si="100"/>
        <v>10737090</v>
      </c>
      <c r="AF217" s="178">
        <f t="shared" si="101"/>
        <v>858967.20000000007</v>
      </c>
      <c r="AG217" s="178">
        <f t="shared" si="102"/>
        <v>161056.35</v>
      </c>
      <c r="AH217" s="178">
        <f t="shared" si="103"/>
        <v>107370.90000000001</v>
      </c>
      <c r="AI217" s="178"/>
      <c r="AJ217" s="178">
        <f t="shared" si="90"/>
        <v>1127394.45</v>
      </c>
      <c r="AK217" s="192"/>
      <c r="AL217" s="535">
        <f t="shared" si="91"/>
        <v>0</v>
      </c>
      <c r="AM217" s="182"/>
      <c r="AN217" s="182"/>
      <c r="AO217" s="193">
        <f t="shared" si="92"/>
        <v>3.99</v>
      </c>
      <c r="AP217" s="246">
        <v>0.25</v>
      </c>
      <c r="AQ217" s="194">
        <f t="shared" si="104"/>
        <v>0.99750000000000005</v>
      </c>
      <c r="AR217" s="178">
        <f t="shared" si="105"/>
        <v>2334150</v>
      </c>
      <c r="AS217" s="178"/>
      <c r="AT217" s="178">
        <f t="shared" si="106"/>
        <v>11943846</v>
      </c>
      <c r="AU217" s="469">
        <f t="shared" si="107"/>
        <v>199</v>
      </c>
      <c r="AV217" s="244"/>
      <c r="AW217" s="242"/>
    </row>
    <row r="218" spans="1:51" s="189" customFormat="1" ht="32.25" customHeight="1" x14ac:dyDescent="0.25">
      <c r="A218" s="168">
        <f>_xlfn.AGGREGATE(4,7,A$13:A217)+1</f>
        <v>200</v>
      </c>
      <c r="B218" s="168" t="str">
        <f>VLOOKUP(D218,[1]LuongBC_T01!$B$9:$C$292,2,FALSE)</f>
        <v>0016100006500007</v>
      </c>
      <c r="C218" s="199" t="s">
        <v>909</v>
      </c>
      <c r="D218" s="169" t="s">
        <v>61</v>
      </c>
      <c r="E218" s="263" t="s">
        <v>1260</v>
      </c>
      <c r="F218" s="169" t="s">
        <v>549</v>
      </c>
      <c r="G218" s="200"/>
      <c r="H218" s="200"/>
      <c r="I218" s="170" t="s">
        <v>283</v>
      </c>
      <c r="J218" s="169" t="s">
        <v>243</v>
      </c>
      <c r="K218" s="170" t="str">
        <f>VLOOKUP(D218,[2]T3!$B$2:$D$328,3,FALSE)</f>
        <v>025408856</v>
      </c>
      <c r="L218" s="171" t="s">
        <v>140</v>
      </c>
      <c r="M218" s="171" t="s">
        <v>909</v>
      </c>
      <c r="N218" s="263" t="str">
        <f>VLOOKUP(D218,'[6]Bao cao So GDDT'!$D$14:$S$282,11,FALSE)</f>
        <v>Giảng viên GDNN LT (hạng III)</v>
      </c>
      <c r="O218" s="390" t="s">
        <v>1438</v>
      </c>
      <c r="P218" s="172" t="s">
        <v>692</v>
      </c>
      <c r="Q218" s="173">
        <v>4</v>
      </c>
      <c r="R218" s="174">
        <v>4.32</v>
      </c>
      <c r="S218" s="176">
        <f t="shared" si="109"/>
        <v>0.69120000000000004</v>
      </c>
      <c r="T218" s="370"/>
      <c r="U218" s="176">
        <f t="shared" si="95"/>
        <v>0</v>
      </c>
      <c r="V218" s="175">
        <f t="shared" si="110"/>
        <v>0</v>
      </c>
      <c r="W218" s="170"/>
      <c r="X218" s="179">
        <v>0.16</v>
      </c>
      <c r="Y218" s="216">
        <f t="shared" si="96"/>
        <v>0.69120000000000004</v>
      </c>
      <c r="Z218" s="216">
        <f t="shared" si="97"/>
        <v>5.0112000000000005</v>
      </c>
      <c r="AA218" s="180">
        <f t="shared" si="98"/>
        <v>11726208</v>
      </c>
      <c r="AB218" s="180"/>
      <c r="AC218" s="180">
        <f t="shared" si="99"/>
        <v>0</v>
      </c>
      <c r="AD218" s="180">
        <f t="shared" si="108"/>
        <v>0</v>
      </c>
      <c r="AE218" s="180">
        <f t="shared" si="100"/>
        <v>11726208</v>
      </c>
      <c r="AF218" s="178">
        <f t="shared" si="101"/>
        <v>938096.64000000001</v>
      </c>
      <c r="AG218" s="178">
        <f t="shared" si="102"/>
        <v>175893.12</v>
      </c>
      <c r="AH218" s="178">
        <f t="shared" si="103"/>
        <v>117262.08</v>
      </c>
      <c r="AI218" s="178"/>
      <c r="AJ218" s="178">
        <f t="shared" si="90"/>
        <v>1231251.8400000001</v>
      </c>
      <c r="AK218" s="192"/>
      <c r="AL218" s="535">
        <f t="shared" si="91"/>
        <v>0</v>
      </c>
      <c r="AM218" s="182"/>
      <c r="AN218" s="182"/>
      <c r="AO218" s="193">
        <f t="shared" si="92"/>
        <v>4.32</v>
      </c>
      <c r="AP218" s="246">
        <v>0.25</v>
      </c>
      <c r="AQ218" s="194">
        <f t="shared" si="104"/>
        <v>1.08</v>
      </c>
      <c r="AR218" s="178">
        <f t="shared" si="105"/>
        <v>2527200</v>
      </c>
      <c r="AS218" s="178"/>
      <c r="AT218" s="178">
        <f t="shared" si="106"/>
        <v>13022156</v>
      </c>
      <c r="AU218" s="469">
        <f t="shared" si="107"/>
        <v>200</v>
      </c>
      <c r="AV218" s="195"/>
      <c r="AW218" s="198" t="s">
        <v>715</v>
      </c>
    </row>
    <row r="219" spans="1:51" s="189" customFormat="1" ht="32.25" customHeight="1" x14ac:dyDescent="0.25">
      <c r="A219" s="168">
        <f>_xlfn.AGGREGATE(4,7,A$13:A218)+1</f>
        <v>201</v>
      </c>
      <c r="B219" s="168" t="str">
        <f>VLOOKUP(D219,[1]LuongBC_T01!$B$9:$C$292,2,FALSE)</f>
        <v>0008100002629007</v>
      </c>
      <c r="C219" s="199" t="s">
        <v>1000</v>
      </c>
      <c r="D219" s="230" t="s">
        <v>557</v>
      </c>
      <c r="E219" s="263" t="s">
        <v>1260</v>
      </c>
      <c r="F219" s="231"/>
      <c r="G219" s="231"/>
      <c r="H219" s="200" t="s">
        <v>283</v>
      </c>
      <c r="I219" s="200" t="s">
        <v>283</v>
      </c>
      <c r="J219" s="231"/>
      <c r="K219" s="170" t="str">
        <f>VLOOKUP(D219,[2]T3!$B$2:$D$328,3,FALSE)</f>
        <v>025624118</v>
      </c>
      <c r="L219" s="231"/>
      <c r="M219" s="231" t="s">
        <v>1000</v>
      </c>
      <c r="N219" s="263" t="str">
        <f>VLOOKUP(D219,'[6]Bao cao So GDDT'!$D$14:$S$282,11,FALSE)</f>
        <v>Giảng viên GDNN LT (hạng III)</v>
      </c>
      <c r="O219" s="390" t="s">
        <v>1438</v>
      </c>
      <c r="P219" s="170" t="s">
        <v>692</v>
      </c>
      <c r="Q219" s="170">
        <v>3</v>
      </c>
      <c r="R219" s="177">
        <v>3.99</v>
      </c>
      <c r="S219" s="176">
        <f t="shared" si="109"/>
        <v>0.43890000000000001</v>
      </c>
      <c r="T219" s="169"/>
      <c r="U219" s="176">
        <f t="shared" si="95"/>
        <v>0</v>
      </c>
      <c r="V219" s="175">
        <f t="shared" si="110"/>
        <v>0</v>
      </c>
      <c r="W219" s="170"/>
      <c r="X219" s="179">
        <v>0.11</v>
      </c>
      <c r="Y219" s="216">
        <f t="shared" si="96"/>
        <v>0.43890000000000001</v>
      </c>
      <c r="Z219" s="216">
        <f t="shared" si="97"/>
        <v>4.4289000000000005</v>
      </c>
      <c r="AA219" s="180">
        <f t="shared" si="98"/>
        <v>10363626</v>
      </c>
      <c r="AB219" s="180"/>
      <c r="AC219" s="180">
        <f t="shared" si="99"/>
        <v>0</v>
      </c>
      <c r="AD219" s="180">
        <f t="shared" si="108"/>
        <v>0</v>
      </c>
      <c r="AE219" s="180">
        <f t="shared" si="100"/>
        <v>10363626</v>
      </c>
      <c r="AF219" s="178">
        <f t="shared" si="101"/>
        <v>829090.08000000007</v>
      </c>
      <c r="AG219" s="178">
        <f t="shared" si="102"/>
        <v>155454.38999999998</v>
      </c>
      <c r="AH219" s="178">
        <f t="shared" si="103"/>
        <v>103636.26000000001</v>
      </c>
      <c r="AI219" s="178"/>
      <c r="AJ219" s="178">
        <f t="shared" si="90"/>
        <v>1088180.73</v>
      </c>
      <c r="AK219" s="192"/>
      <c r="AL219" s="535">
        <f t="shared" si="91"/>
        <v>0</v>
      </c>
      <c r="AM219" s="182"/>
      <c r="AN219" s="182"/>
      <c r="AO219" s="183">
        <f t="shared" si="92"/>
        <v>3.99</v>
      </c>
      <c r="AP219" s="246">
        <v>0.25</v>
      </c>
      <c r="AQ219" s="194">
        <f t="shared" si="104"/>
        <v>0.99750000000000005</v>
      </c>
      <c r="AR219" s="178">
        <f t="shared" si="105"/>
        <v>2334150</v>
      </c>
      <c r="AS219" s="178"/>
      <c r="AT219" s="178">
        <f t="shared" si="106"/>
        <v>11609595</v>
      </c>
      <c r="AU219" s="469">
        <f t="shared" si="107"/>
        <v>201</v>
      </c>
      <c r="AV219" s="195"/>
      <c r="AW219" s="198" t="s">
        <v>711</v>
      </c>
    </row>
    <row r="220" spans="1:51" s="189" customFormat="1" ht="35.25" customHeight="1" x14ac:dyDescent="0.25">
      <c r="A220" s="168">
        <f>_xlfn.AGGREGATE(4,7,A$13:A219)+1</f>
        <v>202</v>
      </c>
      <c r="B220" s="565"/>
      <c r="C220" s="565"/>
      <c r="D220" s="902" t="s">
        <v>1614</v>
      </c>
      <c r="E220" s="263" t="s">
        <v>1260</v>
      </c>
      <c r="F220" s="564"/>
      <c r="G220" s="564"/>
      <c r="H220" s="564"/>
      <c r="I220" s="564"/>
      <c r="J220" s="564"/>
      <c r="K220" s="565"/>
      <c r="L220" s="721"/>
      <c r="M220" s="545"/>
      <c r="N220" s="563"/>
      <c r="O220" s="263" t="s">
        <v>1438</v>
      </c>
      <c r="P220" s="545"/>
      <c r="Q220" s="545"/>
      <c r="R220" s="545">
        <v>2.67</v>
      </c>
      <c r="S220" s="546"/>
      <c r="T220" s="564"/>
      <c r="U220" s="176">
        <f t="shared" si="95"/>
        <v>0</v>
      </c>
      <c r="V220" s="547"/>
      <c r="W220" s="545"/>
      <c r="X220" s="179">
        <v>0</v>
      </c>
      <c r="Y220" s="216">
        <f>ROUND((R220+U220+W220)*X220,4)</f>
        <v>0</v>
      </c>
      <c r="Z220" s="216">
        <f>R220+U220+W220+Y220</f>
        <v>2.67</v>
      </c>
      <c r="AA220" s="180">
        <f>ROUND(Z220*$D$8,0)</f>
        <v>6247800</v>
      </c>
      <c r="AB220" s="549"/>
      <c r="AC220" s="180">
        <f>AA220/24*AB220</f>
        <v>0</v>
      </c>
      <c r="AD220" s="180">
        <v>0</v>
      </c>
      <c r="AE220" s="180">
        <f>ROUND(AA220-AC220+AD220,0)</f>
        <v>6247800</v>
      </c>
      <c r="AF220" s="178">
        <f>AA220*8%</f>
        <v>499824</v>
      </c>
      <c r="AG220" s="178">
        <f>AA220*1.5%</f>
        <v>93717</v>
      </c>
      <c r="AH220" s="178">
        <f>AA220*1%</f>
        <v>62478</v>
      </c>
      <c r="AI220" s="550"/>
      <c r="AJ220" s="178">
        <f>SUM(AF220:AI220)</f>
        <v>656019</v>
      </c>
      <c r="AK220" s="567"/>
      <c r="AL220" s="535">
        <f>AK220*$D$8</f>
        <v>0</v>
      </c>
      <c r="AM220" s="568"/>
      <c r="AN220" s="568"/>
      <c r="AO220" s="183">
        <f>R220+U220+W220</f>
        <v>2.67</v>
      </c>
      <c r="AP220" s="246">
        <v>0.25</v>
      </c>
      <c r="AQ220" s="185">
        <f>ROUND(AO220*AP220,4)</f>
        <v>0.66749999999999998</v>
      </c>
      <c r="AR220" s="178">
        <f>ROUND(AQ220*$D$8,0)</f>
        <v>1561950</v>
      </c>
      <c r="AS220" s="550"/>
      <c r="AT220" s="178">
        <f>ROUND(AE220-AJ220+AL220+AN220+AR220,0)</f>
        <v>7153731</v>
      </c>
      <c r="AU220" s="469">
        <f>A220</f>
        <v>202</v>
      </c>
      <c r="AV220" s="195"/>
      <c r="AW220" s="198" t="s">
        <v>711</v>
      </c>
    </row>
    <row r="221" spans="1:51" s="189" customFormat="1" ht="42.75" customHeight="1" x14ac:dyDescent="0.25">
      <c r="A221" s="671">
        <f>_xlfn.AGGREGATE(4,7,A$13:A220)+1</f>
        <v>203</v>
      </c>
      <c r="B221" s="963"/>
      <c r="C221" s="963"/>
      <c r="D221" s="999" t="s">
        <v>1619</v>
      </c>
      <c r="E221" s="672" t="s">
        <v>1260</v>
      </c>
      <c r="F221" s="962"/>
      <c r="G221" s="962"/>
      <c r="H221" s="962"/>
      <c r="I221" s="962"/>
      <c r="J221" s="962"/>
      <c r="K221" s="963"/>
      <c r="L221" s="964"/>
      <c r="M221" s="965"/>
      <c r="N221" s="961"/>
      <c r="O221" s="672" t="s">
        <v>1438</v>
      </c>
      <c r="P221" s="965"/>
      <c r="Q221" s="965"/>
      <c r="R221" s="965">
        <v>2.34</v>
      </c>
      <c r="S221" s="966"/>
      <c r="T221" s="962"/>
      <c r="U221" s="966"/>
      <c r="V221" s="967"/>
      <c r="W221" s="965"/>
      <c r="X221" s="674">
        <v>0</v>
      </c>
      <c r="Y221" s="675">
        <f>ROUND((R221+U221+W221)*X221,4)</f>
        <v>0</v>
      </c>
      <c r="Z221" s="675">
        <f>R221+U221+W221+Y221</f>
        <v>2.34</v>
      </c>
      <c r="AA221" s="676">
        <f>ROUND(Z221*$D$8,0)</f>
        <v>5475600</v>
      </c>
      <c r="AB221" s="968"/>
      <c r="AC221" s="676">
        <f>AA221/24*AB221</f>
        <v>0</v>
      </c>
      <c r="AD221" s="676">
        <v>0</v>
      </c>
      <c r="AE221" s="676">
        <f>ROUND(AA221-AC221+AD221,0)</f>
        <v>5475600</v>
      </c>
      <c r="AF221" s="375">
        <f>AA221*8%</f>
        <v>438048</v>
      </c>
      <c r="AG221" s="375">
        <f>AA221*1.5%</f>
        <v>82134</v>
      </c>
      <c r="AH221" s="375">
        <f>AA221*1%</f>
        <v>54756</v>
      </c>
      <c r="AI221" s="969"/>
      <c r="AJ221" s="375">
        <f>SUM(AF221:AI221)</f>
        <v>574938</v>
      </c>
      <c r="AK221" s="970"/>
      <c r="AL221" s="971"/>
      <c r="AM221" s="971"/>
      <c r="AN221" s="971"/>
      <c r="AO221" s="679">
        <f>R221+U221+W221</f>
        <v>2.34</v>
      </c>
      <c r="AP221" s="714">
        <v>0.25</v>
      </c>
      <c r="AQ221" s="709">
        <f>ROUND(AO221*AP221,4)</f>
        <v>0.58499999999999996</v>
      </c>
      <c r="AR221" s="375">
        <f>ROUND(AQ221*$D$8,0)</f>
        <v>1368900</v>
      </c>
      <c r="AS221" s="969"/>
      <c r="AT221" s="375">
        <f>ROUND(AE221-AJ221+AL221+AN221+AR221,0)</f>
        <v>6269562</v>
      </c>
      <c r="AU221" s="680">
        <f>A221</f>
        <v>203</v>
      </c>
      <c r="AV221" s="712" t="s">
        <v>1664</v>
      </c>
      <c r="AW221" s="658" t="s">
        <v>711</v>
      </c>
    </row>
    <row r="222" spans="1:51" s="191" customFormat="1" ht="30.75" customHeight="1" x14ac:dyDescent="0.25">
      <c r="A222" s="168">
        <f>_xlfn.AGGREGATE(4,7,A$13:A221)+1</f>
        <v>204</v>
      </c>
      <c r="B222" s="168" t="str">
        <f>VLOOKUP(D222,[1]LuongBC_T01!$B$9:$C$292,2,FALSE)</f>
        <v>0016100006787007</v>
      </c>
      <c r="C222" s="199" t="s">
        <v>908</v>
      </c>
      <c r="D222" s="169" t="s">
        <v>1199</v>
      </c>
      <c r="E222" s="263" t="s">
        <v>1389</v>
      </c>
      <c r="F222" s="169" t="s">
        <v>549</v>
      </c>
      <c r="G222" s="170"/>
      <c r="H222" s="170" t="s">
        <v>283</v>
      </c>
      <c r="I222" s="170" t="s">
        <v>283</v>
      </c>
      <c r="J222" s="169" t="s">
        <v>252</v>
      </c>
      <c r="K222" s="170" t="str">
        <f>VLOOKUP(D222,[2]T3!$B$2:$D$328,3,FALSE)</f>
        <v>023353491</v>
      </c>
      <c r="L222" s="171" t="s">
        <v>118</v>
      </c>
      <c r="M222" s="171" t="s">
        <v>908</v>
      </c>
      <c r="N222" s="263" t="str">
        <f>VLOOKUP(D222,'[6]Bao cao So GDDT'!$D$14:$S$282,11,FALSE)</f>
        <v>Giảng viên GDNN LT (hạng III)</v>
      </c>
      <c r="O222" s="390" t="s">
        <v>1438</v>
      </c>
      <c r="P222" s="172" t="s">
        <v>692</v>
      </c>
      <c r="Q222" s="173">
        <v>5</v>
      </c>
      <c r="R222" s="174">
        <v>4.6500000000000004</v>
      </c>
      <c r="S222" s="176">
        <f t="shared" si="109"/>
        <v>1.419</v>
      </c>
      <c r="T222" s="370"/>
      <c r="U222" s="176">
        <f t="shared" si="95"/>
        <v>0</v>
      </c>
      <c r="V222" s="175">
        <f t="shared" si="110"/>
        <v>0</v>
      </c>
      <c r="W222" s="170">
        <v>0.45</v>
      </c>
      <c r="X222" s="179">
        <v>0.19</v>
      </c>
      <c r="Y222" s="216">
        <f t="shared" si="96"/>
        <v>0.96899999999999997</v>
      </c>
      <c r="Z222" s="216">
        <f t="shared" si="97"/>
        <v>6.0690000000000008</v>
      </c>
      <c r="AA222" s="180">
        <f t="shared" si="98"/>
        <v>14201460</v>
      </c>
      <c r="AB222" s="180"/>
      <c r="AC222" s="180">
        <f t="shared" si="99"/>
        <v>0</v>
      </c>
      <c r="AD222" s="180">
        <f t="shared" si="108"/>
        <v>0</v>
      </c>
      <c r="AE222" s="180">
        <f t="shared" si="100"/>
        <v>14201460</v>
      </c>
      <c r="AF222" s="178">
        <f t="shared" si="101"/>
        <v>1136116.8</v>
      </c>
      <c r="AG222" s="178">
        <f t="shared" si="102"/>
        <v>213021.9</v>
      </c>
      <c r="AH222" s="178">
        <f t="shared" si="103"/>
        <v>142014.6</v>
      </c>
      <c r="AI222" s="178"/>
      <c r="AJ222" s="178">
        <f t="shared" si="90"/>
        <v>1491153.3</v>
      </c>
      <c r="AK222" s="670"/>
      <c r="AL222" s="535">
        <f t="shared" ref="AL222" si="111">AK222*$D$8</f>
        <v>0</v>
      </c>
      <c r="AM222" s="182"/>
      <c r="AN222" s="182"/>
      <c r="AO222" s="193">
        <f t="shared" si="92"/>
        <v>5.1000000000000005</v>
      </c>
      <c r="AP222" s="246">
        <v>0.25</v>
      </c>
      <c r="AQ222" s="194">
        <f t="shared" si="104"/>
        <v>1.2749999999999999</v>
      </c>
      <c r="AR222" s="178">
        <f t="shared" si="105"/>
        <v>2983500</v>
      </c>
      <c r="AS222" s="178"/>
      <c r="AT222" s="178">
        <f t="shared" si="106"/>
        <v>15693807</v>
      </c>
      <c r="AU222" s="469">
        <f t="shared" si="107"/>
        <v>204</v>
      </c>
      <c r="AV222" s="195"/>
      <c r="AW222" s="187" t="s">
        <v>709</v>
      </c>
    </row>
    <row r="223" spans="1:51" s="189" customFormat="1" ht="30.75" customHeight="1" x14ac:dyDescent="0.25">
      <c r="A223" s="168">
        <f>_xlfn.AGGREGATE(4,7,A$13:A222)+1</f>
        <v>205</v>
      </c>
      <c r="B223" s="168" t="str">
        <f>VLOOKUP(D223,[1]LuongBC_T01!$B$9:$C$292,2,FALSE)</f>
        <v>0016100006761008</v>
      </c>
      <c r="C223" s="199" t="s">
        <v>914</v>
      </c>
      <c r="D223" s="169" t="s">
        <v>307</v>
      </c>
      <c r="E223" s="263" t="s">
        <v>1388</v>
      </c>
      <c r="F223" s="169" t="s">
        <v>549</v>
      </c>
      <c r="G223" s="200"/>
      <c r="H223" s="200" t="s">
        <v>283</v>
      </c>
      <c r="I223" s="170" t="s">
        <v>283</v>
      </c>
      <c r="J223" s="169" t="s">
        <v>536</v>
      </c>
      <c r="K223" s="168" t="s">
        <v>1359</v>
      </c>
      <c r="L223" s="201" t="s">
        <v>686</v>
      </c>
      <c r="M223" s="201" t="s">
        <v>914</v>
      </c>
      <c r="N223" s="263" t="str">
        <f>VLOOKUP(D223,'[6]Bao cao So GDDT'!$D$14:$S$282,11,FALSE)</f>
        <v>Giảng viên GDNN LT (hạng III)</v>
      </c>
      <c r="O223" s="390" t="s">
        <v>1438</v>
      </c>
      <c r="P223" s="172" t="s">
        <v>692</v>
      </c>
      <c r="Q223" s="173">
        <v>3</v>
      </c>
      <c r="R223" s="174">
        <v>3.99</v>
      </c>
      <c r="S223" s="176">
        <f t="shared" si="109"/>
        <v>1.0009999999999999</v>
      </c>
      <c r="T223" s="370"/>
      <c r="U223" s="176">
        <f t="shared" si="95"/>
        <v>0</v>
      </c>
      <c r="V223" s="175">
        <f t="shared" si="110"/>
        <v>0</v>
      </c>
      <c r="W223" s="170">
        <v>0.35</v>
      </c>
      <c r="X223" s="179">
        <v>0.15</v>
      </c>
      <c r="Y223" s="216">
        <f t="shared" si="96"/>
        <v>0.65100000000000002</v>
      </c>
      <c r="Z223" s="216">
        <f t="shared" si="97"/>
        <v>4.9909999999999997</v>
      </c>
      <c r="AA223" s="180">
        <f t="shared" si="98"/>
        <v>11678940</v>
      </c>
      <c r="AB223" s="180"/>
      <c r="AC223" s="180">
        <f t="shared" si="99"/>
        <v>0</v>
      </c>
      <c r="AD223" s="180">
        <f t="shared" si="108"/>
        <v>0</v>
      </c>
      <c r="AE223" s="180">
        <f t="shared" si="100"/>
        <v>11678940</v>
      </c>
      <c r="AF223" s="178">
        <f t="shared" si="101"/>
        <v>934315.20000000007</v>
      </c>
      <c r="AG223" s="178">
        <f t="shared" si="102"/>
        <v>175184.1</v>
      </c>
      <c r="AH223" s="178">
        <f t="shared" si="103"/>
        <v>116789.40000000001</v>
      </c>
      <c r="AI223" s="178"/>
      <c r="AJ223" s="178">
        <f t="shared" si="90"/>
        <v>1226288.7</v>
      </c>
      <c r="AK223" s="192"/>
      <c r="AL223" s="535">
        <f>AK223*$D$8</f>
        <v>0</v>
      </c>
      <c r="AM223" s="182"/>
      <c r="AN223" s="182"/>
      <c r="AO223" s="193">
        <f t="shared" si="92"/>
        <v>4.34</v>
      </c>
      <c r="AP223" s="246">
        <v>0.25</v>
      </c>
      <c r="AQ223" s="194">
        <f t="shared" si="104"/>
        <v>1.085</v>
      </c>
      <c r="AR223" s="178">
        <f t="shared" si="105"/>
        <v>2538900</v>
      </c>
      <c r="AS223" s="178"/>
      <c r="AT223" s="178">
        <f t="shared" si="106"/>
        <v>12991551</v>
      </c>
      <c r="AU223" s="469">
        <f t="shared" si="107"/>
        <v>205</v>
      </c>
      <c r="AV223" s="195"/>
      <c r="AW223" s="198" t="s">
        <v>709</v>
      </c>
      <c r="AY223" s="669"/>
    </row>
    <row r="224" spans="1:51" s="191" customFormat="1" ht="30.75" customHeight="1" x14ac:dyDescent="0.25">
      <c r="A224" s="168">
        <f>_xlfn.AGGREGATE(4,7,A$13:A223)+1</f>
        <v>206</v>
      </c>
      <c r="B224" s="168" t="str">
        <f>VLOOKUP(D224,[1]LuongBC_T01!$B$9:$C$292,2,FALSE)</f>
        <v>0016100006779004</v>
      </c>
      <c r="C224" s="199" t="s">
        <v>919</v>
      </c>
      <c r="D224" s="169" t="s">
        <v>1204</v>
      </c>
      <c r="E224" s="263" t="s">
        <v>1551</v>
      </c>
      <c r="F224" s="169" t="s">
        <v>549</v>
      </c>
      <c r="G224" s="170"/>
      <c r="H224" s="170"/>
      <c r="I224" s="170" t="s">
        <v>283</v>
      </c>
      <c r="J224" s="169" t="s">
        <v>254</v>
      </c>
      <c r="K224" s="170" t="str">
        <f>VLOOKUP(D224,[2]T3!$B$2:$D$328,3,FALSE)</f>
        <v>023172992</v>
      </c>
      <c r="L224" s="171" t="s">
        <v>120</v>
      </c>
      <c r="M224" s="171" t="s">
        <v>919</v>
      </c>
      <c r="N224" s="263" t="str">
        <f>VLOOKUP(D224,'[6]Bao cao So GDDT'!$D$14:$S$282,11,FALSE)</f>
        <v>Giảng viên GDNN LT (hạng III)</v>
      </c>
      <c r="O224" s="390" t="s">
        <v>1438</v>
      </c>
      <c r="P224" s="172" t="s">
        <v>692</v>
      </c>
      <c r="Q224" s="173">
        <v>5</v>
      </c>
      <c r="R224" s="174">
        <v>4.6500000000000004</v>
      </c>
      <c r="S224" s="176">
        <f t="shared" si="109"/>
        <v>1.181</v>
      </c>
      <c r="T224" s="370"/>
      <c r="U224" s="176">
        <f t="shared" si="95"/>
        <v>0</v>
      </c>
      <c r="V224" s="175">
        <f t="shared" si="110"/>
        <v>0</v>
      </c>
      <c r="W224" s="170">
        <v>0.25</v>
      </c>
      <c r="X224" s="179">
        <v>0.19</v>
      </c>
      <c r="Y224" s="216">
        <f t="shared" si="96"/>
        <v>0.93100000000000005</v>
      </c>
      <c r="Z224" s="216">
        <f t="shared" si="97"/>
        <v>5.8310000000000004</v>
      </c>
      <c r="AA224" s="180">
        <f t="shared" si="98"/>
        <v>13644540</v>
      </c>
      <c r="AB224" s="180"/>
      <c r="AC224" s="180">
        <f t="shared" si="99"/>
        <v>0</v>
      </c>
      <c r="AD224" s="180">
        <f t="shared" si="108"/>
        <v>0</v>
      </c>
      <c r="AE224" s="180">
        <f t="shared" si="100"/>
        <v>13644540</v>
      </c>
      <c r="AF224" s="178">
        <f t="shared" si="101"/>
        <v>1091563.2</v>
      </c>
      <c r="AG224" s="178">
        <f t="shared" si="102"/>
        <v>204668.1</v>
      </c>
      <c r="AH224" s="178">
        <f t="shared" si="103"/>
        <v>136445.4</v>
      </c>
      <c r="AI224" s="178"/>
      <c r="AJ224" s="178">
        <f t="shared" si="90"/>
        <v>1432676.7</v>
      </c>
      <c r="AK224" s="181"/>
      <c r="AL224" s="535">
        <f t="shared" ref="AL224:AL282" si="112">AK224*$D$8</f>
        <v>0</v>
      </c>
      <c r="AM224" s="182"/>
      <c r="AN224" s="182"/>
      <c r="AO224" s="193">
        <f t="shared" si="92"/>
        <v>4.9000000000000004</v>
      </c>
      <c r="AP224" s="246">
        <v>0.25</v>
      </c>
      <c r="AQ224" s="194">
        <f t="shared" si="104"/>
        <v>1.2250000000000001</v>
      </c>
      <c r="AR224" s="178">
        <f t="shared" si="105"/>
        <v>2866500</v>
      </c>
      <c r="AS224" s="178"/>
      <c r="AT224" s="178">
        <f t="shared" si="106"/>
        <v>15078363</v>
      </c>
      <c r="AU224" s="469">
        <f t="shared" si="107"/>
        <v>206</v>
      </c>
      <c r="AV224" s="195"/>
      <c r="AW224" s="223" t="s">
        <v>709</v>
      </c>
    </row>
    <row r="225" spans="1:49" s="189" customFormat="1" ht="30.75" customHeight="1" x14ac:dyDescent="0.25">
      <c r="A225" s="168">
        <f>_xlfn.AGGREGATE(4,7,A$13:A224)+1</f>
        <v>207</v>
      </c>
      <c r="B225" s="168" t="str">
        <f>VLOOKUP(D225,[1]LuongBC_T01!$B$9:$C$292,2,FALSE)</f>
        <v>0016100006800003</v>
      </c>
      <c r="C225" s="199" t="s">
        <v>928</v>
      </c>
      <c r="D225" s="230" t="s">
        <v>1063</v>
      </c>
      <c r="E225" s="263" t="s">
        <v>1424</v>
      </c>
      <c r="F225" s="231"/>
      <c r="G225" s="231"/>
      <c r="H225" s="231"/>
      <c r="I225" s="231"/>
      <c r="J225" s="231"/>
      <c r="K225" s="168" t="s">
        <v>1360</v>
      </c>
      <c r="L225" s="543" t="s">
        <v>742</v>
      </c>
      <c r="M225" s="543" t="s">
        <v>928</v>
      </c>
      <c r="N225" s="263" t="str">
        <f>VLOOKUP(D225,'[6]Bao cao So GDDT'!$D$14:$S$282,11,FALSE)</f>
        <v>Giảng viên GDNN LT (hạng III)</v>
      </c>
      <c r="O225" s="390" t="s">
        <v>1438</v>
      </c>
      <c r="P225" s="170" t="s">
        <v>692</v>
      </c>
      <c r="Q225" s="170">
        <v>2</v>
      </c>
      <c r="R225" s="177">
        <v>3.66</v>
      </c>
      <c r="S225" s="176">
        <f t="shared" si="109"/>
        <v>0.68009999999999993</v>
      </c>
      <c r="T225" s="169"/>
      <c r="U225" s="176">
        <f t="shared" si="95"/>
        <v>0</v>
      </c>
      <c r="V225" s="175">
        <f t="shared" si="110"/>
        <v>0</v>
      </c>
      <c r="W225" s="170">
        <v>0.25</v>
      </c>
      <c r="X225" s="179">
        <v>0.11</v>
      </c>
      <c r="Y225" s="216">
        <f t="shared" si="96"/>
        <v>0.43009999999999998</v>
      </c>
      <c r="Z225" s="216">
        <f t="shared" si="97"/>
        <v>4.3401000000000005</v>
      </c>
      <c r="AA225" s="180">
        <f t="shared" si="98"/>
        <v>10155834</v>
      </c>
      <c r="AB225" s="180"/>
      <c r="AC225" s="180">
        <f t="shared" si="99"/>
        <v>0</v>
      </c>
      <c r="AD225" s="180">
        <f t="shared" si="108"/>
        <v>0</v>
      </c>
      <c r="AE225" s="180">
        <f t="shared" si="100"/>
        <v>10155834</v>
      </c>
      <c r="AF225" s="178">
        <f t="shared" si="101"/>
        <v>812466.72</v>
      </c>
      <c r="AG225" s="178">
        <f t="shared" si="102"/>
        <v>152337.50999999998</v>
      </c>
      <c r="AH225" s="178">
        <f t="shared" si="103"/>
        <v>101558.34</v>
      </c>
      <c r="AI225" s="178"/>
      <c r="AJ225" s="178">
        <f t="shared" si="90"/>
        <v>1066362.57</v>
      </c>
      <c r="AK225" s="192"/>
      <c r="AL225" s="535">
        <f t="shared" si="112"/>
        <v>0</v>
      </c>
      <c r="AM225" s="182"/>
      <c r="AN225" s="182"/>
      <c r="AO225" s="183">
        <f t="shared" si="92"/>
        <v>3.91</v>
      </c>
      <c r="AP225" s="246">
        <v>0.25</v>
      </c>
      <c r="AQ225" s="194">
        <f t="shared" si="104"/>
        <v>0.97750000000000004</v>
      </c>
      <c r="AR225" s="178">
        <f t="shared" si="105"/>
        <v>2287350</v>
      </c>
      <c r="AS225" s="178"/>
      <c r="AT225" s="178">
        <f t="shared" si="106"/>
        <v>11376821</v>
      </c>
      <c r="AU225" s="469">
        <f t="shared" si="107"/>
        <v>207</v>
      </c>
      <c r="AV225" s="186"/>
      <c r="AW225" s="198" t="s">
        <v>709</v>
      </c>
    </row>
    <row r="226" spans="1:49" s="191" customFormat="1" ht="30.75" customHeight="1" x14ac:dyDescent="0.25">
      <c r="A226" s="168">
        <f>_xlfn.AGGREGATE(4,7,A$13:A225)+1</f>
        <v>208</v>
      </c>
      <c r="B226" s="168" t="str">
        <f>VLOOKUP(D226,[1]LuongBC_T01!$B$9:$C$292,2,FALSE)</f>
        <v>0016100006794003</v>
      </c>
      <c r="C226" s="199" t="s">
        <v>954</v>
      </c>
      <c r="D226" s="169" t="s">
        <v>1218</v>
      </c>
      <c r="E226" s="263" t="s">
        <v>1374</v>
      </c>
      <c r="F226" s="169" t="s">
        <v>549</v>
      </c>
      <c r="G226" s="170"/>
      <c r="H226" s="170" t="s">
        <v>283</v>
      </c>
      <c r="I226" s="170" t="s">
        <v>283</v>
      </c>
      <c r="J226" s="169" t="s">
        <v>253</v>
      </c>
      <c r="K226" s="170" t="str">
        <f>VLOOKUP(D226,[2]T3!$B$2:$D$328,3,FALSE)</f>
        <v>024252246</v>
      </c>
      <c r="L226" s="171" t="s">
        <v>119</v>
      </c>
      <c r="M226" s="171" t="s">
        <v>954</v>
      </c>
      <c r="N226" s="263" t="str">
        <f>VLOOKUP(D226,'[6]Bao cao So GDDT'!$D$14:$S$282,11,FALSE)</f>
        <v>Giảng viên GDNN LT (hạng III)</v>
      </c>
      <c r="O226" s="390" t="s">
        <v>1438</v>
      </c>
      <c r="P226" s="172" t="s">
        <v>692</v>
      </c>
      <c r="Q226" s="173">
        <v>5</v>
      </c>
      <c r="R226" s="174">
        <v>4.32</v>
      </c>
      <c r="S226" s="176">
        <f t="shared" si="109"/>
        <v>0.82079999999999997</v>
      </c>
      <c r="T226" s="370"/>
      <c r="U226" s="176">
        <f t="shared" si="95"/>
        <v>0</v>
      </c>
      <c r="V226" s="175">
        <f t="shared" si="110"/>
        <v>0</v>
      </c>
      <c r="W226" s="200"/>
      <c r="X226" s="179">
        <v>0.19</v>
      </c>
      <c r="Y226" s="216">
        <f t="shared" si="96"/>
        <v>0.82079999999999997</v>
      </c>
      <c r="Z226" s="216">
        <f t="shared" si="97"/>
        <v>5.1408000000000005</v>
      </c>
      <c r="AA226" s="180">
        <f t="shared" si="98"/>
        <v>12029472</v>
      </c>
      <c r="AB226" s="180"/>
      <c r="AC226" s="180">
        <f t="shared" si="99"/>
        <v>0</v>
      </c>
      <c r="AD226" s="180">
        <f t="shared" si="108"/>
        <v>0</v>
      </c>
      <c r="AE226" s="180">
        <f t="shared" si="100"/>
        <v>12029472</v>
      </c>
      <c r="AF226" s="178">
        <f t="shared" si="101"/>
        <v>962357.76000000001</v>
      </c>
      <c r="AG226" s="178">
        <f t="shared" si="102"/>
        <v>180442.08</v>
      </c>
      <c r="AH226" s="178">
        <f t="shared" si="103"/>
        <v>120294.72</v>
      </c>
      <c r="AI226" s="178"/>
      <c r="AJ226" s="178">
        <f t="shared" si="90"/>
        <v>1263094.56</v>
      </c>
      <c r="AK226" s="181"/>
      <c r="AL226" s="535">
        <f t="shared" si="112"/>
        <v>0</v>
      </c>
      <c r="AM226" s="182"/>
      <c r="AN226" s="182"/>
      <c r="AO226" s="193">
        <f t="shared" si="92"/>
        <v>4.32</v>
      </c>
      <c r="AP226" s="246">
        <v>0.25</v>
      </c>
      <c r="AQ226" s="194">
        <f t="shared" si="104"/>
        <v>1.08</v>
      </c>
      <c r="AR226" s="178">
        <f t="shared" si="105"/>
        <v>2527200</v>
      </c>
      <c r="AS226" s="178"/>
      <c r="AT226" s="178">
        <f t="shared" si="106"/>
        <v>13293577</v>
      </c>
      <c r="AU226" s="469">
        <f t="shared" si="107"/>
        <v>208</v>
      </c>
      <c r="AV226" s="186"/>
      <c r="AW226" s="187" t="s">
        <v>709</v>
      </c>
    </row>
    <row r="227" spans="1:49" s="189" customFormat="1" ht="30.75" customHeight="1" x14ac:dyDescent="0.25">
      <c r="A227" s="168">
        <f>_xlfn.AGGREGATE(4,7,A$13:A226)+1</f>
        <v>209</v>
      </c>
      <c r="B227" s="168" t="str">
        <f>VLOOKUP(D227,[1]LuongBC_T01!$B$9:$C$292,2,FALSE)</f>
        <v>0016100006752009</v>
      </c>
      <c r="C227" s="199" t="s">
        <v>863</v>
      </c>
      <c r="D227" s="169" t="s">
        <v>64</v>
      </c>
      <c r="E227" s="263" t="s">
        <v>1374</v>
      </c>
      <c r="F227" s="169" t="s">
        <v>549</v>
      </c>
      <c r="G227" s="200"/>
      <c r="H227" s="200" t="s">
        <v>283</v>
      </c>
      <c r="I227" s="170" t="s">
        <v>283</v>
      </c>
      <c r="J227" s="169" t="s">
        <v>247</v>
      </c>
      <c r="K227" s="168" t="s">
        <v>1364</v>
      </c>
      <c r="L227" s="171" t="s">
        <v>147</v>
      </c>
      <c r="M227" s="171" t="s">
        <v>863</v>
      </c>
      <c r="N227" s="263" t="str">
        <f>VLOOKUP(D227,'[6]Bao cao So GDDT'!$D$14:$S$282,11,FALSE)</f>
        <v>Giảng viên GDNN LT (hạng III)</v>
      </c>
      <c r="O227" s="390" t="s">
        <v>1438</v>
      </c>
      <c r="P227" s="172" t="s">
        <v>692</v>
      </c>
      <c r="Q227" s="173">
        <v>4</v>
      </c>
      <c r="R227" s="174">
        <v>3.99</v>
      </c>
      <c r="S227" s="176">
        <f t="shared" si="109"/>
        <v>0.63839999999999997</v>
      </c>
      <c r="T227" s="370"/>
      <c r="U227" s="176">
        <f t="shared" si="95"/>
        <v>0</v>
      </c>
      <c r="V227" s="175">
        <f t="shared" si="110"/>
        <v>0</v>
      </c>
      <c r="W227" s="170"/>
      <c r="X227" s="179">
        <v>0.16</v>
      </c>
      <c r="Y227" s="216">
        <f t="shared" si="96"/>
        <v>0.63839999999999997</v>
      </c>
      <c r="Z227" s="216">
        <f t="shared" si="97"/>
        <v>4.6284000000000001</v>
      </c>
      <c r="AA227" s="180">
        <f t="shared" si="98"/>
        <v>10830456</v>
      </c>
      <c r="AB227" s="180"/>
      <c r="AC227" s="180">
        <f t="shared" si="99"/>
        <v>0</v>
      </c>
      <c r="AD227" s="180">
        <f t="shared" si="108"/>
        <v>0</v>
      </c>
      <c r="AE227" s="180">
        <f t="shared" si="100"/>
        <v>10830456</v>
      </c>
      <c r="AF227" s="178">
        <f t="shared" si="101"/>
        <v>866436.48</v>
      </c>
      <c r="AG227" s="178">
        <f t="shared" si="102"/>
        <v>162456.84</v>
      </c>
      <c r="AH227" s="178">
        <f t="shared" si="103"/>
        <v>108304.56</v>
      </c>
      <c r="AI227" s="178"/>
      <c r="AJ227" s="178">
        <f t="shared" si="90"/>
        <v>1137197.8799999999</v>
      </c>
      <c r="AK227" s="192"/>
      <c r="AL227" s="535">
        <f t="shared" si="112"/>
        <v>0</v>
      </c>
      <c r="AM227" s="182"/>
      <c r="AN227" s="182"/>
      <c r="AO227" s="193">
        <f t="shared" si="92"/>
        <v>3.99</v>
      </c>
      <c r="AP227" s="246">
        <v>0.25</v>
      </c>
      <c r="AQ227" s="194">
        <f t="shared" si="104"/>
        <v>0.99750000000000005</v>
      </c>
      <c r="AR227" s="178">
        <f t="shared" si="105"/>
        <v>2334150</v>
      </c>
      <c r="AS227" s="178"/>
      <c r="AT227" s="178">
        <f t="shared" si="106"/>
        <v>12027408</v>
      </c>
      <c r="AU227" s="469">
        <f t="shared" si="107"/>
        <v>209</v>
      </c>
      <c r="AV227" s="186"/>
      <c r="AW227" s="187" t="s">
        <v>709</v>
      </c>
    </row>
    <row r="228" spans="1:49" s="189" customFormat="1" ht="30.75" customHeight="1" x14ac:dyDescent="0.25">
      <c r="A228" s="168">
        <f>_xlfn.AGGREGATE(4,7,A$13:A227)+1</f>
        <v>210</v>
      </c>
      <c r="B228" s="168" t="str">
        <f>VLOOKUP(D228,[1]LuongBC_T01!$B$9:$C$292,2,FALSE)</f>
        <v>0016100006793007</v>
      </c>
      <c r="C228" s="199" t="s">
        <v>978</v>
      </c>
      <c r="D228" s="169" t="s">
        <v>300</v>
      </c>
      <c r="E228" s="263" t="s">
        <v>1374</v>
      </c>
      <c r="F228" s="169" t="s">
        <v>549</v>
      </c>
      <c r="G228" s="200" t="s">
        <v>25</v>
      </c>
      <c r="H228" s="200" t="s">
        <v>283</v>
      </c>
      <c r="I228" s="170" t="s">
        <v>283</v>
      </c>
      <c r="J228" s="169" t="s">
        <v>530</v>
      </c>
      <c r="K228" s="170" t="str">
        <f>VLOOKUP(D228,[2]T3!$B$2:$D$328,3,FALSE)</f>
        <v>024799248</v>
      </c>
      <c r="L228" s="171" t="s">
        <v>330</v>
      </c>
      <c r="M228" s="171" t="s">
        <v>978</v>
      </c>
      <c r="N228" s="263" t="str">
        <f>VLOOKUP(D228,'[6]Bao cao So GDDT'!$D$14:$S$282,11,FALSE)</f>
        <v>Giảng viên GDNN LT (hạng III)</v>
      </c>
      <c r="O228" s="390" t="s">
        <v>1438</v>
      </c>
      <c r="P228" s="172" t="s">
        <v>692</v>
      </c>
      <c r="Q228" s="173">
        <v>3</v>
      </c>
      <c r="R228" s="174">
        <v>3.99</v>
      </c>
      <c r="S228" s="176">
        <f t="shared" si="109"/>
        <v>0.59850000000000003</v>
      </c>
      <c r="T228" s="370"/>
      <c r="U228" s="176">
        <f t="shared" si="95"/>
        <v>0</v>
      </c>
      <c r="V228" s="175">
        <f t="shared" si="110"/>
        <v>0</v>
      </c>
      <c r="W228" s="170"/>
      <c r="X228" s="179">
        <v>0.15</v>
      </c>
      <c r="Y228" s="216">
        <f t="shared" si="96"/>
        <v>0.59850000000000003</v>
      </c>
      <c r="Z228" s="216">
        <f t="shared" si="97"/>
        <v>4.5884999999999998</v>
      </c>
      <c r="AA228" s="180">
        <f t="shared" si="98"/>
        <v>10737090</v>
      </c>
      <c r="AB228" s="180"/>
      <c r="AC228" s="180">
        <f t="shared" si="99"/>
        <v>0</v>
      </c>
      <c r="AD228" s="180">
        <f t="shared" si="108"/>
        <v>0</v>
      </c>
      <c r="AE228" s="180">
        <f t="shared" si="100"/>
        <v>10737090</v>
      </c>
      <c r="AF228" s="178">
        <f t="shared" si="101"/>
        <v>858967.20000000007</v>
      </c>
      <c r="AG228" s="178">
        <f t="shared" si="102"/>
        <v>161056.35</v>
      </c>
      <c r="AH228" s="178">
        <f t="shared" si="103"/>
        <v>107370.90000000001</v>
      </c>
      <c r="AI228" s="178"/>
      <c r="AJ228" s="178">
        <f t="shared" si="90"/>
        <v>1127394.45</v>
      </c>
      <c r="AK228" s="192"/>
      <c r="AL228" s="535">
        <f t="shared" si="112"/>
        <v>0</v>
      </c>
      <c r="AM228" s="182"/>
      <c r="AN228" s="182"/>
      <c r="AO228" s="193">
        <f t="shared" si="92"/>
        <v>3.99</v>
      </c>
      <c r="AP228" s="246">
        <v>0.25</v>
      </c>
      <c r="AQ228" s="194">
        <f t="shared" si="104"/>
        <v>0.99750000000000005</v>
      </c>
      <c r="AR228" s="178">
        <f t="shared" si="105"/>
        <v>2334150</v>
      </c>
      <c r="AS228" s="178"/>
      <c r="AT228" s="178">
        <f t="shared" si="106"/>
        <v>11943846</v>
      </c>
      <c r="AU228" s="469">
        <f t="shared" si="107"/>
        <v>210</v>
      </c>
      <c r="AV228" s="195"/>
      <c r="AW228" s="198" t="s">
        <v>709</v>
      </c>
    </row>
    <row r="229" spans="1:49" s="189" customFormat="1" ht="30.75" customHeight="1" x14ac:dyDescent="0.25">
      <c r="A229" s="168">
        <f>_xlfn.AGGREGATE(4,7,A$13:A228)+1</f>
        <v>211</v>
      </c>
      <c r="B229" s="168" t="str">
        <f>VLOOKUP(D229,[1]LuongBC_T01!$B$9:$C$292,2,FALSE)</f>
        <v>0016100006786008</v>
      </c>
      <c r="C229" s="199" t="s">
        <v>991</v>
      </c>
      <c r="D229" s="169" t="s">
        <v>1225</v>
      </c>
      <c r="E229" s="263" t="s">
        <v>1374</v>
      </c>
      <c r="F229" s="169" t="s">
        <v>549</v>
      </c>
      <c r="G229" s="200"/>
      <c r="H229" s="200" t="s">
        <v>283</v>
      </c>
      <c r="I229" s="200" t="s">
        <v>283</v>
      </c>
      <c r="J229" s="200" t="s">
        <v>583</v>
      </c>
      <c r="K229" s="170" t="str">
        <f>VLOOKUP(D229,[2]T3!$B$2:$D$328,3,FALSE)</f>
        <v>024436109</v>
      </c>
      <c r="L229" s="201" t="s">
        <v>605</v>
      </c>
      <c r="M229" s="201" t="s">
        <v>991</v>
      </c>
      <c r="N229" s="263" t="str">
        <f>VLOOKUP(D229,'[6]Bao cao So GDDT'!$D$14:$S$282,11,FALSE)</f>
        <v>Giảng viên GDNN LT (hạng III)</v>
      </c>
      <c r="O229" s="392" t="s">
        <v>1438</v>
      </c>
      <c r="P229" s="170" t="s">
        <v>692</v>
      </c>
      <c r="Q229" s="170">
        <v>3</v>
      </c>
      <c r="R229" s="177">
        <v>3.66</v>
      </c>
      <c r="S229" s="176">
        <f t="shared" si="109"/>
        <v>0.51239999999999997</v>
      </c>
      <c r="T229" s="220"/>
      <c r="U229" s="176">
        <f t="shared" si="95"/>
        <v>0</v>
      </c>
      <c r="V229" s="175">
        <f t="shared" si="110"/>
        <v>0</v>
      </c>
      <c r="W229" s="170"/>
      <c r="X229" s="179">
        <v>0.14000000000000001</v>
      </c>
      <c r="Y229" s="216">
        <f t="shared" si="96"/>
        <v>0.51239999999999997</v>
      </c>
      <c r="Z229" s="216">
        <f t="shared" si="97"/>
        <v>4.1723999999999997</v>
      </c>
      <c r="AA229" s="180">
        <f t="shared" si="98"/>
        <v>9763416</v>
      </c>
      <c r="AB229" s="180"/>
      <c r="AC229" s="180">
        <f t="shared" si="99"/>
        <v>0</v>
      </c>
      <c r="AD229" s="180">
        <f t="shared" si="108"/>
        <v>0</v>
      </c>
      <c r="AE229" s="180">
        <f t="shared" si="100"/>
        <v>9763416</v>
      </c>
      <c r="AF229" s="178">
        <f t="shared" si="101"/>
        <v>781073.28</v>
      </c>
      <c r="AG229" s="178">
        <f t="shared" si="102"/>
        <v>146451.24</v>
      </c>
      <c r="AH229" s="178">
        <f t="shared" si="103"/>
        <v>97634.16</v>
      </c>
      <c r="AI229" s="178"/>
      <c r="AJ229" s="178">
        <f t="shared" si="90"/>
        <v>1025158.68</v>
      </c>
      <c r="AK229" s="192"/>
      <c r="AL229" s="535">
        <f t="shared" si="112"/>
        <v>0</v>
      </c>
      <c r="AM229" s="182"/>
      <c r="AN229" s="182"/>
      <c r="AO229" s="193">
        <f t="shared" si="92"/>
        <v>3.66</v>
      </c>
      <c r="AP229" s="246">
        <v>0.25</v>
      </c>
      <c r="AQ229" s="194">
        <f t="shared" si="104"/>
        <v>0.91500000000000004</v>
      </c>
      <c r="AR229" s="178">
        <f t="shared" si="105"/>
        <v>2141100</v>
      </c>
      <c r="AS229" s="178"/>
      <c r="AT229" s="178">
        <f t="shared" si="106"/>
        <v>10879357</v>
      </c>
      <c r="AU229" s="469">
        <f t="shared" si="107"/>
        <v>211</v>
      </c>
      <c r="AV229" s="186"/>
      <c r="AW229" s="198" t="s">
        <v>709</v>
      </c>
    </row>
    <row r="230" spans="1:49" s="189" customFormat="1" ht="30.75" customHeight="1" x14ac:dyDescent="0.25">
      <c r="A230" s="168">
        <f>_xlfn.AGGREGATE(4,7,A$13:A229)+1</f>
        <v>212</v>
      </c>
      <c r="B230" s="168" t="str">
        <f>VLOOKUP(D230,[1]LuongBC_T01!$B$9:$C$292,2,FALSE)</f>
        <v>0016100006788003</v>
      </c>
      <c r="C230" s="199" t="s">
        <v>997</v>
      </c>
      <c r="D230" s="169" t="s">
        <v>1229</v>
      </c>
      <c r="E230" s="263" t="s">
        <v>1374</v>
      </c>
      <c r="F230" s="169" t="s">
        <v>549</v>
      </c>
      <c r="G230" s="200"/>
      <c r="H230" s="200" t="s">
        <v>283</v>
      </c>
      <c r="I230" s="200" t="s">
        <v>283</v>
      </c>
      <c r="J230" s="200" t="s">
        <v>591</v>
      </c>
      <c r="K230" s="170" t="str">
        <f>VLOOKUP(D230,[2]T3!$B$2:$D$328,3,FALSE)</f>
        <v>022939793</v>
      </c>
      <c r="L230" s="201" t="s">
        <v>613</v>
      </c>
      <c r="M230" s="201" t="s">
        <v>997</v>
      </c>
      <c r="N230" s="263" t="str">
        <f>VLOOKUP(D230,'[6]Bao cao So GDDT'!$D$14:$S$282,11,FALSE)</f>
        <v>Giảng viên GDNN LT (hạng III)</v>
      </c>
      <c r="O230" s="392" t="s">
        <v>1438</v>
      </c>
      <c r="P230" s="170" t="s">
        <v>692</v>
      </c>
      <c r="Q230" s="170">
        <v>3</v>
      </c>
      <c r="R230" s="177">
        <v>3.66</v>
      </c>
      <c r="S230" s="176">
        <f t="shared" si="109"/>
        <v>0.51239999999999997</v>
      </c>
      <c r="T230" s="220"/>
      <c r="U230" s="176">
        <f t="shared" si="95"/>
        <v>0</v>
      </c>
      <c r="V230" s="175">
        <f t="shared" si="110"/>
        <v>0</v>
      </c>
      <c r="W230" s="170"/>
      <c r="X230" s="179">
        <v>0.14000000000000001</v>
      </c>
      <c r="Y230" s="216">
        <f t="shared" si="96"/>
        <v>0.51239999999999997</v>
      </c>
      <c r="Z230" s="216">
        <f t="shared" si="97"/>
        <v>4.1723999999999997</v>
      </c>
      <c r="AA230" s="180">
        <f t="shared" si="98"/>
        <v>9763416</v>
      </c>
      <c r="AB230" s="180"/>
      <c r="AC230" s="180">
        <f t="shared" si="99"/>
        <v>0</v>
      </c>
      <c r="AD230" s="180">
        <f t="shared" si="108"/>
        <v>0</v>
      </c>
      <c r="AE230" s="180">
        <f t="shared" si="100"/>
        <v>9763416</v>
      </c>
      <c r="AF230" s="178">
        <f t="shared" si="101"/>
        <v>781073.28</v>
      </c>
      <c r="AG230" s="178">
        <f t="shared" si="102"/>
        <v>146451.24</v>
      </c>
      <c r="AH230" s="178">
        <f t="shared" si="103"/>
        <v>97634.16</v>
      </c>
      <c r="AI230" s="178"/>
      <c r="AJ230" s="178">
        <f t="shared" si="90"/>
        <v>1025158.68</v>
      </c>
      <c r="AK230" s="192"/>
      <c r="AL230" s="535">
        <f t="shared" si="112"/>
        <v>0</v>
      </c>
      <c r="AM230" s="182"/>
      <c r="AN230" s="182"/>
      <c r="AO230" s="193">
        <f t="shared" si="92"/>
        <v>3.66</v>
      </c>
      <c r="AP230" s="246">
        <v>0.25</v>
      </c>
      <c r="AQ230" s="194">
        <f t="shared" si="104"/>
        <v>0.91500000000000004</v>
      </c>
      <c r="AR230" s="178">
        <f t="shared" si="105"/>
        <v>2141100</v>
      </c>
      <c r="AS230" s="178"/>
      <c r="AT230" s="178">
        <f t="shared" si="106"/>
        <v>10879357</v>
      </c>
      <c r="AU230" s="469">
        <f t="shared" si="107"/>
        <v>212</v>
      </c>
      <c r="AV230" s="186"/>
      <c r="AW230" s="187" t="s">
        <v>709</v>
      </c>
    </row>
    <row r="231" spans="1:49" s="189" customFormat="1" ht="30.75" customHeight="1" x14ac:dyDescent="0.25">
      <c r="A231" s="168">
        <f>_xlfn.AGGREGATE(4,7,A$13:A230)+1</f>
        <v>213</v>
      </c>
      <c r="B231" s="168" t="s">
        <v>1428</v>
      </c>
      <c r="C231" s="199" t="s">
        <v>990</v>
      </c>
      <c r="D231" s="867" t="s">
        <v>1635</v>
      </c>
      <c r="E231" s="263" t="s">
        <v>1374</v>
      </c>
      <c r="F231" s="169" t="s">
        <v>549</v>
      </c>
      <c r="G231" s="200"/>
      <c r="H231" s="200" t="s">
        <v>283</v>
      </c>
      <c r="I231" s="200" t="s">
        <v>283</v>
      </c>
      <c r="J231" s="200" t="s">
        <v>582</v>
      </c>
      <c r="K231" s="168" t="s">
        <v>1363</v>
      </c>
      <c r="L231" s="201" t="s">
        <v>604</v>
      </c>
      <c r="M231" s="201" t="s">
        <v>990</v>
      </c>
      <c r="N231" s="263" t="e">
        <f>VLOOKUP(D231,'[6]Bao cao So GDDT'!$D$14:$S$282,11,FALSE)</f>
        <v>#N/A</v>
      </c>
      <c r="O231" s="392" t="s">
        <v>1438</v>
      </c>
      <c r="P231" s="170" t="s">
        <v>692</v>
      </c>
      <c r="Q231" s="170">
        <v>3</v>
      </c>
      <c r="R231" s="177">
        <v>3.66</v>
      </c>
      <c r="S231" s="176">
        <f t="shared" si="109"/>
        <v>0.51239999999999997</v>
      </c>
      <c r="T231" s="220"/>
      <c r="U231" s="176">
        <f t="shared" si="95"/>
        <v>0</v>
      </c>
      <c r="V231" s="175">
        <f t="shared" si="110"/>
        <v>0</v>
      </c>
      <c r="W231" s="170"/>
      <c r="X231" s="179">
        <v>0.14000000000000001</v>
      </c>
      <c r="Y231" s="216">
        <f t="shared" si="96"/>
        <v>0.51239999999999997</v>
      </c>
      <c r="Z231" s="216">
        <f t="shared" si="97"/>
        <v>4.1723999999999997</v>
      </c>
      <c r="AA231" s="180">
        <f t="shared" si="98"/>
        <v>9763416</v>
      </c>
      <c r="AB231" s="180"/>
      <c r="AC231" s="180">
        <f t="shared" si="99"/>
        <v>0</v>
      </c>
      <c r="AD231" s="180">
        <f t="shared" si="108"/>
        <v>0</v>
      </c>
      <c r="AE231" s="180">
        <f t="shared" si="100"/>
        <v>9763416</v>
      </c>
      <c r="AF231" s="178">
        <f t="shared" si="101"/>
        <v>781073.28</v>
      </c>
      <c r="AG231" s="178">
        <f t="shared" si="102"/>
        <v>146451.24</v>
      </c>
      <c r="AH231" s="178">
        <f t="shared" si="103"/>
        <v>97634.16</v>
      </c>
      <c r="AI231" s="178"/>
      <c r="AJ231" s="178">
        <f t="shared" si="90"/>
        <v>1025158.68</v>
      </c>
      <c r="AK231" s="192"/>
      <c r="AL231" s="535">
        <f t="shared" si="112"/>
        <v>0</v>
      </c>
      <c r="AM231" s="182"/>
      <c r="AN231" s="182"/>
      <c r="AO231" s="193">
        <f t="shared" si="92"/>
        <v>3.66</v>
      </c>
      <c r="AP231" s="246">
        <v>0.25</v>
      </c>
      <c r="AQ231" s="194">
        <f t="shared" si="104"/>
        <v>0.91500000000000004</v>
      </c>
      <c r="AR231" s="178">
        <f t="shared" si="105"/>
        <v>2141100</v>
      </c>
      <c r="AS231" s="178"/>
      <c r="AT231" s="178">
        <f t="shared" si="106"/>
        <v>10879357</v>
      </c>
      <c r="AU231" s="469">
        <f t="shared" si="107"/>
        <v>213</v>
      </c>
      <c r="AV231" s="186"/>
      <c r="AW231" s="198" t="s">
        <v>709</v>
      </c>
    </row>
    <row r="232" spans="1:49" s="189" customFormat="1" ht="30.75" customHeight="1" x14ac:dyDescent="0.25">
      <c r="A232" s="168">
        <f>_xlfn.AGGREGATE(4,7,A$13:A231)+1</f>
        <v>214</v>
      </c>
      <c r="B232" s="168" t="str">
        <f>VLOOKUP(D232,[1]LuongBC_T01!$B$9:$C$292,2,FALSE)</f>
        <v>0016100006813008</v>
      </c>
      <c r="C232" s="199" t="s">
        <v>927</v>
      </c>
      <c r="D232" s="169" t="s">
        <v>554</v>
      </c>
      <c r="E232" s="263" t="s">
        <v>1374</v>
      </c>
      <c r="F232" s="169" t="s">
        <v>549</v>
      </c>
      <c r="G232" s="200"/>
      <c r="H232" s="200" t="s">
        <v>283</v>
      </c>
      <c r="I232" s="200" t="s">
        <v>283</v>
      </c>
      <c r="J232" s="200"/>
      <c r="K232" s="168" t="s">
        <v>1362</v>
      </c>
      <c r="L232" s="201" t="s">
        <v>677</v>
      </c>
      <c r="M232" s="201" t="s">
        <v>927</v>
      </c>
      <c r="N232" s="263" t="str">
        <f>VLOOKUP(D232,'[6]Bao cao So GDDT'!$D$14:$S$282,11,FALSE)</f>
        <v>Giảng viên GDNN LT (hạng III)</v>
      </c>
      <c r="O232" s="390" t="s">
        <v>1438</v>
      </c>
      <c r="P232" s="222" t="s">
        <v>692</v>
      </c>
      <c r="Q232" s="172">
        <v>3</v>
      </c>
      <c r="R232" s="430">
        <v>3.66</v>
      </c>
      <c r="S232" s="176">
        <f t="shared" si="109"/>
        <v>0.4758</v>
      </c>
      <c r="T232" s="220"/>
      <c r="U232" s="176">
        <f t="shared" si="95"/>
        <v>0</v>
      </c>
      <c r="V232" s="175">
        <f t="shared" si="110"/>
        <v>0</v>
      </c>
      <c r="W232" s="170"/>
      <c r="X232" s="179">
        <v>0.13</v>
      </c>
      <c r="Y232" s="216">
        <f t="shared" si="96"/>
        <v>0.4758</v>
      </c>
      <c r="Z232" s="216">
        <f t="shared" si="97"/>
        <v>4.1357999999999997</v>
      </c>
      <c r="AA232" s="180">
        <f t="shared" si="98"/>
        <v>9677772</v>
      </c>
      <c r="AB232" s="180"/>
      <c r="AC232" s="180">
        <f t="shared" si="99"/>
        <v>0</v>
      </c>
      <c r="AD232" s="180">
        <v>0</v>
      </c>
      <c r="AE232" s="180">
        <f t="shared" si="100"/>
        <v>9677772</v>
      </c>
      <c r="AF232" s="178">
        <f t="shared" si="101"/>
        <v>774221.76</v>
      </c>
      <c r="AG232" s="178">
        <f t="shared" si="102"/>
        <v>145166.57999999999</v>
      </c>
      <c r="AH232" s="178">
        <f t="shared" si="103"/>
        <v>96777.72</v>
      </c>
      <c r="AI232" s="178"/>
      <c r="AJ232" s="178">
        <f t="shared" si="90"/>
        <v>1016166.0599999999</v>
      </c>
      <c r="AK232" s="192"/>
      <c r="AL232" s="535">
        <f t="shared" si="112"/>
        <v>0</v>
      </c>
      <c r="AM232" s="182"/>
      <c r="AN232" s="182"/>
      <c r="AO232" s="193">
        <f t="shared" si="92"/>
        <v>3.66</v>
      </c>
      <c r="AP232" s="246">
        <v>0.25</v>
      </c>
      <c r="AQ232" s="194">
        <f t="shared" si="104"/>
        <v>0.91500000000000004</v>
      </c>
      <c r="AR232" s="178">
        <f t="shared" si="105"/>
        <v>2141100</v>
      </c>
      <c r="AS232" s="178"/>
      <c r="AT232" s="178">
        <f t="shared" si="106"/>
        <v>10802706</v>
      </c>
      <c r="AU232" s="469">
        <f t="shared" si="107"/>
        <v>214</v>
      </c>
      <c r="AV232" s="195"/>
      <c r="AW232" s="252" t="s">
        <v>709</v>
      </c>
    </row>
    <row r="233" spans="1:49" s="189" customFormat="1" ht="30.75" customHeight="1" x14ac:dyDescent="0.25">
      <c r="A233" s="168">
        <f>_xlfn.AGGREGATE(4,7,A$13:A232)+1</f>
        <v>215</v>
      </c>
      <c r="B233" s="168" t="str">
        <f>VLOOKUP(D233,[1]LuongBC_T01!$B$9:$C$292,2,FALSE)</f>
        <v>0016100006757008</v>
      </c>
      <c r="C233" s="199" t="s">
        <v>999</v>
      </c>
      <c r="D233" s="230" t="s">
        <v>558</v>
      </c>
      <c r="E233" s="263" t="s">
        <v>1374</v>
      </c>
      <c r="F233" s="231"/>
      <c r="G233" s="251" t="s">
        <v>25</v>
      </c>
      <c r="H233" s="200" t="s">
        <v>283</v>
      </c>
      <c r="I233" s="200" t="s">
        <v>283</v>
      </c>
      <c r="J233" s="231"/>
      <c r="K233" s="168" t="s">
        <v>1365</v>
      </c>
      <c r="L233" s="386">
        <v>1603205357641</v>
      </c>
      <c r="M233" s="386" t="s">
        <v>999</v>
      </c>
      <c r="N233" s="263" t="str">
        <f>VLOOKUP(D233,'[6]Bao cao So GDDT'!$D$14:$S$282,11,FALSE)</f>
        <v>Giảng viên GDNN LT (hạng III)</v>
      </c>
      <c r="O233" s="393" t="s">
        <v>1438</v>
      </c>
      <c r="P233" s="170" t="s">
        <v>692</v>
      </c>
      <c r="Q233" s="170">
        <v>3</v>
      </c>
      <c r="R233" s="177">
        <v>3.66</v>
      </c>
      <c r="S233" s="176">
        <f t="shared" si="109"/>
        <v>0.51239999999999997</v>
      </c>
      <c r="T233" s="169"/>
      <c r="U233" s="176">
        <f t="shared" si="95"/>
        <v>0</v>
      </c>
      <c r="V233" s="175">
        <f t="shared" si="110"/>
        <v>0</v>
      </c>
      <c r="W233" s="170"/>
      <c r="X233" s="179">
        <v>0.14000000000000001</v>
      </c>
      <c r="Y233" s="216">
        <f t="shared" si="96"/>
        <v>0.51239999999999997</v>
      </c>
      <c r="Z233" s="216">
        <f t="shared" si="97"/>
        <v>4.1723999999999997</v>
      </c>
      <c r="AA233" s="180">
        <f t="shared" si="98"/>
        <v>9763416</v>
      </c>
      <c r="AB233" s="180"/>
      <c r="AC233" s="180">
        <f t="shared" si="99"/>
        <v>0</v>
      </c>
      <c r="AD233" s="180">
        <f t="shared" ref="AD233:AD242" si="113">AA233/24*AB233*75%</f>
        <v>0</v>
      </c>
      <c r="AE233" s="180">
        <f t="shared" si="100"/>
        <v>9763416</v>
      </c>
      <c r="AF233" s="178">
        <f t="shared" si="101"/>
        <v>781073.28</v>
      </c>
      <c r="AG233" s="178">
        <f t="shared" si="102"/>
        <v>146451.24</v>
      </c>
      <c r="AH233" s="178">
        <f t="shared" si="103"/>
        <v>97634.16</v>
      </c>
      <c r="AI233" s="178"/>
      <c r="AJ233" s="178">
        <f t="shared" si="90"/>
        <v>1025158.68</v>
      </c>
      <c r="AK233" s="192"/>
      <c r="AL233" s="535">
        <f t="shared" si="112"/>
        <v>0</v>
      </c>
      <c r="AM233" s="182"/>
      <c r="AN233" s="182"/>
      <c r="AO233" s="183">
        <f t="shared" si="92"/>
        <v>3.66</v>
      </c>
      <c r="AP233" s="246">
        <v>0.25</v>
      </c>
      <c r="AQ233" s="194">
        <f t="shared" si="104"/>
        <v>0.91500000000000004</v>
      </c>
      <c r="AR233" s="178">
        <f t="shared" si="105"/>
        <v>2141100</v>
      </c>
      <c r="AS233" s="178"/>
      <c r="AT233" s="178">
        <f t="shared" si="106"/>
        <v>10879357</v>
      </c>
      <c r="AU233" s="469">
        <f t="shared" si="107"/>
        <v>215</v>
      </c>
      <c r="AV233" s="244"/>
      <c r="AW233" s="198" t="s">
        <v>709</v>
      </c>
    </row>
    <row r="234" spans="1:49" s="189" customFormat="1" ht="30.75" customHeight="1" x14ac:dyDescent="0.25">
      <c r="A234" s="168">
        <f>_xlfn.AGGREGATE(4,7,A$13:A233)+1</f>
        <v>216</v>
      </c>
      <c r="B234" s="168" t="str">
        <f>VLOOKUP(D234,[1]LuongBC_T01!$B$9:$C$292,2,FALSE)</f>
        <v>0016100006790008</v>
      </c>
      <c r="C234" s="199" t="s">
        <v>1012</v>
      </c>
      <c r="D234" s="230" t="s">
        <v>562</v>
      </c>
      <c r="E234" s="263" t="s">
        <v>1374</v>
      </c>
      <c r="F234" s="231"/>
      <c r="G234" s="231"/>
      <c r="H234" s="231"/>
      <c r="I234" s="231"/>
      <c r="J234" s="231"/>
      <c r="K234" s="170" t="str">
        <f>VLOOKUP(D234,[2]T3!$B$2:$D$328,3,FALSE)</f>
        <v>024221614</v>
      </c>
      <c r="L234" s="386">
        <v>1603205357120</v>
      </c>
      <c r="M234" s="386" t="s">
        <v>1012</v>
      </c>
      <c r="N234" s="263" t="str">
        <f>VLOOKUP(D234,'[6]Bao cao So GDDT'!$D$14:$S$282,11,FALSE)</f>
        <v>Giảng viên GDNN LT (hạng III)</v>
      </c>
      <c r="O234" s="393" t="s">
        <v>1438</v>
      </c>
      <c r="P234" s="170" t="s">
        <v>692</v>
      </c>
      <c r="Q234" s="170">
        <v>2</v>
      </c>
      <c r="R234" s="177">
        <v>3.33</v>
      </c>
      <c r="S234" s="176">
        <f t="shared" si="109"/>
        <v>0.36630000000000001</v>
      </c>
      <c r="T234" s="169"/>
      <c r="U234" s="176">
        <f t="shared" si="95"/>
        <v>0</v>
      </c>
      <c r="V234" s="175">
        <f t="shared" si="110"/>
        <v>0</v>
      </c>
      <c r="W234" s="170"/>
      <c r="X234" s="179">
        <v>0.11</v>
      </c>
      <c r="Y234" s="216">
        <f t="shared" si="96"/>
        <v>0.36630000000000001</v>
      </c>
      <c r="Z234" s="216">
        <f t="shared" si="97"/>
        <v>3.6962999999999999</v>
      </c>
      <c r="AA234" s="180">
        <f t="shared" si="98"/>
        <v>8649342</v>
      </c>
      <c r="AB234" s="180"/>
      <c r="AC234" s="180">
        <f t="shared" si="99"/>
        <v>0</v>
      </c>
      <c r="AD234" s="180">
        <f t="shared" si="113"/>
        <v>0</v>
      </c>
      <c r="AE234" s="180">
        <f t="shared" si="100"/>
        <v>8649342</v>
      </c>
      <c r="AF234" s="178">
        <f t="shared" si="101"/>
        <v>691947.36</v>
      </c>
      <c r="AG234" s="178">
        <f t="shared" si="102"/>
        <v>129740.12999999999</v>
      </c>
      <c r="AH234" s="178">
        <f t="shared" si="103"/>
        <v>86493.42</v>
      </c>
      <c r="AI234" s="178"/>
      <c r="AJ234" s="178">
        <f t="shared" si="90"/>
        <v>908180.91</v>
      </c>
      <c r="AK234" s="192"/>
      <c r="AL234" s="535">
        <f t="shared" si="112"/>
        <v>0</v>
      </c>
      <c r="AM234" s="182"/>
      <c r="AN234" s="182"/>
      <c r="AO234" s="183">
        <f t="shared" si="92"/>
        <v>3.33</v>
      </c>
      <c r="AP234" s="246">
        <v>0.25</v>
      </c>
      <c r="AQ234" s="194">
        <f t="shared" si="104"/>
        <v>0.83250000000000002</v>
      </c>
      <c r="AR234" s="178">
        <f t="shared" si="105"/>
        <v>1948050</v>
      </c>
      <c r="AS234" s="178"/>
      <c r="AT234" s="178">
        <f t="shared" si="106"/>
        <v>9689211</v>
      </c>
      <c r="AU234" s="469">
        <f t="shared" si="107"/>
        <v>216</v>
      </c>
      <c r="AV234" s="186"/>
      <c r="AW234" s="198" t="s">
        <v>709</v>
      </c>
    </row>
    <row r="235" spans="1:49" s="189" customFormat="1" ht="30.75" customHeight="1" x14ac:dyDescent="0.25">
      <c r="A235" s="168">
        <f>_xlfn.AGGREGATE(4,7,A$13:A234)+1</f>
        <v>217</v>
      </c>
      <c r="B235" s="168" t="str">
        <f>VLOOKUP(D235,[1]LuongBC_T01!$B$9:$C$292,2,FALSE)</f>
        <v>0016100006597003</v>
      </c>
      <c r="C235" s="387" t="s">
        <v>899</v>
      </c>
      <c r="D235" s="169" t="s">
        <v>806</v>
      </c>
      <c r="E235" s="263" t="s">
        <v>1374</v>
      </c>
      <c r="F235" s="220"/>
      <c r="G235" s="220" t="s">
        <v>25</v>
      </c>
      <c r="H235" s="220"/>
      <c r="I235" s="220"/>
      <c r="J235" s="220"/>
      <c r="K235" s="168" t="s">
        <v>1361</v>
      </c>
      <c r="L235" s="220"/>
      <c r="M235" s="170" t="s">
        <v>899</v>
      </c>
      <c r="N235" s="263" t="str">
        <f>VLOOKUP(D235,'[6]Bao cao So GDDT'!$D$14:$S$282,11,FALSE)</f>
        <v>Giảng viên GDNN LT (hạng III)</v>
      </c>
      <c r="O235" s="263" t="s">
        <v>1438</v>
      </c>
      <c r="P235" s="170" t="s">
        <v>692</v>
      </c>
      <c r="Q235" s="170">
        <v>2</v>
      </c>
      <c r="R235" s="177">
        <v>3.33</v>
      </c>
      <c r="S235" s="176">
        <f t="shared" si="109"/>
        <v>0.26640000000000003</v>
      </c>
      <c r="T235" s="220"/>
      <c r="U235" s="176">
        <f t="shared" si="95"/>
        <v>0</v>
      </c>
      <c r="V235" s="175">
        <f t="shared" si="110"/>
        <v>0</v>
      </c>
      <c r="W235" s="170"/>
      <c r="X235" s="179">
        <v>0.08</v>
      </c>
      <c r="Y235" s="216">
        <f t="shared" si="96"/>
        <v>0.26640000000000003</v>
      </c>
      <c r="Z235" s="216">
        <f t="shared" si="97"/>
        <v>3.5964</v>
      </c>
      <c r="AA235" s="180">
        <f t="shared" si="98"/>
        <v>8415576</v>
      </c>
      <c r="AB235" s="180"/>
      <c r="AC235" s="180">
        <f t="shared" si="99"/>
        <v>0</v>
      </c>
      <c r="AD235" s="180">
        <f t="shared" si="113"/>
        <v>0</v>
      </c>
      <c r="AE235" s="180">
        <f t="shared" si="100"/>
        <v>8415576</v>
      </c>
      <c r="AF235" s="178">
        <f t="shared" si="101"/>
        <v>673246.08</v>
      </c>
      <c r="AG235" s="178">
        <f t="shared" si="102"/>
        <v>126233.64</v>
      </c>
      <c r="AH235" s="178">
        <f t="shared" si="103"/>
        <v>84155.76</v>
      </c>
      <c r="AI235" s="178"/>
      <c r="AJ235" s="178">
        <f t="shared" si="90"/>
        <v>883635.48</v>
      </c>
      <c r="AK235" s="192"/>
      <c r="AL235" s="535">
        <f t="shared" si="112"/>
        <v>0</v>
      </c>
      <c r="AM235" s="182"/>
      <c r="AN235" s="182"/>
      <c r="AO235" s="183">
        <f t="shared" si="92"/>
        <v>3.33</v>
      </c>
      <c r="AP235" s="246">
        <v>0.25</v>
      </c>
      <c r="AQ235" s="185">
        <f t="shared" si="104"/>
        <v>0.83250000000000002</v>
      </c>
      <c r="AR235" s="178">
        <f t="shared" si="105"/>
        <v>1948050</v>
      </c>
      <c r="AS235" s="178"/>
      <c r="AT235" s="178">
        <f t="shared" si="106"/>
        <v>9479991</v>
      </c>
      <c r="AU235" s="469">
        <f t="shared" si="107"/>
        <v>217</v>
      </c>
      <c r="AV235" s="195"/>
      <c r="AW235" s="198"/>
    </row>
    <row r="236" spans="1:49" s="189" customFormat="1" ht="30.75" customHeight="1" x14ac:dyDescent="0.25">
      <c r="A236" s="168">
        <f>_xlfn.AGGREGATE(4,7,A$13:A235)+1</f>
        <v>218</v>
      </c>
      <c r="B236" s="168" t="str">
        <f>VLOOKUP(D236,[1]LuongBC_T01!$B$9:$C$292,2,FALSE)</f>
        <v>0016100007212008</v>
      </c>
      <c r="C236" s="170" t="s">
        <v>1328</v>
      </c>
      <c r="D236" s="169" t="s">
        <v>1282</v>
      </c>
      <c r="E236" s="263" t="s">
        <v>1374</v>
      </c>
      <c r="F236" s="220"/>
      <c r="G236" s="220"/>
      <c r="H236" s="220"/>
      <c r="I236" s="220"/>
      <c r="J236" s="220"/>
      <c r="K236" s="170">
        <f>VLOOKUP(D236,[2]T3!$B$2:$D$328,3,FALSE)</f>
        <v>331950060</v>
      </c>
      <c r="L236" s="220"/>
      <c r="M236" s="170"/>
      <c r="N236" s="263" t="str">
        <f>VLOOKUP(D236,'[6]Bao cao So GDDT'!$D$14:$S$282,11,FALSE)</f>
        <v>Giảng viên GDNN LT (hạng III)</v>
      </c>
      <c r="O236" s="263" t="s">
        <v>1438</v>
      </c>
      <c r="P236" s="251"/>
      <c r="Q236" s="251"/>
      <c r="R236" s="177">
        <v>3</v>
      </c>
      <c r="S236" s="176"/>
      <c r="T236" s="220"/>
      <c r="U236" s="176">
        <f t="shared" si="95"/>
        <v>0</v>
      </c>
      <c r="V236" s="175"/>
      <c r="W236" s="170"/>
      <c r="X236" s="179">
        <v>0.11</v>
      </c>
      <c r="Y236" s="216">
        <f t="shared" si="96"/>
        <v>0.33</v>
      </c>
      <c r="Z236" s="216">
        <f t="shared" si="97"/>
        <v>3.33</v>
      </c>
      <c r="AA236" s="180">
        <f t="shared" si="98"/>
        <v>7792200</v>
      </c>
      <c r="AB236" s="180"/>
      <c r="AC236" s="180">
        <f t="shared" si="99"/>
        <v>0</v>
      </c>
      <c r="AD236" s="180">
        <f t="shared" si="113"/>
        <v>0</v>
      </c>
      <c r="AE236" s="180">
        <f t="shared" si="100"/>
        <v>7792200</v>
      </c>
      <c r="AF236" s="178">
        <f t="shared" si="101"/>
        <v>623376</v>
      </c>
      <c r="AG236" s="178">
        <f t="shared" si="102"/>
        <v>116883</v>
      </c>
      <c r="AH236" s="178">
        <f t="shared" si="103"/>
        <v>77922</v>
      </c>
      <c r="AI236" s="178"/>
      <c r="AJ236" s="178">
        <f t="shared" si="90"/>
        <v>818181</v>
      </c>
      <c r="AK236" s="192"/>
      <c r="AL236" s="535">
        <f t="shared" si="112"/>
        <v>0</v>
      </c>
      <c r="AM236" s="182"/>
      <c r="AN236" s="182"/>
      <c r="AO236" s="183">
        <f t="shared" si="92"/>
        <v>3</v>
      </c>
      <c r="AP236" s="246">
        <v>0.25</v>
      </c>
      <c r="AQ236" s="185">
        <f t="shared" si="104"/>
        <v>0.75</v>
      </c>
      <c r="AR236" s="178">
        <f t="shared" si="105"/>
        <v>1755000</v>
      </c>
      <c r="AS236" s="178"/>
      <c r="AT236" s="178">
        <f t="shared" si="106"/>
        <v>8729019</v>
      </c>
      <c r="AU236" s="469">
        <f t="shared" si="107"/>
        <v>218</v>
      </c>
      <c r="AV236" s="195"/>
      <c r="AW236" s="485"/>
    </row>
    <row r="237" spans="1:49" s="189" customFormat="1" ht="30.75" customHeight="1" x14ac:dyDescent="0.25">
      <c r="A237" s="168">
        <f>_xlfn.AGGREGATE(4,7,A$13:A236)+1</f>
        <v>219</v>
      </c>
      <c r="B237" s="168" t="str">
        <f>VLOOKUP(D237,[1]LuongBC_T01!$B$9:$C$292,2,FALSE)</f>
        <v>0016100007698008</v>
      </c>
      <c r="C237" s="170" t="s">
        <v>1326</v>
      </c>
      <c r="D237" s="169" t="s">
        <v>1289</v>
      </c>
      <c r="E237" s="263" t="s">
        <v>1374</v>
      </c>
      <c r="F237" s="220"/>
      <c r="G237" s="220"/>
      <c r="H237" s="220"/>
      <c r="I237" s="220"/>
      <c r="J237" s="220"/>
      <c r="K237" s="170" t="str">
        <f>VLOOKUP(D237,[2]T3!$B$2:$D$328,3,FALSE)</f>
        <v>079089004197</v>
      </c>
      <c r="L237" s="490" t="s">
        <v>1295</v>
      </c>
      <c r="M237" s="170"/>
      <c r="N237" s="263" t="str">
        <f>VLOOKUP(D237,'[6]Bao cao So GDDT'!$D$14:$S$282,11,FALSE)</f>
        <v>Giảng viên GDNN LT (hạng III)</v>
      </c>
      <c r="O237" s="390" t="s">
        <v>1438</v>
      </c>
      <c r="P237" s="251"/>
      <c r="Q237" s="251"/>
      <c r="R237" s="177">
        <v>3</v>
      </c>
      <c r="S237" s="176"/>
      <c r="T237" s="220"/>
      <c r="U237" s="176">
        <f t="shared" si="95"/>
        <v>0</v>
      </c>
      <c r="V237" s="175"/>
      <c r="W237" s="170"/>
      <c r="X237" s="179">
        <v>7.0000000000000007E-2</v>
      </c>
      <c r="Y237" s="216">
        <f t="shared" si="96"/>
        <v>0.21</v>
      </c>
      <c r="Z237" s="216">
        <f t="shared" si="97"/>
        <v>3.21</v>
      </c>
      <c r="AA237" s="180">
        <f t="shared" si="98"/>
        <v>7511400</v>
      </c>
      <c r="AB237" s="180"/>
      <c r="AC237" s="180">
        <f t="shared" si="99"/>
        <v>0</v>
      </c>
      <c r="AD237" s="180">
        <f t="shared" si="113"/>
        <v>0</v>
      </c>
      <c r="AE237" s="180">
        <f t="shared" si="100"/>
        <v>7511400</v>
      </c>
      <c r="AF237" s="178">
        <f t="shared" si="101"/>
        <v>600912</v>
      </c>
      <c r="AG237" s="178">
        <f t="shared" si="102"/>
        <v>112671</v>
      </c>
      <c r="AH237" s="178">
        <f t="shared" si="103"/>
        <v>75114</v>
      </c>
      <c r="AI237" s="178"/>
      <c r="AJ237" s="178">
        <f t="shared" si="90"/>
        <v>788697</v>
      </c>
      <c r="AK237" s="192"/>
      <c r="AL237" s="535">
        <f t="shared" si="112"/>
        <v>0</v>
      </c>
      <c r="AM237" s="182"/>
      <c r="AN237" s="182"/>
      <c r="AO237" s="183">
        <f t="shared" si="92"/>
        <v>3</v>
      </c>
      <c r="AP237" s="246">
        <v>0.25</v>
      </c>
      <c r="AQ237" s="185">
        <f t="shared" si="104"/>
        <v>0.75</v>
      </c>
      <c r="AR237" s="178">
        <f t="shared" si="105"/>
        <v>1755000</v>
      </c>
      <c r="AS237" s="178"/>
      <c r="AT237" s="178">
        <f t="shared" si="106"/>
        <v>8477703</v>
      </c>
      <c r="AU237" s="469">
        <f t="shared" si="107"/>
        <v>219</v>
      </c>
      <c r="AV237" s="195"/>
      <c r="AW237" s="485"/>
    </row>
    <row r="238" spans="1:49" s="189" customFormat="1" ht="30.75" customHeight="1" x14ac:dyDescent="0.25">
      <c r="A238" s="168">
        <f>_xlfn.AGGREGATE(4,7,A$13:A237)+1</f>
        <v>220</v>
      </c>
      <c r="B238" s="168" t="str">
        <f>VLOOKUP(D238,[1]LuongBC_T01!$B$9:$C$292,2,FALSE)</f>
        <v>0016100012451002</v>
      </c>
      <c r="C238" s="170" t="s">
        <v>1335</v>
      </c>
      <c r="D238" s="169" t="s">
        <v>1307</v>
      </c>
      <c r="E238" s="263" t="s">
        <v>1374</v>
      </c>
      <c r="F238" s="220"/>
      <c r="G238" s="220"/>
      <c r="H238" s="220"/>
      <c r="I238" s="220"/>
      <c r="J238" s="220"/>
      <c r="K238" s="168" t="s">
        <v>1308</v>
      </c>
      <c r="L238" s="220"/>
      <c r="M238" s="170"/>
      <c r="N238" s="263" t="str">
        <f>VLOOKUP(D238,'[6]Bao cao So GDDT'!$D$14:$S$282,11,FALSE)</f>
        <v>Giảng viên GDNN LT (hạng III)</v>
      </c>
      <c r="O238" s="263" t="s">
        <v>1438</v>
      </c>
      <c r="P238" s="251"/>
      <c r="Q238" s="251"/>
      <c r="R238" s="170">
        <v>2.67</v>
      </c>
      <c r="S238" s="176"/>
      <c r="T238" s="220"/>
      <c r="U238" s="176">
        <f t="shared" si="95"/>
        <v>0</v>
      </c>
      <c r="V238" s="175"/>
      <c r="W238" s="170"/>
      <c r="X238" s="179">
        <f>VLOOKUP(D238,PCTN!D278:W545,20,FALSE)</f>
        <v>0</v>
      </c>
      <c r="Y238" s="216">
        <f t="shared" si="96"/>
        <v>0</v>
      </c>
      <c r="Z238" s="216">
        <f t="shared" si="97"/>
        <v>2.67</v>
      </c>
      <c r="AA238" s="180">
        <f t="shared" si="98"/>
        <v>6247800</v>
      </c>
      <c r="AB238" s="180"/>
      <c r="AC238" s="180">
        <f t="shared" si="99"/>
        <v>0</v>
      </c>
      <c r="AD238" s="180">
        <f t="shared" si="113"/>
        <v>0</v>
      </c>
      <c r="AE238" s="180">
        <f t="shared" si="100"/>
        <v>6247800</v>
      </c>
      <c r="AF238" s="178">
        <f t="shared" si="101"/>
        <v>499824</v>
      </c>
      <c r="AG238" s="178">
        <f t="shared" si="102"/>
        <v>93717</v>
      </c>
      <c r="AH238" s="178">
        <f t="shared" si="103"/>
        <v>62478</v>
      </c>
      <c r="AI238" s="178"/>
      <c r="AJ238" s="178">
        <f t="shared" si="90"/>
        <v>656019</v>
      </c>
      <c r="AK238" s="192"/>
      <c r="AL238" s="535">
        <f t="shared" si="112"/>
        <v>0</v>
      </c>
      <c r="AM238" s="182"/>
      <c r="AN238" s="182"/>
      <c r="AO238" s="183">
        <f t="shared" si="92"/>
        <v>2.67</v>
      </c>
      <c r="AP238" s="246">
        <v>0.25</v>
      </c>
      <c r="AQ238" s="185">
        <f t="shared" si="104"/>
        <v>0.66749999999999998</v>
      </c>
      <c r="AR238" s="178">
        <f t="shared" si="105"/>
        <v>1561950</v>
      </c>
      <c r="AS238" s="178"/>
      <c r="AT238" s="178">
        <f t="shared" si="106"/>
        <v>7153731</v>
      </c>
      <c r="AU238" s="469">
        <f t="shared" si="107"/>
        <v>220</v>
      </c>
      <c r="AV238" s="195"/>
      <c r="AW238" s="485"/>
    </row>
    <row r="239" spans="1:49" s="191" customFormat="1" ht="36.75" customHeight="1" x14ac:dyDescent="0.25">
      <c r="A239" s="168">
        <f>_xlfn.AGGREGATE(4,7,A$13:A238)+1</f>
        <v>221</v>
      </c>
      <c r="B239" s="168"/>
      <c r="C239" s="199" t="s">
        <v>1566</v>
      </c>
      <c r="D239" s="169" t="s">
        <v>1512</v>
      </c>
      <c r="E239" s="263" t="s">
        <v>1374</v>
      </c>
      <c r="F239" s="220"/>
      <c r="G239" s="200"/>
      <c r="H239" s="200"/>
      <c r="I239" s="200"/>
      <c r="J239" s="220"/>
      <c r="K239" s="170"/>
      <c r="L239" s="241"/>
      <c r="M239" s="241"/>
      <c r="N239" s="263" t="str">
        <f>VLOOKUP(D239,'[6]Bao cao So GDDT'!$D$14:$S$282,11,FALSE)</f>
        <v>Giáo viên GDNN LT (hạng III)</v>
      </c>
      <c r="O239" s="390" t="s">
        <v>1438</v>
      </c>
      <c r="P239" s="172"/>
      <c r="Q239" s="173"/>
      <c r="R239" s="174">
        <v>4.32</v>
      </c>
      <c r="S239" s="176"/>
      <c r="T239" s="377"/>
      <c r="U239" s="176">
        <f t="shared" si="95"/>
        <v>0</v>
      </c>
      <c r="V239" s="175"/>
      <c r="W239" s="200"/>
      <c r="X239" s="179">
        <v>0.19</v>
      </c>
      <c r="Y239" s="216">
        <f t="shared" si="96"/>
        <v>0.82079999999999997</v>
      </c>
      <c r="Z239" s="216">
        <f t="shared" si="97"/>
        <v>5.1408000000000005</v>
      </c>
      <c r="AA239" s="180">
        <f t="shared" si="98"/>
        <v>12029472</v>
      </c>
      <c r="AB239" s="180"/>
      <c r="AC239" s="180">
        <f t="shared" si="99"/>
        <v>0</v>
      </c>
      <c r="AD239" s="180">
        <f t="shared" si="113"/>
        <v>0</v>
      </c>
      <c r="AE239" s="180">
        <f t="shared" si="100"/>
        <v>12029472</v>
      </c>
      <c r="AF239" s="178">
        <f t="shared" si="101"/>
        <v>962357.76000000001</v>
      </c>
      <c r="AG239" s="178">
        <f t="shared" si="102"/>
        <v>180442.08</v>
      </c>
      <c r="AH239" s="178">
        <f t="shared" si="103"/>
        <v>120294.72</v>
      </c>
      <c r="AI239" s="178"/>
      <c r="AJ239" s="178">
        <f t="shared" si="90"/>
        <v>1263094.56</v>
      </c>
      <c r="AK239" s="181"/>
      <c r="AL239" s="535">
        <f t="shared" si="112"/>
        <v>0</v>
      </c>
      <c r="AM239" s="182"/>
      <c r="AN239" s="182"/>
      <c r="AO239" s="193">
        <f t="shared" si="92"/>
        <v>4.32</v>
      </c>
      <c r="AP239" s="179">
        <v>0.25</v>
      </c>
      <c r="AQ239" s="185">
        <f t="shared" si="104"/>
        <v>1.08</v>
      </c>
      <c r="AR239" s="178">
        <f t="shared" si="105"/>
        <v>2527200</v>
      </c>
      <c r="AS239" s="178"/>
      <c r="AT239" s="178">
        <f t="shared" si="106"/>
        <v>13293577</v>
      </c>
      <c r="AU239" s="469">
        <f t="shared" si="107"/>
        <v>221</v>
      </c>
      <c r="AV239" s="195"/>
      <c r="AW239" s="198"/>
    </row>
    <row r="240" spans="1:49" s="189" customFormat="1" ht="37.5" customHeight="1" x14ac:dyDescent="0.25">
      <c r="A240" s="168">
        <f>_xlfn.AGGREGATE(4,7,A$13:A239)+1</f>
        <v>222</v>
      </c>
      <c r="B240" s="168" t="s">
        <v>1498</v>
      </c>
      <c r="C240" s="659" t="s">
        <v>1565</v>
      </c>
      <c r="D240" s="169" t="s">
        <v>1484</v>
      </c>
      <c r="E240" s="263" t="s">
        <v>1374</v>
      </c>
      <c r="F240" s="220"/>
      <c r="G240" s="220"/>
      <c r="H240" s="220"/>
      <c r="I240" s="220"/>
      <c r="J240" s="220"/>
      <c r="K240" s="168">
        <v>261105998</v>
      </c>
      <c r="L240" s="490" t="s">
        <v>1489</v>
      </c>
      <c r="M240" s="170"/>
      <c r="N240" s="263" t="str">
        <f>VLOOKUP(D240,'[6]Bao cao So GDDT'!$D$14:$S$282,11,FALSE)</f>
        <v>Giảng viên GDNN LT (hạng III)</v>
      </c>
      <c r="O240" s="661" t="s">
        <v>1438</v>
      </c>
      <c r="P240" s="251"/>
      <c r="Q240" s="251"/>
      <c r="R240" s="177">
        <v>3</v>
      </c>
      <c r="S240" s="176"/>
      <c r="T240" s="220"/>
      <c r="U240" s="176">
        <f>ROUND(R240*T240/100,4)</f>
        <v>0</v>
      </c>
      <c r="V240" s="175"/>
      <c r="W240" s="170"/>
      <c r="X240" s="179">
        <v>7.0000000000000007E-2</v>
      </c>
      <c r="Y240" s="216">
        <f>ROUND((R240+U240+W240)*X240,4)</f>
        <v>0.21</v>
      </c>
      <c r="Z240" s="216">
        <f>R240+U240+W240+Y240</f>
        <v>3.21</v>
      </c>
      <c r="AA240" s="180">
        <f>ROUND(Z240*$D$8,0)</f>
        <v>7511400</v>
      </c>
      <c r="AB240" s="180"/>
      <c r="AC240" s="180">
        <f>AA240/24*AB240</f>
        <v>0</v>
      </c>
      <c r="AD240" s="180">
        <f>AA240/24*AB240*75%</f>
        <v>0</v>
      </c>
      <c r="AE240" s="180">
        <f>ROUND(AA240-AC240+AD240,0)</f>
        <v>7511400</v>
      </c>
      <c r="AF240" s="178">
        <f>AA240*8%</f>
        <v>600912</v>
      </c>
      <c r="AG240" s="178">
        <f>AA240*1.5%</f>
        <v>112671</v>
      </c>
      <c r="AH240" s="178">
        <f>AA240*1%</f>
        <v>75114</v>
      </c>
      <c r="AI240" s="178"/>
      <c r="AJ240" s="178">
        <f>SUM(AF240:AI240)</f>
        <v>788697</v>
      </c>
      <c r="AK240" s="192"/>
      <c r="AL240" s="535">
        <f t="shared" si="112"/>
        <v>0</v>
      </c>
      <c r="AM240" s="182"/>
      <c r="AN240" s="182"/>
      <c r="AO240" s="183">
        <f>R240+U240+W240</f>
        <v>3</v>
      </c>
      <c r="AP240" s="639">
        <v>0.25</v>
      </c>
      <c r="AQ240" s="185">
        <f>ROUND(AO240*AP240,4)</f>
        <v>0.75</v>
      </c>
      <c r="AR240" s="178">
        <f>ROUND(AQ240*$D$8,0)</f>
        <v>1755000</v>
      </c>
      <c r="AS240" s="178"/>
      <c r="AT240" s="178">
        <f>ROUND(AE240-AJ240+AL240+AN240+AR240,0)</f>
        <v>8477703</v>
      </c>
      <c r="AU240" s="538">
        <f>A240</f>
        <v>222</v>
      </c>
      <c r="AV240" s="195"/>
      <c r="AW240" s="658"/>
    </row>
    <row r="241" spans="1:52" s="189" customFormat="1" ht="37.5" customHeight="1" x14ac:dyDescent="0.25">
      <c r="A241" s="168">
        <f>_xlfn.AGGREGATE(4,7,A$13:A240)+1</f>
        <v>223</v>
      </c>
      <c r="B241" s="168"/>
      <c r="C241" s="168"/>
      <c r="D241" s="169" t="s">
        <v>1583</v>
      </c>
      <c r="E241" s="263" t="s">
        <v>1374</v>
      </c>
      <c r="F241" s="220"/>
      <c r="G241" s="220"/>
      <c r="H241" s="220"/>
      <c r="I241" s="220"/>
      <c r="J241" s="220"/>
      <c r="K241" s="168"/>
      <c r="L241" s="490"/>
      <c r="M241" s="170"/>
      <c r="N241" s="263"/>
      <c r="O241" s="263" t="s">
        <v>1438</v>
      </c>
      <c r="P241" s="170"/>
      <c r="Q241" s="170"/>
      <c r="R241" s="170">
        <v>2.67</v>
      </c>
      <c r="S241" s="176"/>
      <c r="T241" s="220"/>
      <c r="U241" s="176">
        <f>ROUND(R241*T241/100,4)</f>
        <v>0</v>
      </c>
      <c r="V241" s="175"/>
      <c r="W241" s="170"/>
      <c r="X241" s="179">
        <v>0.09</v>
      </c>
      <c r="Y241" s="216">
        <f>ROUND((R241+U241+W241)*X241,4)</f>
        <v>0.24030000000000001</v>
      </c>
      <c r="Z241" s="216">
        <f>R241+U241+W241+Y241</f>
        <v>2.9102999999999999</v>
      </c>
      <c r="AA241" s="180">
        <f>ROUND(Z241*$D$8,0)</f>
        <v>6810102</v>
      </c>
      <c r="AB241" s="180"/>
      <c r="AC241" s="180">
        <f>AA241/24*AB241</f>
        <v>0</v>
      </c>
      <c r="AD241" s="180">
        <v>0</v>
      </c>
      <c r="AE241" s="180">
        <f>ROUND(AA241-AC241+AD241,0)</f>
        <v>6810102</v>
      </c>
      <c r="AF241" s="178">
        <f>AA241*8%</f>
        <v>544808.16</v>
      </c>
      <c r="AG241" s="178">
        <f>AA241*1.5%</f>
        <v>102151.53</v>
      </c>
      <c r="AH241" s="178">
        <f>AA241*1%</f>
        <v>68101.02</v>
      </c>
      <c r="AI241" s="178"/>
      <c r="AJ241" s="178">
        <f>SUM(AF241:AI241)</f>
        <v>715060.71000000008</v>
      </c>
      <c r="AK241" s="192"/>
      <c r="AL241" s="535">
        <f t="shared" si="112"/>
        <v>0</v>
      </c>
      <c r="AM241" s="182"/>
      <c r="AN241" s="182"/>
      <c r="AO241" s="183">
        <f>R241+U241+W241</f>
        <v>2.67</v>
      </c>
      <c r="AP241" s="246">
        <v>0.25</v>
      </c>
      <c r="AQ241" s="185">
        <f>ROUND(AO241*AP241,4)</f>
        <v>0.66749999999999998</v>
      </c>
      <c r="AR241" s="178">
        <f>ROUND(AQ241*$D$8,0)</f>
        <v>1561950</v>
      </c>
      <c r="AS241" s="178"/>
      <c r="AT241" s="178">
        <f>ROUND(AE241-AJ241+AL241+AN241+AR241,0)</f>
        <v>7656991</v>
      </c>
      <c r="AU241" s="469">
        <f>A241</f>
        <v>223</v>
      </c>
      <c r="AV241" s="195"/>
      <c r="AW241" s="658"/>
    </row>
    <row r="242" spans="1:52" s="189" customFormat="1" ht="30.75" customHeight="1" x14ac:dyDescent="0.25">
      <c r="A242" s="168">
        <f>_xlfn.AGGREGATE(4,7,A$13:A241)+1</f>
        <v>224</v>
      </c>
      <c r="B242" s="168" t="str">
        <f>VLOOKUP(D242,[1]LuongBC_T01!$B$9:$C$292,2,FALSE)</f>
        <v>0016100006643005</v>
      </c>
      <c r="C242" s="387" t="s">
        <v>901</v>
      </c>
      <c r="D242" s="169" t="s">
        <v>809</v>
      </c>
      <c r="E242" s="263" t="s">
        <v>1391</v>
      </c>
      <c r="F242" s="220"/>
      <c r="G242" s="220"/>
      <c r="H242" s="220"/>
      <c r="I242" s="220"/>
      <c r="J242" s="220"/>
      <c r="K242" s="168" t="s">
        <v>1346</v>
      </c>
      <c r="L242" s="220"/>
      <c r="M242" s="170" t="s">
        <v>901</v>
      </c>
      <c r="N242" s="263" t="str">
        <f>VLOOKUP(D242,'[6]Bao cao So GDDT'!$D$14:$S$282,11,FALSE)</f>
        <v>Giảng viên GDNN LT (hạng III)</v>
      </c>
      <c r="O242" s="390" t="s">
        <v>1438</v>
      </c>
      <c r="P242" s="170" t="s">
        <v>692</v>
      </c>
      <c r="Q242" s="170">
        <v>2</v>
      </c>
      <c r="R242" s="177">
        <v>3.66</v>
      </c>
      <c r="S242" s="176">
        <f t="shared" ref="S242:S247" si="114">U242+W242+Y242</f>
        <v>0.87560000000000004</v>
      </c>
      <c r="T242" s="220"/>
      <c r="U242" s="176">
        <f t="shared" si="95"/>
        <v>0</v>
      </c>
      <c r="V242" s="175">
        <f t="shared" ref="V242:V247" si="115">R242*T242*$D$8/100</f>
        <v>0</v>
      </c>
      <c r="W242" s="170">
        <v>0.25</v>
      </c>
      <c r="X242" s="179">
        <v>0.16</v>
      </c>
      <c r="Y242" s="216">
        <f t="shared" si="96"/>
        <v>0.62560000000000004</v>
      </c>
      <c r="Z242" s="216">
        <f t="shared" si="97"/>
        <v>4.5356000000000005</v>
      </c>
      <c r="AA242" s="180">
        <f t="shared" si="98"/>
        <v>10613304</v>
      </c>
      <c r="AB242" s="180"/>
      <c r="AC242" s="180">
        <f t="shared" si="99"/>
        <v>0</v>
      </c>
      <c r="AD242" s="180">
        <f t="shared" si="113"/>
        <v>0</v>
      </c>
      <c r="AE242" s="180">
        <f t="shared" si="100"/>
        <v>10613304</v>
      </c>
      <c r="AF242" s="178">
        <f t="shared" si="101"/>
        <v>849064.32000000007</v>
      </c>
      <c r="AG242" s="178">
        <f t="shared" si="102"/>
        <v>159199.56</v>
      </c>
      <c r="AH242" s="178">
        <f t="shared" si="103"/>
        <v>106133.04000000001</v>
      </c>
      <c r="AI242" s="178"/>
      <c r="AJ242" s="178">
        <f t="shared" si="90"/>
        <v>1114396.9200000002</v>
      </c>
      <c r="AK242" s="192"/>
      <c r="AL242" s="535">
        <f t="shared" si="112"/>
        <v>0</v>
      </c>
      <c r="AM242" s="182"/>
      <c r="AN242" s="182"/>
      <c r="AO242" s="183">
        <f t="shared" si="92"/>
        <v>3.91</v>
      </c>
      <c r="AP242" s="246">
        <v>0.25</v>
      </c>
      <c r="AQ242" s="185">
        <f t="shared" si="104"/>
        <v>0.97750000000000004</v>
      </c>
      <c r="AR242" s="178">
        <f t="shared" si="105"/>
        <v>2287350</v>
      </c>
      <c r="AS242" s="178"/>
      <c r="AT242" s="178">
        <f t="shared" si="106"/>
        <v>11786257</v>
      </c>
      <c r="AU242" s="469">
        <f t="shared" si="107"/>
        <v>224</v>
      </c>
      <c r="AV242" s="195"/>
      <c r="AW242" s="198"/>
    </row>
    <row r="243" spans="1:52" s="189" customFormat="1" ht="30.75" customHeight="1" x14ac:dyDescent="0.25">
      <c r="A243" s="168">
        <f>_xlfn.AGGREGATE(4,7,A$13:A242)+1</f>
        <v>225</v>
      </c>
      <c r="B243" s="168" t="str">
        <f>VLOOKUP(D243,[1]LuongBC_T01!$B$9:$C$292,2,FALSE)</f>
        <v>0016100006581007</v>
      </c>
      <c r="C243" s="199" t="s">
        <v>994</v>
      </c>
      <c r="D243" s="169" t="s">
        <v>570</v>
      </c>
      <c r="E243" s="263" t="s">
        <v>1376</v>
      </c>
      <c r="F243" s="169" t="s">
        <v>549</v>
      </c>
      <c r="G243" s="200" t="s">
        <v>25</v>
      </c>
      <c r="H243" s="200" t="s">
        <v>283</v>
      </c>
      <c r="I243" s="200" t="s">
        <v>283</v>
      </c>
      <c r="J243" s="200" t="s">
        <v>587</v>
      </c>
      <c r="K243" s="168" t="s">
        <v>1343</v>
      </c>
      <c r="L243" s="201" t="s">
        <v>609</v>
      </c>
      <c r="M243" s="201" t="s">
        <v>994</v>
      </c>
      <c r="N243" s="263" t="str">
        <f>VLOOKUP(D243,'[6]Bao cao So GDDT'!$D$14:$S$282,11,FALSE)</f>
        <v>Giảng viên GDNN LT (hạng III)</v>
      </c>
      <c r="O243" s="390" t="s">
        <v>1438</v>
      </c>
      <c r="P243" s="170" t="s">
        <v>692</v>
      </c>
      <c r="Q243" s="170">
        <v>3</v>
      </c>
      <c r="R243" s="177">
        <v>3.66</v>
      </c>
      <c r="S243" s="176">
        <f t="shared" si="114"/>
        <v>0.51239999999999997</v>
      </c>
      <c r="T243" s="220"/>
      <c r="U243" s="176">
        <f t="shared" si="95"/>
        <v>0</v>
      </c>
      <c r="V243" s="175">
        <f t="shared" si="115"/>
        <v>0</v>
      </c>
      <c r="W243" s="170"/>
      <c r="X243" s="179">
        <v>0.14000000000000001</v>
      </c>
      <c r="Y243" s="216">
        <f t="shared" si="96"/>
        <v>0.51239999999999997</v>
      </c>
      <c r="Z243" s="216">
        <f t="shared" si="97"/>
        <v>4.1723999999999997</v>
      </c>
      <c r="AA243" s="180">
        <f t="shared" si="98"/>
        <v>9763416</v>
      </c>
      <c r="AB243" s="180"/>
      <c r="AC243" s="180">
        <f t="shared" si="99"/>
        <v>0</v>
      </c>
      <c r="AD243" s="180">
        <v>0</v>
      </c>
      <c r="AE243" s="180">
        <f t="shared" si="100"/>
        <v>9763416</v>
      </c>
      <c r="AF243" s="178">
        <f t="shared" si="101"/>
        <v>781073.28</v>
      </c>
      <c r="AG243" s="178">
        <f t="shared" si="102"/>
        <v>146451.24</v>
      </c>
      <c r="AH243" s="178">
        <f t="shared" si="103"/>
        <v>97634.16</v>
      </c>
      <c r="AI243" s="178"/>
      <c r="AJ243" s="178">
        <f t="shared" si="90"/>
        <v>1025158.68</v>
      </c>
      <c r="AK243" s="192"/>
      <c r="AL243" s="535">
        <f t="shared" si="112"/>
        <v>0</v>
      </c>
      <c r="AM243" s="182"/>
      <c r="AN243" s="182"/>
      <c r="AO243" s="193">
        <f t="shared" si="92"/>
        <v>3.66</v>
      </c>
      <c r="AP243" s="246">
        <v>0.25</v>
      </c>
      <c r="AQ243" s="194">
        <f t="shared" si="104"/>
        <v>0.91500000000000004</v>
      </c>
      <c r="AR243" s="178">
        <f t="shared" si="105"/>
        <v>2141100</v>
      </c>
      <c r="AS243" s="178"/>
      <c r="AT243" s="178">
        <f t="shared" si="106"/>
        <v>10879357</v>
      </c>
      <c r="AU243" s="469">
        <f t="shared" si="107"/>
        <v>225</v>
      </c>
      <c r="AV243" s="195"/>
      <c r="AW243" s="198" t="s">
        <v>704</v>
      </c>
    </row>
    <row r="244" spans="1:52" s="189" customFormat="1" ht="30.75" customHeight="1" x14ac:dyDescent="0.25">
      <c r="A244" s="168">
        <f>_xlfn.AGGREGATE(4,7,A$13:A243)+1</f>
        <v>226</v>
      </c>
      <c r="B244" s="168" t="str">
        <f>VLOOKUP(D244,[1]LuongBC_T01!$B$9:$C$292,2,FALSE)</f>
        <v>0016100006591005</v>
      </c>
      <c r="C244" s="199" t="s">
        <v>961</v>
      </c>
      <c r="D244" s="169" t="s">
        <v>290</v>
      </c>
      <c r="E244" s="263" t="s">
        <v>1376</v>
      </c>
      <c r="F244" s="169" t="s">
        <v>549</v>
      </c>
      <c r="G244" s="170" t="s">
        <v>25</v>
      </c>
      <c r="H244" s="170" t="s">
        <v>283</v>
      </c>
      <c r="I244" s="200" t="s">
        <v>283</v>
      </c>
      <c r="J244" s="220" t="s">
        <v>291</v>
      </c>
      <c r="K244" s="170" t="str">
        <f>VLOOKUP(D244,[2]T3!$B$2:$D$328,3,FALSE)</f>
        <v>024280248</v>
      </c>
      <c r="L244" s="171" t="s">
        <v>292</v>
      </c>
      <c r="M244" s="171" t="s">
        <v>961</v>
      </c>
      <c r="N244" s="263" t="str">
        <f>VLOOKUP(D244,'[6]Bao cao So GDDT'!$D$14:$S$282,11,FALSE)</f>
        <v>Giảng viên GDNN LT (hạng III)</v>
      </c>
      <c r="O244" s="390" t="s">
        <v>1438</v>
      </c>
      <c r="P244" s="172" t="s">
        <v>692</v>
      </c>
      <c r="Q244" s="173">
        <v>4</v>
      </c>
      <c r="R244" s="174">
        <v>4.32</v>
      </c>
      <c r="S244" s="176">
        <f t="shared" si="114"/>
        <v>0.77759999999999996</v>
      </c>
      <c r="T244" s="370"/>
      <c r="U244" s="176">
        <f t="shared" si="95"/>
        <v>0</v>
      </c>
      <c r="V244" s="175">
        <f t="shared" si="115"/>
        <v>0</v>
      </c>
      <c r="W244" s="170"/>
      <c r="X244" s="179">
        <v>0.18</v>
      </c>
      <c r="Y244" s="216">
        <f t="shared" si="96"/>
        <v>0.77759999999999996</v>
      </c>
      <c r="Z244" s="216">
        <f t="shared" si="97"/>
        <v>5.0975999999999999</v>
      </c>
      <c r="AA244" s="180">
        <f t="shared" si="98"/>
        <v>11928384</v>
      </c>
      <c r="AB244" s="180"/>
      <c r="AC244" s="180">
        <f t="shared" si="99"/>
        <v>0</v>
      </c>
      <c r="AD244" s="180">
        <f>AA244/24*AB244*75%</f>
        <v>0</v>
      </c>
      <c r="AE244" s="180">
        <f t="shared" si="100"/>
        <v>11928384</v>
      </c>
      <c r="AF244" s="178">
        <f t="shared" si="101"/>
        <v>954270.71999999997</v>
      </c>
      <c r="AG244" s="178">
        <f t="shared" si="102"/>
        <v>178925.75999999998</v>
      </c>
      <c r="AH244" s="178">
        <f t="shared" si="103"/>
        <v>119283.84</v>
      </c>
      <c r="AI244" s="178"/>
      <c r="AJ244" s="178">
        <f t="shared" si="90"/>
        <v>1252480.32</v>
      </c>
      <c r="AK244" s="192"/>
      <c r="AL244" s="535">
        <f t="shared" si="112"/>
        <v>0</v>
      </c>
      <c r="AM244" s="182"/>
      <c r="AN244" s="182"/>
      <c r="AO244" s="193">
        <f t="shared" si="92"/>
        <v>4.32</v>
      </c>
      <c r="AP244" s="246">
        <v>0.25</v>
      </c>
      <c r="AQ244" s="194">
        <f t="shared" si="104"/>
        <v>1.08</v>
      </c>
      <c r="AR244" s="178">
        <f t="shared" si="105"/>
        <v>2527200</v>
      </c>
      <c r="AS244" s="178"/>
      <c r="AT244" s="178">
        <f t="shared" si="106"/>
        <v>13203104</v>
      </c>
      <c r="AU244" s="469">
        <f t="shared" si="107"/>
        <v>226</v>
      </c>
      <c r="AV244" s="186"/>
      <c r="AW244" s="198" t="s">
        <v>704</v>
      </c>
    </row>
    <row r="245" spans="1:52" s="189" customFormat="1" ht="34.5" customHeight="1" x14ac:dyDescent="0.25">
      <c r="A245" s="168">
        <f>_xlfn.AGGREGATE(4,7,A$13:A244)+1</f>
        <v>227</v>
      </c>
      <c r="B245" s="168" t="str">
        <f>VLOOKUP(D245,[1]LuongBC_T01!$B$9:$C$292,2,FALSE)</f>
        <v>0016100006610007</v>
      </c>
      <c r="C245" s="512" t="s">
        <v>1004</v>
      </c>
      <c r="D245" s="169" t="s">
        <v>1230</v>
      </c>
      <c r="E245" s="263" t="s">
        <v>1392</v>
      </c>
      <c r="F245" s="169" t="s">
        <v>549</v>
      </c>
      <c r="G245" s="200"/>
      <c r="H245" s="200" t="s">
        <v>283</v>
      </c>
      <c r="I245" s="200" t="s">
        <v>283</v>
      </c>
      <c r="J245" s="200"/>
      <c r="K245" s="170" t="str">
        <f>VLOOKUP(D245,[2]T3!$B$2:$D$328,3,FALSE)</f>
        <v>025764174</v>
      </c>
      <c r="L245" s="213" t="s">
        <v>674</v>
      </c>
      <c r="M245" s="213" t="s">
        <v>1004</v>
      </c>
      <c r="N245" s="263" t="str">
        <f>VLOOKUP(D245,'[6]Bao cao So GDDT'!$D$14:$S$282,11,FALSE)</f>
        <v>Giảng viên GDNN LT (hạng III)</v>
      </c>
      <c r="O245" s="390" t="s">
        <v>1438</v>
      </c>
      <c r="P245" s="222" t="s">
        <v>692</v>
      </c>
      <c r="Q245" s="172">
        <v>3</v>
      </c>
      <c r="R245" s="430">
        <v>3.66</v>
      </c>
      <c r="S245" s="176">
        <f t="shared" si="114"/>
        <v>0.4758</v>
      </c>
      <c r="T245" s="220"/>
      <c r="U245" s="176">
        <f t="shared" si="95"/>
        <v>0</v>
      </c>
      <c r="V245" s="175">
        <f t="shared" si="115"/>
        <v>0</v>
      </c>
      <c r="W245" s="170"/>
      <c r="X245" s="179">
        <v>0.13</v>
      </c>
      <c r="Y245" s="216">
        <f t="shared" si="96"/>
        <v>0.4758</v>
      </c>
      <c r="Z245" s="216">
        <f t="shared" si="97"/>
        <v>4.1357999999999997</v>
      </c>
      <c r="AA245" s="180">
        <f t="shared" si="98"/>
        <v>9677772</v>
      </c>
      <c r="AB245" s="180"/>
      <c r="AC245" s="180">
        <f t="shared" si="99"/>
        <v>0</v>
      </c>
      <c r="AD245" s="180">
        <v>0</v>
      </c>
      <c r="AE245" s="180">
        <f t="shared" si="100"/>
        <v>9677772</v>
      </c>
      <c r="AF245" s="178">
        <f t="shared" si="101"/>
        <v>774221.76</v>
      </c>
      <c r="AG245" s="178">
        <f t="shared" si="102"/>
        <v>145166.57999999999</v>
      </c>
      <c r="AH245" s="178">
        <f t="shared" si="103"/>
        <v>96777.72</v>
      </c>
      <c r="AI245" s="178"/>
      <c r="AJ245" s="178">
        <f t="shared" si="90"/>
        <v>1016166.0599999999</v>
      </c>
      <c r="AK245" s="192"/>
      <c r="AL245" s="535">
        <f t="shared" si="112"/>
        <v>0</v>
      </c>
      <c r="AM245" s="182"/>
      <c r="AN245" s="182"/>
      <c r="AO245" s="193">
        <f t="shared" si="92"/>
        <v>3.66</v>
      </c>
      <c r="AP245" s="246">
        <v>0.25</v>
      </c>
      <c r="AQ245" s="194">
        <f t="shared" si="104"/>
        <v>0.91500000000000004</v>
      </c>
      <c r="AR245" s="178">
        <f t="shared" si="105"/>
        <v>2141100</v>
      </c>
      <c r="AS245" s="178"/>
      <c r="AT245" s="178">
        <f t="shared" si="106"/>
        <v>10802706</v>
      </c>
      <c r="AU245" s="469">
        <f t="shared" si="107"/>
        <v>227</v>
      </c>
      <c r="AV245" s="195"/>
      <c r="AW245" s="198" t="s">
        <v>704</v>
      </c>
    </row>
    <row r="246" spans="1:52" s="189" customFormat="1" ht="36" customHeight="1" x14ac:dyDescent="0.25">
      <c r="A246" s="168">
        <f>_xlfn.AGGREGATE(4,7,A$13:A245)+1</f>
        <v>228</v>
      </c>
      <c r="B246" s="168" t="str">
        <f>VLOOKUP(D246,[1]LuongBC_T01!$B$9:$C$292,2,FALSE)</f>
        <v>0016100006584009</v>
      </c>
      <c r="C246" s="199" t="s">
        <v>1002</v>
      </c>
      <c r="D246" s="169" t="s">
        <v>669</v>
      </c>
      <c r="E246" s="263" t="s">
        <v>1392</v>
      </c>
      <c r="F246" s="169" t="s">
        <v>549</v>
      </c>
      <c r="G246" s="200"/>
      <c r="H246" s="200" t="s">
        <v>283</v>
      </c>
      <c r="I246" s="200" t="s">
        <v>283</v>
      </c>
      <c r="J246" s="200"/>
      <c r="K246" s="170" t="str">
        <f>VLOOKUP(D246,[2]T3!$B$2:$D$328,3,FALSE)</f>
        <v>025633696</v>
      </c>
      <c r="L246" s="201" t="s">
        <v>673</v>
      </c>
      <c r="M246" s="201" t="s">
        <v>1002</v>
      </c>
      <c r="N246" s="263" t="str">
        <f>VLOOKUP(D246,'[6]Bao cao So GDDT'!$D$14:$S$282,11,FALSE)</f>
        <v>Giảng viên GDNN LT (hạng III)</v>
      </c>
      <c r="O246" s="390" t="s">
        <v>1438</v>
      </c>
      <c r="P246" s="222" t="s">
        <v>692</v>
      </c>
      <c r="Q246" s="172">
        <v>3</v>
      </c>
      <c r="R246" s="430">
        <v>3.66</v>
      </c>
      <c r="S246" s="176">
        <f t="shared" si="114"/>
        <v>0.4758</v>
      </c>
      <c r="T246" s="220"/>
      <c r="U246" s="176">
        <f t="shared" si="95"/>
        <v>0</v>
      </c>
      <c r="V246" s="175">
        <f t="shared" si="115"/>
        <v>0</v>
      </c>
      <c r="W246" s="170"/>
      <c r="X246" s="179">
        <v>0.13</v>
      </c>
      <c r="Y246" s="216">
        <f t="shared" si="96"/>
        <v>0.4758</v>
      </c>
      <c r="Z246" s="216">
        <f t="shared" si="97"/>
        <v>4.1357999999999997</v>
      </c>
      <c r="AA246" s="180">
        <f t="shared" si="98"/>
        <v>9677772</v>
      </c>
      <c r="AB246" s="180"/>
      <c r="AC246" s="180">
        <f t="shared" si="99"/>
        <v>0</v>
      </c>
      <c r="AD246" s="180">
        <v>0</v>
      </c>
      <c r="AE246" s="180">
        <f t="shared" si="100"/>
        <v>9677772</v>
      </c>
      <c r="AF246" s="178">
        <f t="shared" si="101"/>
        <v>774221.76</v>
      </c>
      <c r="AG246" s="178">
        <f t="shared" si="102"/>
        <v>145166.57999999999</v>
      </c>
      <c r="AH246" s="178">
        <f t="shared" si="103"/>
        <v>96777.72</v>
      </c>
      <c r="AI246" s="178"/>
      <c r="AJ246" s="178">
        <f t="shared" si="90"/>
        <v>1016166.0599999999</v>
      </c>
      <c r="AK246" s="192"/>
      <c r="AL246" s="535">
        <f t="shared" si="112"/>
        <v>0</v>
      </c>
      <c r="AM246" s="182"/>
      <c r="AN246" s="182"/>
      <c r="AO246" s="193">
        <f t="shared" si="92"/>
        <v>3.66</v>
      </c>
      <c r="AP246" s="246">
        <v>0.25</v>
      </c>
      <c r="AQ246" s="194">
        <f t="shared" si="104"/>
        <v>0.91500000000000004</v>
      </c>
      <c r="AR246" s="178">
        <f t="shared" si="105"/>
        <v>2141100</v>
      </c>
      <c r="AS246" s="178"/>
      <c r="AT246" s="178">
        <f t="shared" si="106"/>
        <v>10802706</v>
      </c>
      <c r="AU246" s="469">
        <f t="shared" si="107"/>
        <v>228</v>
      </c>
      <c r="AV246" s="195"/>
      <c r="AW246" s="198" t="s">
        <v>704</v>
      </c>
    </row>
    <row r="247" spans="1:52" s="189" customFormat="1" ht="30.75" customHeight="1" x14ac:dyDescent="0.25">
      <c r="A247" s="168">
        <f>_xlfn.AGGREGATE(4,7,A$13:A246)+1</f>
        <v>229</v>
      </c>
      <c r="B247" s="168" t="str">
        <f>VLOOKUP(D247,[1]LuongBC_T01!$B$9:$C$292,2,FALSE)</f>
        <v>0016100006555009</v>
      </c>
      <c r="C247" s="199" t="s">
        <v>969</v>
      </c>
      <c r="D247" s="169" t="s">
        <v>68</v>
      </c>
      <c r="E247" s="263" t="s">
        <v>1376</v>
      </c>
      <c r="F247" s="169" t="s">
        <v>549</v>
      </c>
      <c r="G247" s="200"/>
      <c r="H247" s="200" t="s">
        <v>283</v>
      </c>
      <c r="I247" s="170" t="s">
        <v>283</v>
      </c>
      <c r="J247" s="169" t="s">
        <v>250</v>
      </c>
      <c r="K247" s="168" t="s">
        <v>1342</v>
      </c>
      <c r="L247" s="171" t="s">
        <v>117</v>
      </c>
      <c r="M247" s="171" t="s">
        <v>969</v>
      </c>
      <c r="N247" s="263" t="str">
        <f>VLOOKUP(D247,'[6]Bao cao So GDDT'!$D$14:$S$282,11,FALSE)</f>
        <v>Giảng viên GDNN LT (hạng III)</v>
      </c>
      <c r="O247" s="390" t="s">
        <v>1438</v>
      </c>
      <c r="P247" s="172" t="s">
        <v>692</v>
      </c>
      <c r="Q247" s="173">
        <v>4</v>
      </c>
      <c r="R247" s="174">
        <v>3.99</v>
      </c>
      <c r="S247" s="176">
        <f t="shared" si="114"/>
        <v>0.7581</v>
      </c>
      <c r="T247" s="370"/>
      <c r="U247" s="176">
        <f t="shared" si="95"/>
        <v>0</v>
      </c>
      <c r="V247" s="175">
        <f t="shared" si="115"/>
        <v>0</v>
      </c>
      <c r="W247" s="170"/>
      <c r="X247" s="179">
        <v>0.19</v>
      </c>
      <c r="Y247" s="216">
        <f t="shared" si="96"/>
        <v>0.7581</v>
      </c>
      <c r="Z247" s="216">
        <f t="shared" si="97"/>
        <v>4.7481</v>
      </c>
      <c r="AA247" s="180">
        <f t="shared" si="98"/>
        <v>11110554</v>
      </c>
      <c r="AB247" s="180"/>
      <c r="AC247" s="180">
        <f t="shared" si="99"/>
        <v>0</v>
      </c>
      <c r="AD247" s="180">
        <f t="shared" ref="AD247:AD264" si="116">AA247/24*AB247*75%</f>
        <v>0</v>
      </c>
      <c r="AE247" s="180">
        <f t="shared" si="100"/>
        <v>11110554</v>
      </c>
      <c r="AF247" s="178">
        <f t="shared" si="101"/>
        <v>888844.32000000007</v>
      </c>
      <c r="AG247" s="178">
        <f t="shared" si="102"/>
        <v>166658.31</v>
      </c>
      <c r="AH247" s="178">
        <f t="shared" si="103"/>
        <v>111105.54000000001</v>
      </c>
      <c r="AI247" s="178"/>
      <c r="AJ247" s="178">
        <f t="shared" si="90"/>
        <v>1166608.1700000002</v>
      </c>
      <c r="AK247" s="192"/>
      <c r="AL247" s="535">
        <f t="shared" si="112"/>
        <v>0</v>
      </c>
      <c r="AM247" s="182"/>
      <c r="AN247" s="182"/>
      <c r="AO247" s="193">
        <f t="shared" si="92"/>
        <v>3.99</v>
      </c>
      <c r="AP247" s="246">
        <v>0.25</v>
      </c>
      <c r="AQ247" s="194">
        <f t="shared" si="104"/>
        <v>0.99750000000000005</v>
      </c>
      <c r="AR247" s="178">
        <f t="shared" si="105"/>
        <v>2334150</v>
      </c>
      <c r="AS247" s="178"/>
      <c r="AT247" s="178">
        <f t="shared" si="106"/>
        <v>12278096</v>
      </c>
      <c r="AU247" s="469">
        <f t="shared" si="107"/>
        <v>229</v>
      </c>
      <c r="AV247" s="195"/>
      <c r="AW247" s="198" t="s">
        <v>704</v>
      </c>
    </row>
    <row r="248" spans="1:52" s="191" customFormat="1" ht="30.75" customHeight="1" x14ac:dyDescent="0.25">
      <c r="A248" s="168">
        <f>_xlfn.AGGREGATE(4,7,A$13:A247)+1</f>
        <v>230</v>
      </c>
      <c r="B248" s="168"/>
      <c r="C248" s="199" t="s">
        <v>1567</v>
      </c>
      <c r="D248" s="169" t="s">
        <v>1511</v>
      </c>
      <c r="E248" s="263" t="s">
        <v>1376</v>
      </c>
      <c r="F248" s="220"/>
      <c r="G248" s="200"/>
      <c r="H248" s="200"/>
      <c r="I248" s="200"/>
      <c r="J248" s="220"/>
      <c r="K248" s="170"/>
      <c r="L248" s="241"/>
      <c r="M248" s="241"/>
      <c r="N248" s="263" t="str">
        <f>VLOOKUP(D248,'[6]Bao cao So GDDT'!$D$14:$S$282,11,FALSE)</f>
        <v>Giáo viên GDNN LT (hạng III)</v>
      </c>
      <c r="O248" s="390" t="s">
        <v>1438</v>
      </c>
      <c r="P248" s="172"/>
      <c r="Q248" s="173"/>
      <c r="R248" s="174">
        <v>3.99</v>
      </c>
      <c r="S248" s="176"/>
      <c r="T248" s="377"/>
      <c r="U248" s="176">
        <f t="shared" si="95"/>
        <v>0</v>
      </c>
      <c r="V248" s="175"/>
      <c r="W248" s="200"/>
      <c r="X248" s="179">
        <v>0.16</v>
      </c>
      <c r="Y248" s="216">
        <f t="shared" si="96"/>
        <v>0.63839999999999997</v>
      </c>
      <c r="Z248" s="216">
        <f t="shared" si="97"/>
        <v>4.6284000000000001</v>
      </c>
      <c r="AA248" s="180">
        <f t="shared" si="98"/>
        <v>10830456</v>
      </c>
      <c r="AB248" s="180"/>
      <c r="AC248" s="180">
        <f t="shared" si="99"/>
        <v>0</v>
      </c>
      <c r="AD248" s="180">
        <f t="shared" si="116"/>
        <v>0</v>
      </c>
      <c r="AE248" s="180">
        <f t="shared" si="100"/>
        <v>10830456</v>
      </c>
      <c r="AF248" s="178">
        <f t="shared" si="101"/>
        <v>866436.48</v>
      </c>
      <c r="AG248" s="178">
        <f t="shared" si="102"/>
        <v>162456.84</v>
      </c>
      <c r="AH248" s="178">
        <f t="shared" si="103"/>
        <v>108304.56</v>
      </c>
      <c r="AI248" s="178"/>
      <c r="AJ248" s="178">
        <f t="shared" si="90"/>
        <v>1137197.8799999999</v>
      </c>
      <c r="AK248" s="181"/>
      <c r="AL248" s="535">
        <f t="shared" si="112"/>
        <v>0</v>
      </c>
      <c r="AM248" s="182"/>
      <c r="AN248" s="182"/>
      <c r="AO248" s="193">
        <f t="shared" si="92"/>
        <v>3.99</v>
      </c>
      <c r="AP248" s="179">
        <v>0.25</v>
      </c>
      <c r="AQ248" s="185">
        <f t="shared" si="104"/>
        <v>0.99750000000000005</v>
      </c>
      <c r="AR248" s="178">
        <f t="shared" si="105"/>
        <v>2334150</v>
      </c>
      <c r="AS248" s="178"/>
      <c r="AT248" s="178">
        <f t="shared" si="106"/>
        <v>12027408</v>
      </c>
      <c r="AU248" s="469">
        <f t="shared" si="107"/>
        <v>230</v>
      </c>
      <c r="AV248" s="195"/>
      <c r="AW248" s="198"/>
    </row>
    <row r="249" spans="1:52" s="189" customFormat="1" ht="30.75" customHeight="1" x14ac:dyDescent="0.25">
      <c r="A249" s="168">
        <f>_xlfn.AGGREGATE(4,7,A$13:A248)+1</f>
        <v>231</v>
      </c>
      <c r="B249" s="168" t="str">
        <f>VLOOKUP(D249,[1]LuongBC_T01!$B$9:$C$292,2,FALSE)</f>
        <v>0016100007189006</v>
      </c>
      <c r="C249" s="170" t="s">
        <v>1322</v>
      </c>
      <c r="D249" s="169" t="s">
        <v>1271</v>
      </c>
      <c r="E249" s="263" t="s">
        <v>1376</v>
      </c>
      <c r="F249" s="220"/>
      <c r="G249" s="220"/>
      <c r="H249" s="220"/>
      <c r="I249" s="220"/>
      <c r="J249" s="220"/>
      <c r="K249" s="456" t="str">
        <f>VLOOKUP(D249,[2]T3!$B$2:$D$328,3,FALSE)</f>
        <v>051088000077</v>
      </c>
      <c r="L249" s="220"/>
      <c r="M249" s="170"/>
      <c r="N249" s="263" t="str">
        <f>VLOOKUP(D249,'[6]Bao cao So GDDT'!$D$14:$S$282,11,FALSE)</f>
        <v>Giảng viên GDNN LT (hạng III)</v>
      </c>
      <c r="O249" s="390" t="s">
        <v>1438</v>
      </c>
      <c r="P249" s="251" t="s">
        <v>1267</v>
      </c>
      <c r="Q249" s="251">
        <v>2</v>
      </c>
      <c r="R249" s="177">
        <v>3.33</v>
      </c>
      <c r="S249" s="176"/>
      <c r="T249" s="220"/>
      <c r="U249" s="176">
        <f t="shared" si="95"/>
        <v>0</v>
      </c>
      <c r="V249" s="175"/>
      <c r="W249" s="170"/>
      <c r="X249" s="179">
        <v>0.05</v>
      </c>
      <c r="Y249" s="216">
        <f t="shared" si="96"/>
        <v>0.16650000000000001</v>
      </c>
      <c r="Z249" s="216">
        <f t="shared" si="97"/>
        <v>3.4965000000000002</v>
      </c>
      <c r="AA249" s="180">
        <f t="shared" si="98"/>
        <v>8181810</v>
      </c>
      <c r="AB249" s="180"/>
      <c r="AC249" s="180">
        <f t="shared" si="99"/>
        <v>0</v>
      </c>
      <c r="AD249" s="180">
        <f t="shared" si="116"/>
        <v>0</v>
      </c>
      <c r="AE249" s="180">
        <f t="shared" si="100"/>
        <v>8181810</v>
      </c>
      <c r="AF249" s="178">
        <f t="shared" si="101"/>
        <v>654544.80000000005</v>
      </c>
      <c r="AG249" s="178">
        <f t="shared" si="102"/>
        <v>122727.15</v>
      </c>
      <c r="AH249" s="178">
        <f t="shared" si="103"/>
        <v>81818.100000000006</v>
      </c>
      <c r="AI249" s="178"/>
      <c r="AJ249" s="178">
        <f t="shared" si="90"/>
        <v>859090.05</v>
      </c>
      <c r="AK249" s="192"/>
      <c r="AL249" s="535">
        <f t="shared" si="112"/>
        <v>0</v>
      </c>
      <c r="AM249" s="182"/>
      <c r="AN249" s="182"/>
      <c r="AO249" s="183">
        <f t="shared" si="92"/>
        <v>3.33</v>
      </c>
      <c r="AP249" s="246">
        <v>0.25</v>
      </c>
      <c r="AQ249" s="185">
        <f t="shared" si="104"/>
        <v>0.83250000000000002</v>
      </c>
      <c r="AR249" s="178">
        <f t="shared" si="105"/>
        <v>1948050</v>
      </c>
      <c r="AS249" s="178"/>
      <c r="AT249" s="178">
        <f t="shared" si="106"/>
        <v>9270770</v>
      </c>
      <c r="AU249" s="469">
        <f t="shared" si="107"/>
        <v>231</v>
      </c>
      <c r="AV249" s="195"/>
      <c r="AW249" s="485" t="s">
        <v>1272</v>
      </c>
    </row>
    <row r="250" spans="1:52" s="189" customFormat="1" ht="30.75" customHeight="1" x14ac:dyDescent="0.25">
      <c r="A250" s="168">
        <f>_xlfn.AGGREGATE(4,7,A$13:A249)+1</f>
        <v>232</v>
      </c>
      <c r="B250" s="168" t="str">
        <f>VLOOKUP(D250,[1]LuongBC_T01!$B$9:$C$292,2,FALSE)</f>
        <v>0016100012091006</v>
      </c>
      <c r="C250" s="170" t="s">
        <v>1329</v>
      </c>
      <c r="D250" s="169" t="s">
        <v>1304</v>
      </c>
      <c r="E250" s="263" t="s">
        <v>1625</v>
      </c>
      <c r="F250" s="220"/>
      <c r="G250" s="220"/>
      <c r="H250" s="220"/>
      <c r="I250" s="220"/>
      <c r="J250" s="220"/>
      <c r="K250" s="168" t="s">
        <v>1347</v>
      </c>
      <c r="L250" s="220"/>
      <c r="M250" s="170"/>
      <c r="N250" s="263" t="str">
        <f>VLOOKUP(D250,'[6]Bao cao So GDDT'!$D$14:$S$282,11,FALSE)</f>
        <v>Giảng viên GDNN LT (hạng III)</v>
      </c>
      <c r="O250" s="263" t="s">
        <v>1438</v>
      </c>
      <c r="P250" s="251"/>
      <c r="Q250" s="251"/>
      <c r="R250" s="170">
        <v>2.67</v>
      </c>
      <c r="S250" s="176"/>
      <c r="T250" s="220"/>
      <c r="U250" s="176">
        <f t="shared" si="95"/>
        <v>0</v>
      </c>
      <c r="V250" s="175"/>
      <c r="W250" s="170">
        <v>0.25</v>
      </c>
      <c r="X250" s="179">
        <f>VLOOKUP(D250,PCTN!D277:W544,20,FALSE)</f>
        <v>0</v>
      </c>
      <c r="Y250" s="216">
        <f t="shared" si="96"/>
        <v>0</v>
      </c>
      <c r="Z250" s="216">
        <f t="shared" si="97"/>
        <v>2.92</v>
      </c>
      <c r="AA250" s="180">
        <f t="shared" si="98"/>
        <v>6832800</v>
      </c>
      <c r="AB250" s="180"/>
      <c r="AC250" s="180">
        <f t="shared" si="99"/>
        <v>0</v>
      </c>
      <c r="AD250" s="180">
        <f t="shared" si="116"/>
        <v>0</v>
      </c>
      <c r="AE250" s="180">
        <f t="shared" si="100"/>
        <v>6832800</v>
      </c>
      <c r="AF250" s="178">
        <f t="shared" si="101"/>
        <v>546624</v>
      </c>
      <c r="AG250" s="178">
        <f t="shared" si="102"/>
        <v>102492</v>
      </c>
      <c r="AH250" s="178">
        <f t="shared" si="103"/>
        <v>68328</v>
      </c>
      <c r="AI250" s="178"/>
      <c r="AJ250" s="178">
        <f t="shared" si="90"/>
        <v>717444</v>
      </c>
      <c r="AK250" s="192"/>
      <c r="AL250" s="535">
        <f t="shared" si="112"/>
        <v>0</v>
      </c>
      <c r="AM250" s="182"/>
      <c r="AN250" s="182"/>
      <c r="AO250" s="183">
        <f t="shared" si="92"/>
        <v>2.92</v>
      </c>
      <c r="AP250" s="246">
        <v>0.25</v>
      </c>
      <c r="AQ250" s="185">
        <f t="shared" si="104"/>
        <v>0.73</v>
      </c>
      <c r="AR250" s="178">
        <f t="shared" si="105"/>
        <v>1708200</v>
      </c>
      <c r="AS250" s="178"/>
      <c r="AT250" s="178">
        <f t="shared" si="106"/>
        <v>7823556</v>
      </c>
      <c r="AU250" s="469">
        <f t="shared" si="107"/>
        <v>232</v>
      </c>
      <c r="AV250" s="195"/>
      <c r="AW250" s="485"/>
    </row>
    <row r="251" spans="1:52" s="189" customFormat="1" ht="30.75" customHeight="1" x14ac:dyDescent="0.25">
      <c r="A251" s="168">
        <f>_xlfn.AGGREGATE(4,7,A$13:A250)+1</f>
        <v>233</v>
      </c>
      <c r="B251" s="168" t="str">
        <f>VLOOKUP(D251,[1]LuongBC_T01!$B$9:$C$292,2,FALSE)</f>
        <v>0016100007188007</v>
      </c>
      <c r="C251" s="170" t="s">
        <v>1330</v>
      </c>
      <c r="D251" s="169" t="s">
        <v>1273</v>
      </c>
      <c r="E251" s="263" t="s">
        <v>1625</v>
      </c>
      <c r="F251" s="220"/>
      <c r="G251" s="220"/>
      <c r="H251" s="220"/>
      <c r="I251" s="220"/>
      <c r="J251" s="220"/>
      <c r="K251" s="170" t="str">
        <f>VLOOKUP(D251,[2]T3!$B$2:$D$328,3,FALSE)</f>
        <v>024255580</v>
      </c>
      <c r="L251" s="220"/>
      <c r="M251" s="170"/>
      <c r="N251" s="263" t="str">
        <f>VLOOKUP(D251,'[6]Bao cao So GDDT'!$D$14:$S$282,11,FALSE)</f>
        <v>Giảng viên GDNN LT (hạng III)</v>
      </c>
      <c r="O251" s="390" t="s">
        <v>1438</v>
      </c>
      <c r="P251" s="251" t="s">
        <v>1267</v>
      </c>
      <c r="Q251" s="251">
        <v>1</v>
      </c>
      <c r="R251" s="170">
        <v>2.67</v>
      </c>
      <c r="S251" s="176"/>
      <c r="T251" s="220"/>
      <c r="U251" s="176">
        <f t="shared" si="95"/>
        <v>0</v>
      </c>
      <c r="V251" s="175"/>
      <c r="W251" s="170">
        <v>0.25</v>
      </c>
      <c r="X251" s="179">
        <v>0.05</v>
      </c>
      <c r="Y251" s="216">
        <f t="shared" si="96"/>
        <v>0.14599999999999999</v>
      </c>
      <c r="Z251" s="216">
        <f t="shared" si="97"/>
        <v>3.0659999999999998</v>
      </c>
      <c r="AA251" s="180">
        <f t="shared" si="98"/>
        <v>7174440</v>
      </c>
      <c r="AB251" s="180"/>
      <c r="AC251" s="180">
        <f t="shared" si="99"/>
        <v>0</v>
      </c>
      <c r="AD251" s="180">
        <f t="shared" si="116"/>
        <v>0</v>
      </c>
      <c r="AE251" s="180">
        <f t="shared" si="100"/>
        <v>7174440</v>
      </c>
      <c r="AF251" s="178">
        <f t="shared" si="101"/>
        <v>573955.20000000007</v>
      </c>
      <c r="AG251" s="178">
        <f t="shared" si="102"/>
        <v>107616.59999999999</v>
      </c>
      <c r="AH251" s="178">
        <f t="shared" si="103"/>
        <v>71744.400000000009</v>
      </c>
      <c r="AI251" s="178"/>
      <c r="AJ251" s="178">
        <f t="shared" si="90"/>
        <v>753316.20000000007</v>
      </c>
      <c r="AK251" s="192"/>
      <c r="AL251" s="535">
        <f t="shared" si="112"/>
        <v>0</v>
      </c>
      <c r="AM251" s="182"/>
      <c r="AN251" s="182"/>
      <c r="AO251" s="183">
        <f t="shared" si="92"/>
        <v>2.92</v>
      </c>
      <c r="AP251" s="246">
        <v>0.25</v>
      </c>
      <c r="AQ251" s="185">
        <f t="shared" si="104"/>
        <v>0.73</v>
      </c>
      <c r="AR251" s="178">
        <f t="shared" si="105"/>
        <v>1708200</v>
      </c>
      <c r="AS251" s="178"/>
      <c r="AT251" s="178">
        <f t="shared" si="106"/>
        <v>8129324</v>
      </c>
      <c r="AU251" s="469">
        <f t="shared" si="107"/>
        <v>233</v>
      </c>
      <c r="AV251" s="195"/>
      <c r="AW251" s="485" t="s">
        <v>1139</v>
      </c>
    </row>
    <row r="252" spans="1:52" s="189" customFormat="1" ht="33" customHeight="1" x14ac:dyDescent="0.25">
      <c r="A252" s="168">
        <f>_xlfn.AGGREGATE(4,7,A$13:A251)+1</f>
        <v>234</v>
      </c>
      <c r="B252" s="484"/>
      <c r="C252" s="484"/>
      <c r="D252" s="524" t="s">
        <v>1586</v>
      </c>
      <c r="E252" s="521" t="s">
        <v>1376</v>
      </c>
      <c r="F252" s="910"/>
      <c r="G252" s="910"/>
      <c r="H252" s="910"/>
      <c r="I252" s="910"/>
      <c r="J252" s="910"/>
      <c r="K252" s="484"/>
      <c r="L252" s="911"/>
      <c r="M252" s="525"/>
      <c r="N252" s="521"/>
      <c r="O252" s="521" t="s">
        <v>1438</v>
      </c>
      <c r="P252" s="525"/>
      <c r="Q252" s="525"/>
      <c r="R252" s="525">
        <v>2.67</v>
      </c>
      <c r="S252" s="463"/>
      <c r="T252" s="910"/>
      <c r="U252" s="176">
        <f t="shared" si="95"/>
        <v>0</v>
      </c>
      <c r="V252" s="529"/>
      <c r="W252" s="525"/>
      <c r="X252" s="530">
        <v>0</v>
      </c>
      <c r="Y252" s="531">
        <f>ROUND((R252+U252+W252)*X252,4)</f>
        <v>0</v>
      </c>
      <c r="Z252" s="531">
        <f>R252+U252+W252+Y252</f>
        <v>2.67</v>
      </c>
      <c r="AA252" s="532">
        <f>ROUND(Z252*$D$8,0)</f>
        <v>6247800</v>
      </c>
      <c r="AB252" s="532"/>
      <c r="AC252" s="532">
        <f>AA252/24*AB252</f>
        <v>0</v>
      </c>
      <c r="AD252" s="532">
        <v>0</v>
      </c>
      <c r="AE252" s="532">
        <f>ROUND(AA252-AC252+AD252,0)</f>
        <v>6247800</v>
      </c>
      <c r="AF252" s="533">
        <f>AA252*8%</f>
        <v>499824</v>
      </c>
      <c r="AG252" s="533">
        <f>AA252*1.5%</f>
        <v>93717</v>
      </c>
      <c r="AH252" s="533">
        <f>AA252*1%</f>
        <v>62478</v>
      </c>
      <c r="AI252" s="533"/>
      <c r="AJ252" s="533">
        <f>SUM(AF252:AI252)</f>
        <v>656019</v>
      </c>
      <c r="AK252" s="534"/>
      <c r="AL252" s="535">
        <f t="shared" si="112"/>
        <v>0</v>
      </c>
      <c r="AM252" s="535"/>
      <c r="AN252" s="535"/>
      <c r="AO252" s="536">
        <f>R252+U252+W252</f>
        <v>2.67</v>
      </c>
      <c r="AP252" s="862">
        <v>0.25</v>
      </c>
      <c r="AQ252" s="912">
        <f>ROUND(AO252*AP252,4)</f>
        <v>0.66749999999999998</v>
      </c>
      <c r="AR252" s="533">
        <f>ROUND(AQ252*$D$8,0)</f>
        <v>1561950</v>
      </c>
      <c r="AS252" s="533"/>
      <c r="AT252" s="533">
        <f>ROUND(AE252-AJ252+AL252+AN252+AR252,0)</f>
        <v>7153731</v>
      </c>
      <c r="AU252" s="538">
        <f>A252</f>
        <v>234</v>
      </c>
      <c r="AV252" s="539"/>
      <c r="AW252" s="658"/>
      <c r="AY252" s="189">
        <f>1.8*4.01*1800000</f>
        <v>12992400</v>
      </c>
      <c r="AZ252" s="189">
        <f>1.8*3.66*1800000</f>
        <v>11858400</v>
      </c>
    </row>
    <row r="253" spans="1:52" s="189" customFormat="1" ht="33" customHeight="1" x14ac:dyDescent="0.25">
      <c r="A253" s="168">
        <f>_xlfn.AGGREGATE(4,7,A$13:A252)+1</f>
        <v>235</v>
      </c>
      <c r="B253" s="168"/>
      <c r="C253" s="168"/>
      <c r="D253" s="169" t="s">
        <v>1588</v>
      </c>
      <c r="E253" s="263" t="s">
        <v>1376</v>
      </c>
      <c r="F253" s="220"/>
      <c r="G253" s="220"/>
      <c r="H253" s="220"/>
      <c r="I253" s="220"/>
      <c r="J253" s="220"/>
      <c r="K253" s="168"/>
      <c r="L253" s="490"/>
      <c r="M253" s="170"/>
      <c r="N253" s="263"/>
      <c r="O253" s="263" t="s">
        <v>1438</v>
      </c>
      <c r="P253" s="170"/>
      <c r="Q253" s="170"/>
      <c r="R253" s="170">
        <v>2.34</v>
      </c>
      <c r="S253" s="176"/>
      <c r="T253" s="220"/>
      <c r="U253" s="176">
        <f t="shared" si="95"/>
        <v>0</v>
      </c>
      <c r="V253" s="175"/>
      <c r="W253" s="170"/>
      <c r="X253" s="179">
        <v>0</v>
      </c>
      <c r="Y253" s="216">
        <f>ROUND((R253+U253+W253)*X253,4)</f>
        <v>0</v>
      </c>
      <c r="Z253" s="216">
        <f>R253+U253+W253+Y253</f>
        <v>2.34</v>
      </c>
      <c r="AA253" s="180">
        <f>ROUND(Z253*$D$8,0)</f>
        <v>5475600</v>
      </c>
      <c r="AB253" s="180"/>
      <c r="AC253" s="180">
        <f>AA253/24*AB253</f>
        <v>0</v>
      </c>
      <c r="AD253" s="180">
        <v>0</v>
      </c>
      <c r="AE253" s="180">
        <f>ROUND(AA253-AC253+AD253,0)</f>
        <v>5475600</v>
      </c>
      <c r="AF253" s="178">
        <f>AA253*8%</f>
        <v>438048</v>
      </c>
      <c r="AG253" s="178">
        <f>AA253*1.5%</f>
        <v>82134</v>
      </c>
      <c r="AH253" s="178">
        <f>AA253*1%</f>
        <v>54756</v>
      </c>
      <c r="AI253" s="178"/>
      <c r="AJ253" s="178">
        <f>SUM(AF253:AI253)</f>
        <v>574938</v>
      </c>
      <c r="AK253" s="192"/>
      <c r="AL253" s="535">
        <f t="shared" si="112"/>
        <v>0</v>
      </c>
      <c r="AM253" s="182"/>
      <c r="AN253" s="182"/>
      <c r="AO253" s="183">
        <f>R253+U253+W253</f>
        <v>2.34</v>
      </c>
      <c r="AP253" s="246">
        <v>0.25</v>
      </c>
      <c r="AQ253" s="185">
        <f>ROUND(AO253*AP253,4)</f>
        <v>0.58499999999999996</v>
      </c>
      <c r="AR253" s="178">
        <f>ROUND(AQ253*$D$8,0)</f>
        <v>1368900</v>
      </c>
      <c r="AS253" s="178"/>
      <c r="AT253" s="178">
        <f>ROUND(AE253-AJ253+AL253+AN253+AR253,0)</f>
        <v>6269562</v>
      </c>
      <c r="AU253" s="469">
        <f>A253</f>
        <v>235</v>
      </c>
      <c r="AV253" s="195"/>
      <c r="AW253" s="658"/>
      <c r="AY253" s="189">
        <f>4.01*1800000*0.8*2</f>
        <v>11548800</v>
      </c>
      <c r="AZ253" s="189">
        <f>3.66*1800000*0.8*2</f>
        <v>10540800</v>
      </c>
    </row>
    <row r="254" spans="1:52" s="189" customFormat="1" ht="30.75" customHeight="1" x14ac:dyDescent="0.25">
      <c r="A254" s="168">
        <f>_xlfn.AGGREGATE(4,7,A$13:A253)+1</f>
        <v>236</v>
      </c>
      <c r="B254" s="168" t="str">
        <f>VLOOKUP(D254,[1]LuongBC_T01!$B$9:$C$292,2,FALSE)</f>
        <v>0016100006823003</v>
      </c>
      <c r="C254" s="199" t="s">
        <v>907</v>
      </c>
      <c r="D254" s="169" t="s">
        <v>1198</v>
      </c>
      <c r="E254" s="263" t="s">
        <v>1390</v>
      </c>
      <c r="F254" s="169" t="s">
        <v>550</v>
      </c>
      <c r="G254" s="170"/>
      <c r="H254" s="170" t="s">
        <v>283</v>
      </c>
      <c r="I254" s="170" t="s">
        <v>283</v>
      </c>
      <c r="J254" s="169" t="s">
        <v>259</v>
      </c>
      <c r="K254" s="170" t="str">
        <f>VLOOKUP(D254,[2]T3!$B$2:$D$328,3,FALSE)</f>
        <v>023376448</v>
      </c>
      <c r="L254" s="171" t="s">
        <v>122</v>
      </c>
      <c r="M254" s="171" t="s">
        <v>907</v>
      </c>
      <c r="N254" s="263" t="str">
        <f>VLOOKUP(D254,'[6]Bao cao So GDDT'!$D$14:$S$282,11,FALSE)</f>
        <v>Giảng viên GDNN LT (hạng III)</v>
      </c>
      <c r="O254" s="390" t="s">
        <v>1438</v>
      </c>
      <c r="P254" s="172" t="s">
        <v>692</v>
      </c>
      <c r="Q254" s="173">
        <v>5</v>
      </c>
      <c r="R254" s="174">
        <v>4.6500000000000004</v>
      </c>
      <c r="S254" s="176">
        <f t="shared" ref="S254:S262" si="117">U254+W254+Y254</f>
        <v>1.3680000000000001</v>
      </c>
      <c r="T254" s="370"/>
      <c r="U254" s="176">
        <f t="shared" si="95"/>
        <v>0</v>
      </c>
      <c r="V254" s="175">
        <f>R254*T254*$D$8/100</f>
        <v>0</v>
      </c>
      <c r="W254" s="170">
        <v>0.45</v>
      </c>
      <c r="X254" s="179">
        <v>0.18</v>
      </c>
      <c r="Y254" s="216">
        <f t="shared" si="96"/>
        <v>0.91800000000000004</v>
      </c>
      <c r="Z254" s="216">
        <f t="shared" si="97"/>
        <v>6.0180000000000007</v>
      </c>
      <c r="AA254" s="180">
        <f t="shared" si="98"/>
        <v>14082120</v>
      </c>
      <c r="AB254" s="180"/>
      <c r="AC254" s="180">
        <f t="shared" si="99"/>
        <v>0</v>
      </c>
      <c r="AD254" s="180">
        <f t="shared" si="116"/>
        <v>0</v>
      </c>
      <c r="AE254" s="180">
        <f t="shared" si="100"/>
        <v>14082120</v>
      </c>
      <c r="AF254" s="178">
        <f t="shared" si="101"/>
        <v>1126569.6000000001</v>
      </c>
      <c r="AG254" s="178">
        <f t="shared" si="102"/>
        <v>211231.8</v>
      </c>
      <c r="AH254" s="178">
        <f t="shared" si="103"/>
        <v>140821.20000000001</v>
      </c>
      <c r="AI254" s="178"/>
      <c r="AJ254" s="178">
        <f t="shared" si="90"/>
        <v>1478622.6</v>
      </c>
      <c r="AK254" s="192"/>
      <c r="AL254" s="535">
        <f t="shared" si="112"/>
        <v>0</v>
      </c>
      <c r="AM254" s="182"/>
      <c r="AN254" s="182"/>
      <c r="AO254" s="193">
        <f t="shared" si="92"/>
        <v>5.1000000000000005</v>
      </c>
      <c r="AP254" s="246">
        <v>0.25</v>
      </c>
      <c r="AQ254" s="194">
        <f t="shared" si="104"/>
        <v>1.2749999999999999</v>
      </c>
      <c r="AR254" s="178">
        <f t="shared" si="105"/>
        <v>2983500</v>
      </c>
      <c r="AS254" s="178"/>
      <c r="AT254" s="178">
        <f t="shared" si="106"/>
        <v>15586997</v>
      </c>
      <c r="AU254" s="469">
        <f t="shared" si="107"/>
        <v>236</v>
      </c>
      <c r="AV254" s="195"/>
      <c r="AW254" s="198" t="s">
        <v>714</v>
      </c>
      <c r="AY254" s="189">
        <f>AY252+AY253</f>
        <v>24541200</v>
      </c>
      <c r="AZ254" s="189">
        <f>AZ252+AZ253</f>
        <v>22399200</v>
      </c>
    </row>
    <row r="255" spans="1:52" s="191" customFormat="1" ht="30.75" customHeight="1" x14ac:dyDescent="0.25">
      <c r="A255" s="168">
        <f>_xlfn.AGGREGATE(4,7,A$13:A254)+1</f>
        <v>237</v>
      </c>
      <c r="B255" s="168" t="str">
        <f>VLOOKUP(D255,[1]LuongBC_T01!$B$9:$C$292,2,FALSE)</f>
        <v>0016100006632003</v>
      </c>
      <c r="C255" s="199" t="s">
        <v>920</v>
      </c>
      <c r="D255" s="169" t="s">
        <v>1205</v>
      </c>
      <c r="E255" s="263" t="s">
        <v>1383</v>
      </c>
      <c r="F255" s="169" t="s">
        <v>549</v>
      </c>
      <c r="G255" s="170"/>
      <c r="H255" s="170" t="s">
        <v>283</v>
      </c>
      <c r="I255" s="170" t="s">
        <v>283</v>
      </c>
      <c r="J255" s="169" t="s">
        <v>263</v>
      </c>
      <c r="K255" s="170" t="str">
        <f>VLOOKUP(D255,[2]T3!$B$2:$D$328,3,FALSE)</f>
        <v>023655683</v>
      </c>
      <c r="L255" s="171" t="s">
        <v>124</v>
      </c>
      <c r="M255" s="171" t="s">
        <v>920</v>
      </c>
      <c r="N255" s="263" t="str">
        <f>VLOOKUP(D255,'[6]Bao cao So GDDT'!$D$14:$S$282,11,FALSE)</f>
        <v>Giảng viên GDNN LT (hạng III)</v>
      </c>
      <c r="O255" s="390" t="s">
        <v>1438</v>
      </c>
      <c r="P255" s="172" t="s">
        <v>692</v>
      </c>
      <c r="Q255" s="173">
        <v>4</v>
      </c>
      <c r="R255" s="174">
        <v>4.32</v>
      </c>
      <c r="S255" s="176">
        <f t="shared" si="117"/>
        <v>1.0268999999999999</v>
      </c>
      <c r="T255" s="377"/>
      <c r="U255" s="176">
        <f t="shared" si="95"/>
        <v>0</v>
      </c>
      <c r="V255" s="175">
        <f>R255*T255*$D$8/100</f>
        <v>0</v>
      </c>
      <c r="W255" s="170">
        <v>0.25</v>
      </c>
      <c r="X255" s="179">
        <v>0.17</v>
      </c>
      <c r="Y255" s="216">
        <f t="shared" si="96"/>
        <v>0.77690000000000003</v>
      </c>
      <c r="Z255" s="216">
        <f t="shared" si="97"/>
        <v>5.3469000000000007</v>
      </c>
      <c r="AA255" s="180">
        <f t="shared" si="98"/>
        <v>12511746</v>
      </c>
      <c r="AB255" s="180"/>
      <c r="AC255" s="180">
        <f t="shared" si="99"/>
        <v>0</v>
      </c>
      <c r="AD255" s="180">
        <f t="shared" si="116"/>
        <v>0</v>
      </c>
      <c r="AE255" s="180">
        <f t="shared" si="100"/>
        <v>12511746</v>
      </c>
      <c r="AF255" s="178">
        <f t="shared" si="101"/>
        <v>1000939.68</v>
      </c>
      <c r="AG255" s="178">
        <f t="shared" si="102"/>
        <v>187676.19</v>
      </c>
      <c r="AH255" s="178">
        <f t="shared" si="103"/>
        <v>125117.46</v>
      </c>
      <c r="AI255" s="178"/>
      <c r="AJ255" s="178">
        <f t="shared" ref="AJ255:AJ282" si="118">SUM(AF255:AI255)</f>
        <v>1313733.33</v>
      </c>
      <c r="AK255" s="181"/>
      <c r="AL255" s="535">
        <f t="shared" si="112"/>
        <v>0</v>
      </c>
      <c r="AM255" s="182"/>
      <c r="AN255" s="182"/>
      <c r="AO255" s="193">
        <f t="shared" si="92"/>
        <v>4.57</v>
      </c>
      <c r="AP255" s="246">
        <v>0.25</v>
      </c>
      <c r="AQ255" s="194">
        <f t="shared" si="104"/>
        <v>1.1425000000000001</v>
      </c>
      <c r="AR255" s="178">
        <f t="shared" si="105"/>
        <v>2673450</v>
      </c>
      <c r="AS255" s="178"/>
      <c r="AT255" s="178">
        <f t="shared" si="106"/>
        <v>13871463</v>
      </c>
      <c r="AU255" s="469">
        <f t="shared" si="107"/>
        <v>237</v>
      </c>
      <c r="AV255" s="195"/>
      <c r="AW255" s="242" t="s">
        <v>714</v>
      </c>
    </row>
    <row r="256" spans="1:52" s="189" customFormat="1" ht="30.75" customHeight="1" x14ac:dyDescent="0.25">
      <c r="A256" s="168">
        <f>_xlfn.AGGREGATE(4,7,A$13:A255)+1</f>
        <v>238</v>
      </c>
      <c r="B256" s="168" t="str">
        <f>VLOOKUP(D256,[1]LuongBC_T01!$B$9:$C$292,2,FALSE)</f>
        <v>0016100006740008</v>
      </c>
      <c r="C256" s="199" t="s">
        <v>976</v>
      </c>
      <c r="D256" s="169" t="s">
        <v>298</v>
      </c>
      <c r="E256" s="263" t="s">
        <v>1465</v>
      </c>
      <c r="F256" s="169" t="s">
        <v>549</v>
      </c>
      <c r="G256" s="200"/>
      <c r="H256" s="170" t="s">
        <v>283</v>
      </c>
      <c r="I256" s="170" t="s">
        <v>283</v>
      </c>
      <c r="J256" s="169" t="s">
        <v>528</v>
      </c>
      <c r="K256" s="170" t="str">
        <f>VLOOKUP(D256,[2]T3!$B$2:$D$328,3,FALSE)</f>
        <v>023523303</v>
      </c>
      <c r="L256" s="171" t="s">
        <v>339</v>
      </c>
      <c r="M256" s="171" t="s">
        <v>976</v>
      </c>
      <c r="N256" s="263" t="str">
        <f>VLOOKUP(D256,'[6]Bao cao So GDDT'!$D$14:$S$282,11,FALSE)</f>
        <v>Giảng viên GDNN LT (hạng III)</v>
      </c>
      <c r="O256" s="390" t="s">
        <v>1438</v>
      </c>
      <c r="P256" s="172" t="s">
        <v>692</v>
      </c>
      <c r="Q256" s="173">
        <v>4</v>
      </c>
      <c r="R256" s="174">
        <v>3.99</v>
      </c>
      <c r="S256" s="176">
        <f t="shared" si="117"/>
        <v>0.88600000000000001</v>
      </c>
      <c r="T256" s="370"/>
      <c r="U256" s="176">
        <f t="shared" si="95"/>
        <v>0</v>
      </c>
      <c r="V256" s="175">
        <f>R256*T256*$D$8/100</f>
        <v>0</v>
      </c>
      <c r="W256" s="170">
        <v>0.25</v>
      </c>
      <c r="X256" s="179">
        <v>0.15</v>
      </c>
      <c r="Y256" s="216">
        <f t="shared" si="96"/>
        <v>0.63600000000000001</v>
      </c>
      <c r="Z256" s="216">
        <f t="shared" si="97"/>
        <v>4.8760000000000003</v>
      </c>
      <c r="AA256" s="180">
        <f t="shared" si="98"/>
        <v>11409840</v>
      </c>
      <c r="AB256" s="180"/>
      <c r="AC256" s="180">
        <v>0</v>
      </c>
      <c r="AD256" s="180">
        <f t="shared" si="116"/>
        <v>0</v>
      </c>
      <c r="AE256" s="180">
        <f t="shared" si="100"/>
        <v>11409840</v>
      </c>
      <c r="AF256" s="178">
        <f t="shared" si="101"/>
        <v>912787.20000000007</v>
      </c>
      <c r="AG256" s="178">
        <f t="shared" si="102"/>
        <v>171147.6</v>
      </c>
      <c r="AH256" s="178">
        <f t="shared" si="103"/>
        <v>114098.40000000001</v>
      </c>
      <c r="AI256" s="178"/>
      <c r="AJ256" s="178">
        <f t="shared" si="118"/>
        <v>1198033.2</v>
      </c>
      <c r="AK256" s="192"/>
      <c r="AL256" s="535">
        <f t="shared" si="112"/>
        <v>0</v>
      </c>
      <c r="AM256" s="182"/>
      <c r="AN256" s="182"/>
      <c r="AO256" s="193">
        <f t="shared" si="92"/>
        <v>4.24</v>
      </c>
      <c r="AP256" s="246">
        <v>0.25</v>
      </c>
      <c r="AQ256" s="194">
        <f t="shared" si="104"/>
        <v>1.06</v>
      </c>
      <c r="AR256" s="178">
        <f t="shared" si="105"/>
        <v>2480400</v>
      </c>
      <c r="AS256" s="178"/>
      <c r="AT256" s="178">
        <f t="shared" si="106"/>
        <v>12692207</v>
      </c>
      <c r="AU256" s="469">
        <f t="shared" si="107"/>
        <v>238</v>
      </c>
      <c r="AV256" s="195"/>
      <c r="AW256" s="187" t="s">
        <v>714</v>
      </c>
    </row>
    <row r="257" spans="1:49" s="189" customFormat="1" ht="30.75" customHeight="1" x14ac:dyDescent="0.25">
      <c r="A257" s="168">
        <f>_xlfn.AGGREGATE(4,7,A$13:A256)+1</f>
        <v>239</v>
      </c>
      <c r="B257" s="168" t="str">
        <f>VLOOKUP(D257,[1]LuongBC_T01!$B$9:$C$292,2,FALSE)</f>
        <v>0016100006696001</v>
      </c>
      <c r="C257" s="199" t="s">
        <v>1015</v>
      </c>
      <c r="D257" s="230" t="s">
        <v>749</v>
      </c>
      <c r="E257" s="263" t="s">
        <v>1465</v>
      </c>
      <c r="F257" s="231"/>
      <c r="G257" s="251"/>
      <c r="H257" s="231"/>
      <c r="I257" s="231"/>
      <c r="J257" s="231"/>
      <c r="K257" s="170" t="str">
        <f>VLOOKUP(D257,[2]T3!$B$2:$D$328,3,FALSE)</f>
        <v>024578348</v>
      </c>
      <c r="L257" s="253" t="s">
        <v>761</v>
      </c>
      <c r="M257" s="253" t="s">
        <v>1015</v>
      </c>
      <c r="N257" s="263" t="str">
        <f>VLOOKUP(D257,'[6]Bao cao So GDDT'!$D$14:$S$282,11,FALSE)</f>
        <v>Giảng viên GDNN LT (hạng III)</v>
      </c>
      <c r="O257" s="390" t="s">
        <v>1438</v>
      </c>
      <c r="P257" s="170" t="s">
        <v>692</v>
      </c>
      <c r="Q257" s="170">
        <v>2</v>
      </c>
      <c r="R257" s="177">
        <v>3.66</v>
      </c>
      <c r="S257" s="176">
        <f t="shared" si="117"/>
        <v>0.64100000000000001</v>
      </c>
      <c r="T257" s="169"/>
      <c r="U257" s="176">
        <f t="shared" si="95"/>
        <v>0</v>
      </c>
      <c r="V257" s="175"/>
      <c r="W257" s="170">
        <v>0.25</v>
      </c>
      <c r="X257" s="179">
        <v>0.1</v>
      </c>
      <c r="Y257" s="216">
        <f t="shared" si="96"/>
        <v>0.39100000000000001</v>
      </c>
      <c r="Z257" s="216">
        <f t="shared" si="97"/>
        <v>4.3010000000000002</v>
      </c>
      <c r="AA257" s="180">
        <f t="shared" si="98"/>
        <v>10064340</v>
      </c>
      <c r="AB257" s="180"/>
      <c r="AC257" s="180">
        <v>0</v>
      </c>
      <c r="AD257" s="180">
        <f t="shared" si="116"/>
        <v>0</v>
      </c>
      <c r="AE257" s="180">
        <f t="shared" si="100"/>
        <v>10064340</v>
      </c>
      <c r="AF257" s="178">
        <f t="shared" si="101"/>
        <v>805147.20000000007</v>
      </c>
      <c r="AG257" s="178">
        <f t="shared" si="102"/>
        <v>150965.1</v>
      </c>
      <c r="AH257" s="178">
        <f t="shared" si="103"/>
        <v>100643.40000000001</v>
      </c>
      <c r="AI257" s="178"/>
      <c r="AJ257" s="178">
        <f t="shared" si="118"/>
        <v>1056755.7</v>
      </c>
      <c r="AK257" s="192"/>
      <c r="AL257" s="535">
        <f t="shared" si="112"/>
        <v>0</v>
      </c>
      <c r="AM257" s="182"/>
      <c r="AN257" s="182"/>
      <c r="AO257" s="183">
        <f t="shared" si="92"/>
        <v>3.91</v>
      </c>
      <c r="AP257" s="246">
        <v>0.25</v>
      </c>
      <c r="AQ257" s="194">
        <f t="shared" si="104"/>
        <v>0.97750000000000004</v>
      </c>
      <c r="AR257" s="178">
        <f t="shared" si="105"/>
        <v>2287350</v>
      </c>
      <c r="AS257" s="178"/>
      <c r="AT257" s="178">
        <f t="shared" si="106"/>
        <v>11294934</v>
      </c>
      <c r="AU257" s="469">
        <f t="shared" si="107"/>
        <v>239</v>
      </c>
      <c r="AV257" s="244"/>
      <c r="AW257" s="196"/>
    </row>
    <row r="258" spans="1:49" s="189" customFormat="1" ht="30.75" customHeight="1" x14ac:dyDescent="0.25">
      <c r="A258" s="168">
        <f>_xlfn.AGGREGATE(4,7,A$13:A257)+1</f>
        <v>240</v>
      </c>
      <c r="B258" s="168" t="str">
        <f>VLOOKUP(D258,[1]LuongBC_T01!$B$9:$C$292,2,FALSE)</f>
        <v>0016100006559004</v>
      </c>
      <c r="C258" s="199" t="s">
        <v>1013</v>
      </c>
      <c r="D258" s="230" t="s">
        <v>748</v>
      </c>
      <c r="E258" s="263" t="s">
        <v>1377</v>
      </c>
      <c r="F258" s="231"/>
      <c r="G258" s="251"/>
      <c r="H258" s="231"/>
      <c r="I258" s="231"/>
      <c r="J258" s="231"/>
      <c r="K258" s="170" t="str">
        <f>VLOOKUP(D258,[2]T3!$B$2:$D$328,3,FALSE)</f>
        <v>024157475</v>
      </c>
      <c r="L258" s="253" t="s">
        <v>762</v>
      </c>
      <c r="M258" s="253" t="s">
        <v>1013</v>
      </c>
      <c r="N258" s="263" t="str">
        <f>VLOOKUP(D258,'[6]Bao cao So GDDT'!$D$14:$S$282,11,FALSE)</f>
        <v>Giảng viên GDNN LT (hạng III)</v>
      </c>
      <c r="O258" s="390" t="s">
        <v>1438</v>
      </c>
      <c r="P258" s="170" t="s">
        <v>692</v>
      </c>
      <c r="Q258" s="170">
        <v>2</v>
      </c>
      <c r="R258" s="177">
        <v>3.66</v>
      </c>
      <c r="S258" s="176">
        <f t="shared" si="117"/>
        <v>0.36599999999999999</v>
      </c>
      <c r="T258" s="169"/>
      <c r="U258" s="176">
        <f t="shared" si="95"/>
        <v>0</v>
      </c>
      <c r="V258" s="175"/>
      <c r="W258" s="170"/>
      <c r="X258" s="179">
        <v>0.1</v>
      </c>
      <c r="Y258" s="216">
        <f t="shared" si="96"/>
        <v>0.36599999999999999</v>
      </c>
      <c r="Z258" s="216">
        <f t="shared" si="97"/>
        <v>4.0259999999999998</v>
      </c>
      <c r="AA258" s="180">
        <f t="shared" si="98"/>
        <v>9420840</v>
      </c>
      <c r="AB258" s="180"/>
      <c r="AC258" s="180">
        <f t="shared" ref="AC258:AC282" si="119">AA258/24*AB258</f>
        <v>0</v>
      </c>
      <c r="AD258" s="180">
        <f t="shared" si="116"/>
        <v>0</v>
      </c>
      <c r="AE258" s="180">
        <f t="shared" si="100"/>
        <v>9420840</v>
      </c>
      <c r="AF258" s="178">
        <f t="shared" si="101"/>
        <v>753667.20000000007</v>
      </c>
      <c r="AG258" s="178">
        <f t="shared" si="102"/>
        <v>141312.6</v>
      </c>
      <c r="AH258" s="178">
        <f t="shared" si="103"/>
        <v>94208.400000000009</v>
      </c>
      <c r="AI258" s="178"/>
      <c r="AJ258" s="178">
        <f t="shared" si="118"/>
        <v>989188.20000000007</v>
      </c>
      <c r="AK258" s="192"/>
      <c r="AL258" s="535">
        <f t="shared" si="112"/>
        <v>0</v>
      </c>
      <c r="AM258" s="182"/>
      <c r="AN258" s="182"/>
      <c r="AO258" s="183">
        <f t="shared" si="92"/>
        <v>3.66</v>
      </c>
      <c r="AP258" s="246">
        <v>0.25</v>
      </c>
      <c r="AQ258" s="194">
        <f t="shared" si="104"/>
        <v>0.91500000000000004</v>
      </c>
      <c r="AR258" s="178">
        <f t="shared" si="105"/>
        <v>2141100</v>
      </c>
      <c r="AS258" s="178"/>
      <c r="AT258" s="178">
        <f t="shared" si="106"/>
        <v>10572752</v>
      </c>
      <c r="AU258" s="469">
        <f t="shared" si="107"/>
        <v>240</v>
      </c>
      <c r="AV258" s="195"/>
      <c r="AW258" s="196" t="e">
        <f>#REF!*10</f>
        <v>#REF!</v>
      </c>
    </row>
    <row r="259" spans="1:49" s="191" customFormat="1" ht="30.75" customHeight="1" x14ac:dyDescent="0.25">
      <c r="A259" s="168">
        <f>_xlfn.AGGREGATE(4,7,A$13:A258)+1</f>
        <v>241</v>
      </c>
      <c r="B259" s="168" t="str">
        <f>VLOOKUP(D259,[1]LuongBC_T01!$B$9:$C$292,2,FALSE)</f>
        <v>0016100006634006</v>
      </c>
      <c r="C259" s="199" t="s">
        <v>921</v>
      </c>
      <c r="D259" s="169" t="s">
        <v>63</v>
      </c>
      <c r="E259" s="263" t="s">
        <v>1377</v>
      </c>
      <c r="F259" s="169" t="s">
        <v>549</v>
      </c>
      <c r="G259" s="170"/>
      <c r="H259" s="170" t="s">
        <v>283</v>
      </c>
      <c r="I259" s="170" t="s">
        <v>283</v>
      </c>
      <c r="J259" s="169" t="s">
        <v>246</v>
      </c>
      <c r="K259" s="170" t="str">
        <f>VLOOKUP(D259,[2]T3!$B$2:$D$328,3,FALSE)</f>
        <v>023636063</v>
      </c>
      <c r="L259" s="171" t="s">
        <v>115</v>
      </c>
      <c r="M259" s="171" t="s">
        <v>921</v>
      </c>
      <c r="N259" s="263" t="str">
        <f>VLOOKUP(D259,'[6]Bao cao So GDDT'!$D$14:$S$282,11,FALSE)</f>
        <v>Giảng viên GDNN LT (hạng III)</v>
      </c>
      <c r="O259" s="390" t="s">
        <v>1438</v>
      </c>
      <c r="P259" s="172" t="s">
        <v>692</v>
      </c>
      <c r="Q259" s="173">
        <v>4</v>
      </c>
      <c r="R259" s="174">
        <v>4.32</v>
      </c>
      <c r="S259" s="176">
        <f t="shared" si="117"/>
        <v>0.69120000000000004</v>
      </c>
      <c r="T259" s="377"/>
      <c r="U259" s="176">
        <f t="shared" si="95"/>
        <v>0</v>
      </c>
      <c r="V259" s="175">
        <f>R259*T259*$D$8/100</f>
        <v>0</v>
      </c>
      <c r="W259" s="170"/>
      <c r="X259" s="179">
        <v>0.16</v>
      </c>
      <c r="Y259" s="216">
        <f t="shared" si="96"/>
        <v>0.69120000000000004</v>
      </c>
      <c r="Z259" s="216">
        <f t="shared" si="97"/>
        <v>5.0112000000000005</v>
      </c>
      <c r="AA259" s="180">
        <f t="shared" si="98"/>
        <v>11726208</v>
      </c>
      <c r="AB259" s="180"/>
      <c r="AC259" s="180">
        <f t="shared" si="119"/>
        <v>0</v>
      </c>
      <c r="AD259" s="180">
        <f t="shared" si="116"/>
        <v>0</v>
      </c>
      <c r="AE259" s="180">
        <f t="shared" si="100"/>
        <v>11726208</v>
      </c>
      <c r="AF259" s="178">
        <f t="shared" si="101"/>
        <v>938096.64000000001</v>
      </c>
      <c r="AG259" s="178">
        <f t="shared" si="102"/>
        <v>175893.12</v>
      </c>
      <c r="AH259" s="178">
        <f t="shared" si="103"/>
        <v>117262.08</v>
      </c>
      <c r="AI259" s="178"/>
      <c r="AJ259" s="178">
        <f t="shared" si="118"/>
        <v>1231251.8400000001</v>
      </c>
      <c r="AK259" s="181"/>
      <c r="AL259" s="535">
        <f t="shared" si="112"/>
        <v>0</v>
      </c>
      <c r="AM259" s="182"/>
      <c r="AN259" s="182"/>
      <c r="AO259" s="193">
        <f t="shared" si="92"/>
        <v>4.32</v>
      </c>
      <c r="AP259" s="246">
        <v>0.25</v>
      </c>
      <c r="AQ259" s="194">
        <f t="shared" si="104"/>
        <v>1.08</v>
      </c>
      <c r="AR259" s="178">
        <f t="shared" si="105"/>
        <v>2527200</v>
      </c>
      <c r="AS259" s="178"/>
      <c r="AT259" s="178">
        <f t="shared" si="106"/>
        <v>13022156</v>
      </c>
      <c r="AU259" s="469">
        <f t="shared" si="107"/>
        <v>241</v>
      </c>
      <c r="AV259" s="195"/>
      <c r="AW259" s="198" t="s">
        <v>714</v>
      </c>
    </row>
    <row r="260" spans="1:49" s="191" customFormat="1" ht="30.75" customHeight="1" x14ac:dyDescent="0.25">
      <c r="A260" s="168">
        <f>_xlfn.AGGREGATE(4,7,A$13:A259)+1</f>
        <v>242</v>
      </c>
      <c r="B260" s="168" t="str">
        <f>VLOOKUP(D260,[1]LuongBC_T01!$B$9:$C$292,2,FALSE)</f>
        <v>0016100006743007</v>
      </c>
      <c r="C260" s="199" t="s">
        <v>979</v>
      </c>
      <c r="D260" s="169" t="s">
        <v>299</v>
      </c>
      <c r="E260" s="263" t="s">
        <v>1377</v>
      </c>
      <c r="F260" s="169" t="s">
        <v>549</v>
      </c>
      <c r="G260" s="200"/>
      <c r="H260" s="200" t="s">
        <v>283</v>
      </c>
      <c r="I260" s="200" t="s">
        <v>283</v>
      </c>
      <c r="J260" s="220" t="s">
        <v>529</v>
      </c>
      <c r="K260" s="170" t="str">
        <f>VLOOKUP(D260,[2]T3!$B$2:$D$328,3,FALSE)</f>
        <v>024520146</v>
      </c>
      <c r="L260" s="241" t="s">
        <v>338</v>
      </c>
      <c r="M260" s="241" t="s">
        <v>979</v>
      </c>
      <c r="N260" s="263" t="str">
        <f>VLOOKUP(D260,'[6]Bao cao So GDDT'!$D$14:$S$282,11,FALSE)</f>
        <v>Giảng viên GDNN LT (hạng III)</v>
      </c>
      <c r="O260" s="390" t="s">
        <v>1438</v>
      </c>
      <c r="P260" s="172" t="s">
        <v>692</v>
      </c>
      <c r="Q260" s="173">
        <v>3</v>
      </c>
      <c r="R260" s="174">
        <v>3.99</v>
      </c>
      <c r="S260" s="176">
        <f t="shared" si="117"/>
        <v>0.59850000000000003</v>
      </c>
      <c r="T260" s="377"/>
      <c r="U260" s="176">
        <f t="shared" si="95"/>
        <v>0</v>
      </c>
      <c r="V260" s="175">
        <f>R260*T260*$D$8/100</f>
        <v>0</v>
      </c>
      <c r="W260" s="200"/>
      <c r="X260" s="179">
        <v>0.15</v>
      </c>
      <c r="Y260" s="216">
        <f t="shared" si="96"/>
        <v>0.59850000000000003</v>
      </c>
      <c r="Z260" s="216">
        <f t="shared" si="97"/>
        <v>4.5884999999999998</v>
      </c>
      <c r="AA260" s="180">
        <f t="shared" si="98"/>
        <v>10737090</v>
      </c>
      <c r="AB260" s="180"/>
      <c r="AC260" s="180">
        <f t="shared" si="119"/>
        <v>0</v>
      </c>
      <c r="AD260" s="180">
        <f t="shared" si="116"/>
        <v>0</v>
      </c>
      <c r="AE260" s="180">
        <f t="shared" si="100"/>
        <v>10737090</v>
      </c>
      <c r="AF260" s="178">
        <f t="shared" si="101"/>
        <v>858967.20000000007</v>
      </c>
      <c r="AG260" s="178">
        <f t="shared" si="102"/>
        <v>161056.35</v>
      </c>
      <c r="AH260" s="178">
        <f t="shared" si="103"/>
        <v>107370.90000000001</v>
      </c>
      <c r="AI260" s="178"/>
      <c r="AJ260" s="178">
        <f t="shared" si="118"/>
        <v>1127394.45</v>
      </c>
      <c r="AK260" s="181"/>
      <c r="AL260" s="535">
        <f t="shared" si="112"/>
        <v>0</v>
      </c>
      <c r="AM260" s="182"/>
      <c r="AN260" s="182"/>
      <c r="AO260" s="193">
        <f t="shared" si="92"/>
        <v>3.99</v>
      </c>
      <c r="AP260" s="246">
        <v>0.25</v>
      </c>
      <c r="AQ260" s="194">
        <f t="shared" si="104"/>
        <v>0.99750000000000005</v>
      </c>
      <c r="AR260" s="178">
        <f t="shared" si="105"/>
        <v>2334150</v>
      </c>
      <c r="AS260" s="178"/>
      <c r="AT260" s="178">
        <f t="shared" si="106"/>
        <v>11943846</v>
      </c>
      <c r="AU260" s="469">
        <f t="shared" si="107"/>
        <v>242</v>
      </c>
      <c r="AV260" s="186"/>
      <c r="AW260" s="198" t="s">
        <v>714</v>
      </c>
    </row>
    <row r="261" spans="1:49" s="189" customFormat="1" ht="30.75" customHeight="1" x14ac:dyDescent="0.25">
      <c r="A261" s="168">
        <f>_xlfn.AGGREGATE(4,7,A$13:A260)+1</f>
        <v>243</v>
      </c>
      <c r="B261" s="168" t="str">
        <f>VLOOKUP(D261,[1]LuongBC_T01!$B$9:$C$292,2,FALSE)</f>
        <v>0016100006742003</v>
      </c>
      <c r="C261" s="199" t="s">
        <v>992</v>
      </c>
      <c r="D261" s="169" t="s">
        <v>1226</v>
      </c>
      <c r="E261" s="263" t="s">
        <v>1377</v>
      </c>
      <c r="F261" s="169" t="s">
        <v>549</v>
      </c>
      <c r="G261" s="200"/>
      <c r="H261" s="200" t="s">
        <v>283</v>
      </c>
      <c r="I261" s="200" t="s">
        <v>283</v>
      </c>
      <c r="J261" s="200" t="s">
        <v>585</v>
      </c>
      <c r="K261" s="170" t="str">
        <f>VLOOKUP(D261,[2]T3!$B$2:$D$328,3,FALSE)</f>
        <v>023727322</v>
      </c>
      <c r="L261" s="201" t="s">
        <v>607</v>
      </c>
      <c r="M261" s="201" t="s">
        <v>992</v>
      </c>
      <c r="N261" s="263" t="str">
        <f>VLOOKUP(D261,'[6]Bao cao So GDDT'!$D$14:$S$282,11,FALSE)</f>
        <v>Giảng viên GDNN LT (hạng III)</v>
      </c>
      <c r="O261" s="390" t="s">
        <v>1438</v>
      </c>
      <c r="P261" s="170" t="s">
        <v>692</v>
      </c>
      <c r="Q261" s="170">
        <v>3</v>
      </c>
      <c r="R261" s="177">
        <v>3.99</v>
      </c>
      <c r="S261" s="176">
        <f t="shared" si="117"/>
        <v>0.55859999999999999</v>
      </c>
      <c r="T261" s="220"/>
      <c r="U261" s="176">
        <f t="shared" si="95"/>
        <v>0</v>
      </c>
      <c r="V261" s="175">
        <f>R261*T261*$D$8/100</f>
        <v>0</v>
      </c>
      <c r="W261" s="170"/>
      <c r="X261" s="179">
        <v>0.14000000000000001</v>
      </c>
      <c r="Y261" s="216">
        <f t="shared" si="96"/>
        <v>0.55859999999999999</v>
      </c>
      <c r="Z261" s="216">
        <f t="shared" si="97"/>
        <v>4.5486000000000004</v>
      </c>
      <c r="AA261" s="180">
        <f t="shared" si="98"/>
        <v>10643724</v>
      </c>
      <c r="AB261" s="180"/>
      <c r="AC261" s="180">
        <f t="shared" si="119"/>
        <v>0</v>
      </c>
      <c r="AD261" s="180">
        <f t="shared" si="116"/>
        <v>0</v>
      </c>
      <c r="AE261" s="180">
        <f t="shared" si="100"/>
        <v>10643724</v>
      </c>
      <c r="AF261" s="178">
        <f t="shared" si="101"/>
        <v>851497.92</v>
      </c>
      <c r="AG261" s="178">
        <f t="shared" si="102"/>
        <v>159655.85999999999</v>
      </c>
      <c r="AH261" s="178">
        <f t="shared" si="103"/>
        <v>106437.24</v>
      </c>
      <c r="AI261" s="178"/>
      <c r="AJ261" s="178">
        <f t="shared" si="118"/>
        <v>1117591.02</v>
      </c>
      <c r="AK261" s="192"/>
      <c r="AL261" s="535">
        <f t="shared" si="112"/>
        <v>0</v>
      </c>
      <c r="AM261" s="182"/>
      <c r="AN261" s="182"/>
      <c r="AO261" s="193">
        <f t="shared" si="92"/>
        <v>3.99</v>
      </c>
      <c r="AP261" s="246">
        <v>0.25</v>
      </c>
      <c r="AQ261" s="194">
        <f t="shared" si="104"/>
        <v>0.99750000000000005</v>
      </c>
      <c r="AR261" s="178">
        <f t="shared" si="105"/>
        <v>2334150</v>
      </c>
      <c r="AS261" s="178"/>
      <c r="AT261" s="178">
        <f t="shared" si="106"/>
        <v>11860283</v>
      </c>
      <c r="AU261" s="469">
        <f t="shared" si="107"/>
        <v>243</v>
      </c>
      <c r="AV261" s="186"/>
      <c r="AW261" s="198" t="s">
        <v>714</v>
      </c>
    </row>
    <row r="262" spans="1:49" s="189" customFormat="1" ht="30.75" customHeight="1" x14ac:dyDescent="0.25">
      <c r="A262" s="168">
        <f>_xlfn.AGGREGATE(4,7,A$13:A261)+1</f>
        <v>244</v>
      </c>
      <c r="B262" s="168" t="str">
        <f>VLOOKUP(D262,[1]LuongBC_T01!$B$9:$C$292,2,FALSE)</f>
        <v>0016100006744006</v>
      </c>
      <c r="C262" s="199" t="s">
        <v>923</v>
      </c>
      <c r="D262" s="867" t="s">
        <v>1206</v>
      </c>
      <c r="E262" s="263" t="s">
        <v>1377</v>
      </c>
      <c r="F262" s="169" t="s">
        <v>549</v>
      </c>
      <c r="G262" s="200"/>
      <c r="H262" s="200" t="s">
        <v>283</v>
      </c>
      <c r="I262" s="200" t="s">
        <v>283</v>
      </c>
      <c r="J262" s="200" t="s">
        <v>584</v>
      </c>
      <c r="K262" s="170" t="str">
        <f>VLOOKUP(D262,[2]T3!$B$2:$D$328,3,FALSE)</f>
        <v>024761501</v>
      </c>
      <c r="L262" s="201" t="s">
        <v>606</v>
      </c>
      <c r="M262" s="201" t="s">
        <v>923</v>
      </c>
      <c r="N262" s="263" t="str">
        <f>VLOOKUP(D262,'[6]Bao cao So GDDT'!$D$14:$S$282,11,FALSE)</f>
        <v>Giảng viên GDNN LT (hạng III)</v>
      </c>
      <c r="O262" s="390" t="s">
        <v>1438</v>
      </c>
      <c r="P262" s="170" t="s">
        <v>692</v>
      </c>
      <c r="Q262" s="170">
        <v>3</v>
      </c>
      <c r="R262" s="177">
        <v>3.99</v>
      </c>
      <c r="S262" s="176">
        <f t="shared" si="117"/>
        <v>0.55859999999999999</v>
      </c>
      <c r="T262" s="220"/>
      <c r="U262" s="176">
        <f t="shared" si="95"/>
        <v>0</v>
      </c>
      <c r="V262" s="175">
        <f>R262*T262*$D$8/100</f>
        <v>0</v>
      </c>
      <c r="W262" s="170"/>
      <c r="X262" s="179">
        <v>0.14000000000000001</v>
      </c>
      <c r="Y262" s="216">
        <f t="shared" si="96"/>
        <v>0.55859999999999999</v>
      </c>
      <c r="Z262" s="216">
        <f t="shared" si="97"/>
        <v>4.5486000000000004</v>
      </c>
      <c r="AA262" s="180">
        <f t="shared" si="98"/>
        <v>10643724</v>
      </c>
      <c r="AB262" s="180"/>
      <c r="AC262" s="180">
        <f t="shared" si="119"/>
        <v>0</v>
      </c>
      <c r="AD262" s="180">
        <f t="shared" si="116"/>
        <v>0</v>
      </c>
      <c r="AE262" s="180">
        <f t="shared" si="100"/>
        <v>10643724</v>
      </c>
      <c r="AF262" s="178">
        <f t="shared" si="101"/>
        <v>851497.92</v>
      </c>
      <c r="AG262" s="178">
        <f t="shared" si="102"/>
        <v>159655.85999999999</v>
      </c>
      <c r="AH262" s="178">
        <f t="shared" si="103"/>
        <v>106437.24</v>
      </c>
      <c r="AI262" s="178"/>
      <c r="AJ262" s="178">
        <f t="shared" si="118"/>
        <v>1117591.02</v>
      </c>
      <c r="AK262" s="192"/>
      <c r="AL262" s="535">
        <f t="shared" si="112"/>
        <v>0</v>
      </c>
      <c r="AM262" s="182"/>
      <c r="AN262" s="182"/>
      <c r="AO262" s="193">
        <f t="shared" ref="AO262:AO282" si="120">R262+U262+W262</f>
        <v>3.99</v>
      </c>
      <c r="AP262" s="246">
        <v>0.25</v>
      </c>
      <c r="AQ262" s="194">
        <f t="shared" si="104"/>
        <v>0.99750000000000005</v>
      </c>
      <c r="AR262" s="178">
        <f t="shared" si="105"/>
        <v>2334150</v>
      </c>
      <c r="AS262" s="178"/>
      <c r="AT262" s="178">
        <f t="shared" si="106"/>
        <v>11860283</v>
      </c>
      <c r="AU262" s="469">
        <f t="shared" si="107"/>
        <v>244</v>
      </c>
      <c r="AV262" s="186"/>
      <c r="AW262" s="198" t="s">
        <v>714</v>
      </c>
    </row>
    <row r="263" spans="1:49" s="189" customFormat="1" ht="30.75" customHeight="1" x14ac:dyDescent="0.25">
      <c r="A263" s="168">
        <f>_xlfn.AGGREGATE(4,7,A$13:A262)+1</f>
        <v>245</v>
      </c>
      <c r="B263" s="168" t="str">
        <f>VLOOKUP(D263,[1]LuongBC_T01!$B$9:$C$292,2,FALSE)</f>
        <v>0016100007776009</v>
      </c>
      <c r="C263" s="170" t="s">
        <v>1331</v>
      </c>
      <c r="D263" s="169" t="s">
        <v>1293</v>
      </c>
      <c r="E263" s="263" t="s">
        <v>1407</v>
      </c>
      <c r="F263" s="220"/>
      <c r="G263" s="220"/>
      <c r="H263" s="220"/>
      <c r="I263" s="220"/>
      <c r="J263" s="220"/>
      <c r="K263" s="170" t="str">
        <f>VLOOKUP(D263,[2]T3!$B$2:$D$328,3,FALSE)</f>
        <v>271927461</v>
      </c>
      <c r="L263" s="220"/>
      <c r="M263" s="170"/>
      <c r="N263" s="263" t="str">
        <f>VLOOKUP(D263,'[6]Bao cao So GDDT'!$D$14:$S$282,11,FALSE)</f>
        <v>Giảng viên GDNN LT (hạng III)</v>
      </c>
      <c r="O263" s="390" t="s">
        <v>1438</v>
      </c>
      <c r="P263" s="251"/>
      <c r="Q263" s="251"/>
      <c r="R263" s="170">
        <v>2.67</v>
      </c>
      <c r="S263" s="176"/>
      <c r="T263" s="220"/>
      <c r="U263" s="176">
        <f t="shared" si="95"/>
        <v>0</v>
      </c>
      <c r="V263" s="175"/>
      <c r="W263" s="170"/>
      <c r="X263" s="179">
        <v>0.05</v>
      </c>
      <c r="Y263" s="216">
        <f t="shared" si="96"/>
        <v>0.13350000000000001</v>
      </c>
      <c r="Z263" s="216">
        <f t="shared" si="97"/>
        <v>2.8035000000000001</v>
      </c>
      <c r="AA263" s="180">
        <f t="shared" si="98"/>
        <v>6560190</v>
      </c>
      <c r="AB263" s="180"/>
      <c r="AC263" s="180">
        <f t="shared" si="119"/>
        <v>0</v>
      </c>
      <c r="AD263" s="180">
        <f t="shared" si="116"/>
        <v>0</v>
      </c>
      <c r="AE263" s="180">
        <f t="shared" si="100"/>
        <v>6560190</v>
      </c>
      <c r="AF263" s="178">
        <f t="shared" si="101"/>
        <v>524815.19999999995</v>
      </c>
      <c r="AG263" s="178">
        <f t="shared" si="102"/>
        <v>98402.849999999991</v>
      </c>
      <c r="AH263" s="178">
        <f t="shared" si="103"/>
        <v>65601.899999999994</v>
      </c>
      <c r="AI263" s="178"/>
      <c r="AJ263" s="178">
        <f t="shared" si="118"/>
        <v>688819.95</v>
      </c>
      <c r="AK263" s="192"/>
      <c r="AL263" s="535">
        <f t="shared" si="112"/>
        <v>0</v>
      </c>
      <c r="AM263" s="182"/>
      <c r="AN263" s="182"/>
      <c r="AO263" s="183">
        <f t="shared" si="120"/>
        <v>2.67</v>
      </c>
      <c r="AP263" s="246">
        <v>0.25</v>
      </c>
      <c r="AQ263" s="185">
        <f t="shared" si="104"/>
        <v>0.66749999999999998</v>
      </c>
      <c r="AR263" s="178">
        <f t="shared" si="105"/>
        <v>1561950</v>
      </c>
      <c r="AS263" s="178"/>
      <c r="AT263" s="178">
        <f t="shared" si="106"/>
        <v>7433320</v>
      </c>
      <c r="AU263" s="469">
        <f t="shared" si="107"/>
        <v>245</v>
      </c>
      <c r="AV263" s="195"/>
      <c r="AW263" s="485"/>
    </row>
    <row r="264" spans="1:49" s="189" customFormat="1" ht="30.75" customHeight="1" x14ac:dyDescent="0.25">
      <c r="A264" s="168">
        <f>_xlfn.AGGREGATE(4,7,A$13:A263)+1</f>
        <v>246</v>
      </c>
      <c r="B264" s="168" t="str">
        <f>VLOOKUP(D264,[1]LuongBC_T01!$B$9:$C$292,2,FALSE)</f>
        <v>0016100006695005</v>
      </c>
      <c r="C264" s="199" t="s">
        <v>995</v>
      </c>
      <c r="D264" s="169" t="s">
        <v>572</v>
      </c>
      <c r="E264" s="263" t="s">
        <v>1377</v>
      </c>
      <c r="F264" s="169" t="s">
        <v>549</v>
      </c>
      <c r="G264" s="200"/>
      <c r="H264" s="200" t="s">
        <v>283</v>
      </c>
      <c r="I264" s="200" t="s">
        <v>283</v>
      </c>
      <c r="J264" s="200" t="s">
        <v>590</v>
      </c>
      <c r="K264" s="170" t="str">
        <f>VLOOKUP(D264,[2]T3!$B$2:$D$328,3,FALSE)</f>
        <v>022958396</v>
      </c>
      <c r="L264" s="201" t="s">
        <v>612</v>
      </c>
      <c r="M264" s="201" t="s">
        <v>995</v>
      </c>
      <c r="N264" s="263" t="str">
        <f>VLOOKUP(D264,'[6]Bao cao So GDDT'!$D$14:$S$282,11,FALSE)</f>
        <v>Giảng viên GDNN LT (hạng III)</v>
      </c>
      <c r="O264" s="390" t="s">
        <v>1438</v>
      </c>
      <c r="P264" s="170" t="s">
        <v>692</v>
      </c>
      <c r="Q264" s="170">
        <v>3</v>
      </c>
      <c r="R264" s="177">
        <v>3.99</v>
      </c>
      <c r="S264" s="176">
        <f>U264+W264+Y264</f>
        <v>0.55859999999999999</v>
      </c>
      <c r="T264" s="220"/>
      <c r="U264" s="176">
        <f t="shared" si="95"/>
        <v>0</v>
      </c>
      <c r="V264" s="175">
        <f>R264*T264*$D$8/100</f>
        <v>0</v>
      </c>
      <c r="W264" s="170"/>
      <c r="X264" s="179">
        <v>0.14000000000000001</v>
      </c>
      <c r="Y264" s="216">
        <f t="shared" si="96"/>
        <v>0.55859999999999999</v>
      </c>
      <c r="Z264" s="216">
        <f t="shared" si="97"/>
        <v>4.5486000000000004</v>
      </c>
      <c r="AA264" s="180">
        <f t="shared" si="98"/>
        <v>10643724</v>
      </c>
      <c r="AB264" s="180"/>
      <c r="AC264" s="180">
        <f t="shared" si="119"/>
        <v>0</v>
      </c>
      <c r="AD264" s="180">
        <f t="shared" si="116"/>
        <v>0</v>
      </c>
      <c r="AE264" s="180">
        <f t="shared" si="100"/>
        <v>10643724</v>
      </c>
      <c r="AF264" s="178">
        <f t="shared" si="101"/>
        <v>851497.92</v>
      </c>
      <c r="AG264" s="178">
        <f t="shared" si="102"/>
        <v>159655.85999999999</v>
      </c>
      <c r="AH264" s="178">
        <f t="shared" si="103"/>
        <v>106437.24</v>
      </c>
      <c r="AI264" s="178"/>
      <c r="AJ264" s="178">
        <f t="shared" si="118"/>
        <v>1117591.02</v>
      </c>
      <c r="AK264" s="192"/>
      <c r="AL264" s="535">
        <f t="shared" si="112"/>
        <v>0</v>
      </c>
      <c r="AM264" s="182"/>
      <c r="AN264" s="182"/>
      <c r="AO264" s="193">
        <f t="shared" si="120"/>
        <v>3.99</v>
      </c>
      <c r="AP264" s="246">
        <v>0.25</v>
      </c>
      <c r="AQ264" s="194">
        <f t="shared" si="104"/>
        <v>0.99750000000000005</v>
      </c>
      <c r="AR264" s="178">
        <f t="shared" si="105"/>
        <v>2334150</v>
      </c>
      <c r="AS264" s="178"/>
      <c r="AT264" s="178">
        <f t="shared" si="106"/>
        <v>11860283</v>
      </c>
      <c r="AU264" s="469">
        <f t="shared" si="107"/>
        <v>246</v>
      </c>
      <c r="AV264" s="186"/>
      <c r="AW264" s="256" t="s">
        <v>714</v>
      </c>
    </row>
    <row r="265" spans="1:49" s="189" customFormat="1" ht="30.75" customHeight="1" x14ac:dyDescent="0.25">
      <c r="A265" s="168">
        <f>_xlfn.AGGREGATE(4,7,A$13:A264)+1</f>
        <v>247</v>
      </c>
      <c r="B265" s="168" t="str">
        <f>VLOOKUP(D265,[1]LuongBC_T01!$B$9:$C$292,2,FALSE)</f>
        <v>'0016100006821008</v>
      </c>
      <c r="C265" s="199" t="s">
        <v>1005</v>
      </c>
      <c r="D265" s="169" t="s">
        <v>670</v>
      </c>
      <c r="E265" s="263" t="s">
        <v>1375</v>
      </c>
      <c r="F265" s="169" t="s">
        <v>549</v>
      </c>
      <c r="G265" s="200"/>
      <c r="H265" s="200" t="s">
        <v>283</v>
      </c>
      <c r="I265" s="200" t="s">
        <v>283</v>
      </c>
      <c r="J265" s="200"/>
      <c r="K265" s="170" t="str">
        <f>VLOOKUP(D265,[2]T3!$B$2:$D$328,3,FALSE)</f>
        <v>023493630</v>
      </c>
      <c r="L265" s="201" t="s">
        <v>675</v>
      </c>
      <c r="M265" s="201" t="s">
        <v>1005</v>
      </c>
      <c r="N265" s="263" t="str">
        <f>VLOOKUP(D265,'[6]Bao cao So GDDT'!$D$14:$S$282,11,FALSE)</f>
        <v>Giảng viên GDNN LT (hạng III)</v>
      </c>
      <c r="O265" s="390" t="s">
        <v>1438</v>
      </c>
      <c r="P265" s="222" t="s">
        <v>692</v>
      </c>
      <c r="Q265" s="172">
        <v>3</v>
      </c>
      <c r="R265" s="430">
        <v>3.66</v>
      </c>
      <c r="S265" s="176">
        <f>U265+W265+Y265</f>
        <v>0.51239999999999997</v>
      </c>
      <c r="T265" s="220"/>
      <c r="U265" s="176">
        <f t="shared" si="95"/>
        <v>0</v>
      </c>
      <c r="V265" s="175">
        <f>R265*T265*$D$8/100</f>
        <v>0</v>
      </c>
      <c r="W265" s="170"/>
      <c r="X265" s="179">
        <v>0.14000000000000001</v>
      </c>
      <c r="Y265" s="216">
        <f t="shared" si="96"/>
        <v>0.51239999999999997</v>
      </c>
      <c r="Z265" s="216">
        <f t="shared" si="97"/>
        <v>4.1723999999999997</v>
      </c>
      <c r="AA265" s="180">
        <f t="shared" si="98"/>
        <v>9763416</v>
      </c>
      <c r="AB265" s="180"/>
      <c r="AC265" s="180">
        <f t="shared" si="119"/>
        <v>0</v>
      </c>
      <c r="AD265" s="180">
        <v>0</v>
      </c>
      <c r="AE265" s="180">
        <f t="shared" si="100"/>
        <v>9763416</v>
      </c>
      <c r="AF265" s="178">
        <f t="shared" si="101"/>
        <v>781073.28</v>
      </c>
      <c r="AG265" s="178">
        <f t="shared" si="102"/>
        <v>146451.24</v>
      </c>
      <c r="AH265" s="178">
        <f t="shared" si="103"/>
        <v>97634.16</v>
      </c>
      <c r="AI265" s="178"/>
      <c r="AJ265" s="178">
        <f t="shared" si="118"/>
        <v>1025158.68</v>
      </c>
      <c r="AK265" s="192"/>
      <c r="AL265" s="535">
        <f t="shared" si="112"/>
        <v>0</v>
      </c>
      <c r="AM265" s="182"/>
      <c r="AN265" s="182"/>
      <c r="AO265" s="193">
        <f t="shared" si="120"/>
        <v>3.66</v>
      </c>
      <c r="AP265" s="246">
        <v>0.25</v>
      </c>
      <c r="AQ265" s="194">
        <f t="shared" si="104"/>
        <v>0.91500000000000004</v>
      </c>
      <c r="AR265" s="178">
        <f t="shared" si="105"/>
        <v>2141100</v>
      </c>
      <c r="AS265" s="178"/>
      <c r="AT265" s="178">
        <f t="shared" si="106"/>
        <v>10879357</v>
      </c>
      <c r="AU265" s="469">
        <f t="shared" si="107"/>
        <v>247</v>
      </c>
      <c r="AV265" s="195"/>
      <c r="AW265" s="198" t="s">
        <v>714</v>
      </c>
    </row>
    <row r="266" spans="1:49" s="189" customFormat="1" ht="30.75" customHeight="1" x14ac:dyDescent="0.25">
      <c r="A266" s="168">
        <f>_xlfn.AGGREGATE(4,7,A$13:A265)+1</f>
        <v>248</v>
      </c>
      <c r="B266" s="168" t="str">
        <f>VLOOKUP(D266,[1]LuongBC_T01!$B$9:$C$292,2,FALSE)</f>
        <v>0016100006741007</v>
      </c>
      <c r="C266" s="199" t="s">
        <v>1008</v>
      </c>
      <c r="D266" s="169" t="s">
        <v>679</v>
      </c>
      <c r="E266" s="263" t="s">
        <v>1375</v>
      </c>
      <c r="F266" s="169" t="s">
        <v>549</v>
      </c>
      <c r="G266" s="200"/>
      <c r="H266" s="200" t="s">
        <v>283</v>
      </c>
      <c r="I266" s="200"/>
      <c r="J266" s="200"/>
      <c r="K266" s="170" t="str">
        <f>VLOOKUP(D266,[2]T3!$B$2:$D$328,3,FALSE)</f>
        <v>023841765</v>
      </c>
      <c r="L266" s="201" t="s">
        <v>680</v>
      </c>
      <c r="M266" s="201" t="s">
        <v>1008</v>
      </c>
      <c r="N266" s="263" t="str">
        <f>VLOOKUP(D266,'[6]Bao cao So GDDT'!$D$14:$S$282,11,FALSE)</f>
        <v>Giảng viên GDNN LT (hạng III)</v>
      </c>
      <c r="O266" s="390" t="s">
        <v>1438</v>
      </c>
      <c r="P266" s="222" t="s">
        <v>692</v>
      </c>
      <c r="Q266" s="172">
        <v>2</v>
      </c>
      <c r="R266" s="430">
        <v>3.66</v>
      </c>
      <c r="S266" s="176">
        <f>U266+W266+Y266</f>
        <v>0.43919999999999998</v>
      </c>
      <c r="T266" s="220"/>
      <c r="U266" s="176">
        <f t="shared" si="95"/>
        <v>0</v>
      </c>
      <c r="V266" s="175">
        <f>R266*T266*$D$8/100</f>
        <v>0</v>
      </c>
      <c r="W266" s="170"/>
      <c r="X266" s="179">
        <v>0.12</v>
      </c>
      <c r="Y266" s="216">
        <f t="shared" si="96"/>
        <v>0.43919999999999998</v>
      </c>
      <c r="Z266" s="216">
        <f t="shared" si="97"/>
        <v>4.0991999999999997</v>
      </c>
      <c r="AA266" s="180">
        <f t="shared" si="98"/>
        <v>9592128</v>
      </c>
      <c r="AB266" s="180"/>
      <c r="AC266" s="180">
        <f t="shared" si="119"/>
        <v>0</v>
      </c>
      <c r="AD266" s="180">
        <f t="shared" ref="AD266:AD279" si="121">AA266/24*AB266*75%</f>
        <v>0</v>
      </c>
      <c r="AE266" s="180">
        <f t="shared" si="100"/>
        <v>9592128</v>
      </c>
      <c r="AF266" s="178">
        <f t="shared" si="101"/>
        <v>767370.23999999999</v>
      </c>
      <c r="AG266" s="178">
        <f t="shared" si="102"/>
        <v>143881.91999999998</v>
      </c>
      <c r="AH266" s="178">
        <f t="shared" si="103"/>
        <v>95921.279999999999</v>
      </c>
      <c r="AI266" s="178"/>
      <c r="AJ266" s="178">
        <f t="shared" si="118"/>
        <v>1007173.44</v>
      </c>
      <c r="AK266" s="192"/>
      <c r="AL266" s="535">
        <f t="shared" si="112"/>
        <v>0</v>
      </c>
      <c r="AM266" s="182"/>
      <c r="AN266" s="182"/>
      <c r="AO266" s="193">
        <f t="shared" si="120"/>
        <v>3.66</v>
      </c>
      <c r="AP266" s="246">
        <v>0.25</v>
      </c>
      <c r="AQ266" s="194">
        <f t="shared" si="104"/>
        <v>0.91500000000000004</v>
      </c>
      <c r="AR266" s="178">
        <f t="shared" si="105"/>
        <v>2141100</v>
      </c>
      <c r="AS266" s="178"/>
      <c r="AT266" s="178">
        <f t="shared" si="106"/>
        <v>10726055</v>
      </c>
      <c r="AU266" s="469">
        <f t="shared" si="107"/>
        <v>248</v>
      </c>
      <c r="AV266" s="195"/>
      <c r="AW266" s="198" t="s">
        <v>714</v>
      </c>
    </row>
    <row r="267" spans="1:49" s="189" customFormat="1" ht="30.75" customHeight="1" x14ac:dyDescent="0.25">
      <c r="A267" s="168">
        <f>_xlfn.AGGREGATE(4,7,A$13:A266)+1</f>
        <v>249</v>
      </c>
      <c r="B267" s="168" t="str">
        <f>VLOOKUP(D267,[1]LuongBC_T01!$B$9:$C$292,2,FALSE)</f>
        <v>0016100006577002</v>
      </c>
      <c r="C267" s="199" t="s">
        <v>1009</v>
      </c>
      <c r="D267" s="230" t="s">
        <v>1232</v>
      </c>
      <c r="E267" s="263" t="s">
        <v>1377</v>
      </c>
      <c r="F267" s="231"/>
      <c r="G267" s="231"/>
      <c r="H267" s="231"/>
      <c r="I267" s="231"/>
      <c r="J267" s="231"/>
      <c r="K267" s="170" t="str">
        <f>VLOOKUP(D267,[2]T3!$B$2:$D$328,3,FALSE)</f>
        <v>024292308</v>
      </c>
      <c r="L267" s="543" t="s">
        <v>743</v>
      </c>
      <c r="M267" s="543" t="s">
        <v>1009</v>
      </c>
      <c r="N267" s="263" t="str">
        <f>VLOOKUP(D267,'[6]Bao cao So GDDT'!$D$14:$S$282,11,FALSE)</f>
        <v>Giảng viên GDNN LT (hạng III)</v>
      </c>
      <c r="O267" s="390" t="s">
        <v>1438</v>
      </c>
      <c r="P267" s="170" t="s">
        <v>692</v>
      </c>
      <c r="Q267" s="170">
        <v>2</v>
      </c>
      <c r="R267" s="177">
        <v>3.66</v>
      </c>
      <c r="S267" s="176">
        <f>U267+W267+Y267</f>
        <v>0.40260000000000001</v>
      </c>
      <c r="T267" s="169"/>
      <c r="U267" s="176">
        <f t="shared" si="95"/>
        <v>0</v>
      </c>
      <c r="V267" s="175">
        <f>R267*T267*$D$8/100</f>
        <v>0</v>
      </c>
      <c r="W267" s="170"/>
      <c r="X267" s="179">
        <v>0.11</v>
      </c>
      <c r="Y267" s="216">
        <f t="shared" si="96"/>
        <v>0.40260000000000001</v>
      </c>
      <c r="Z267" s="216">
        <f t="shared" si="97"/>
        <v>4.0625999999999998</v>
      </c>
      <c r="AA267" s="180">
        <f t="shared" si="98"/>
        <v>9506484</v>
      </c>
      <c r="AB267" s="180"/>
      <c r="AC267" s="180">
        <f t="shared" si="119"/>
        <v>0</v>
      </c>
      <c r="AD267" s="180">
        <f t="shared" si="121"/>
        <v>0</v>
      </c>
      <c r="AE267" s="180">
        <f t="shared" si="100"/>
        <v>9506484</v>
      </c>
      <c r="AF267" s="178">
        <f t="shared" si="101"/>
        <v>760518.72</v>
      </c>
      <c r="AG267" s="178">
        <f t="shared" si="102"/>
        <v>142597.25999999998</v>
      </c>
      <c r="AH267" s="178">
        <f t="shared" si="103"/>
        <v>95064.84</v>
      </c>
      <c r="AI267" s="178"/>
      <c r="AJ267" s="178">
        <f t="shared" si="118"/>
        <v>998180.82</v>
      </c>
      <c r="AK267" s="192"/>
      <c r="AL267" s="535">
        <f t="shared" si="112"/>
        <v>0</v>
      </c>
      <c r="AM267" s="182"/>
      <c r="AN267" s="182"/>
      <c r="AO267" s="183">
        <f t="shared" si="120"/>
        <v>3.66</v>
      </c>
      <c r="AP267" s="246">
        <v>0.25</v>
      </c>
      <c r="AQ267" s="194">
        <f t="shared" si="104"/>
        <v>0.91500000000000004</v>
      </c>
      <c r="AR267" s="178">
        <f t="shared" si="105"/>
        <v>2141100</v>
      </c>
      <c r="AS267" s="178"/>
      <c r="AT267" s="178">
        <f t="shared" si="106"/>
        <v>10649403</v>
      </c>
      <c r="AU267" s="469">
        <f t="shared" si="107"/>
        <v>249</v>
      </c>
      <c r="AV267" s="186"/>
      <c r="AW267" s="198" t="s">
        <v>714</v>
      </c>
    </row>
    <row r="268" spans="1:49" s="189" customFormat="1" ht="30.75" customHeight="1" x14ac:dyDescent="0.25">
      <c r="A268" s="168">
        <f>_xlfn.AGGREGATE(4,7,A$13:A267)+1</f>
        <v>250</v>
      </c>
      <c r="B268" s="168" t="str">
        <f>VLOOKUP(D268,[1]LuongBC_T01!$B$9:$C$292,2,FALSE)</f>
        <v>0016100006697008</v>
      </c>
      <c r="C268" s="199" t="s">
        <v>1014</v>
      </c>
      <c r="D268" s="230" t="s">
        <v>563</v>
      </c>
      <c r="E268" s="263" t="s">
        <v>1375</v>
      </c>
      <c r="F268" s="231"/>
      <c r="G268" s="231"/>
      <c r="H268" s="231"/>
      <c r="I268" s="231"/>
      <c r="J268" s="231"/>
      <c r="K268" s="170" t="str">
        <f>VLOOKUP(D268,[2]T3!$B$2:$D$328,3,FALSE)</f>
        <v>079082002097</v>
      </c>
      <c r="L268" s="543" t="s">
        <v>745</v>
      </c>
      <c r="M268" s="543" t="s">
        <v>1014</v>
      </c>
      <c r="N268" s="263" t="str">
        <f>VLOOKUP(D268,'[6]Bao cao So GDDT'!$D$14:$S$282,11,FALSE)</f>
        <v>Giảng viên GDNN LT (hạng III)</v>
      </c>
      <c r="O268" s="390" t="s">
        <v>1438</v>
      </c>
      <c r="P268" s="170" t="s">
        <v>692</v>
      </c>
      <c r="Q268" s="170">
        <v>2</v>
      </c>
      <c r="R268" s="177">
        <v>3.66</v>
      </c>
      <c r="S268" s="176">
        <f>U268+W268+Y268</f>
        <v>0.40260000000000001</v>
      </c>
      <c r="T268" s="169"/>
      <c r="U268" s="176">
        <f t="shared" si="95"/>
        <v>0</v>
      </c>
      <c r="V268" s="175">
        <f>R268*T268*$D$8/100</f>
        <v>0</v>
      </c>
      <c r="W268" s="170"/>
      <c r="X268" s="179">
        <v>0.11</v>
      </c>
      <c r="Y268" s="216">
        <f t="shared" si="96"/>
        <v>0.40260000000000001</v>
      </c>
      <c r="Z268" s="216">
        <f t="shared" si="97"/>
        <v>4.0625999999999998</v>
      </c>
      <c r="AA268" s="180">
        <f t="shared" si="98"/>
        <v>9506484</v>
      </c>
      <c r="AB268" s="180"/>
      <c r="AC268" s="180">
        <f t="shared" si="119"/>
        <v>0</v>
      </c>
      <c r="AD268" s="180">
        <f t="shared" si="121"/>
        <v>0</v>
      </c>
      <c r="AE268" s="180">
        <f t="shared" si="100"/>
        <v>9506484</v>
      </c>
      <c r="AF268" s="178">
        <f t="shared" si="101"/>
        <v>760518.72</v>
      </c>
      <c r="AG268" s="178">
        <f t="shared" si="102"/>
        <v>142597.25999999998</v>
      </c>
      <c r="AH268" s="178">
        <f t="shared" si="103"/>
        <v>95064.84</v>
      </c>
      <c r="AI268" s="178"/>
      <c r="AJ268" s="178">
        <f t="shared" si="118"/>
        <v>998180.82</v>
      </c>
      <c r="AK268" s="192"/>
      <c r="AL268" s="535">
        <f t="shared" si="112"/>
        <v>0</v>
      </c>
      <c r="AM268" s="182"/>
      <c r="AN268" s="182"/>
      <c r="AO268" s="183">
        <f t="shared" si="120"/>
        <v>3.66</v>
      </c>
      <c r="AP268" s="246">
        <v>0.25</v>
      </c>
      <c r="AQ268" s="194">
        <f t="shared" si="104"/>
        <v>0.91500000000000004</v>
      </c>
      <c r="AR268" s="178">
        <f t="shared" si="105"/>
        <v>2141100</v>
      </c>
      <c r="AS268" s="178"/>
      <c r="AT268" s="178">
        <f t="shared" si="106"/>
        <v>10649403</v>
      </c>
      <c r="AU268" s="469">
        <f t="shared" si="107"/>
        <v>250</v>
      </c>
      <c r="AV268" s="186"/>
      <c r="AW268" s="198" t="s">
        <v>714</v>
      </c>
    </row>
    <row r="269" spans="1:49" s="189" customFormat="1" ht="37.5" customHeight="1" x14ac:dyDescent="0.25">
      <c r="A269" s="168">
        <f>_xlfn.AGGREGATE(4,7,A$13:A268)+1</f>
        <v>251</v>
      </c>
      <c r="B269" s="168" t="str">
        <f>VLOOKUP(D269,[1]LuongBC_T01!$B$9:$C$292,2,FALSE)</f>
        <v>0016100018936008</v>
      </c>
      <c r="C269" s="565" t="s">
        <v>1415</v>
      </c>
      <c r="D269" s="544" t="s">
        <v>1406</v>
      </c>
      <c r="E269" s="263" t="s">
        <v>1377</v>
      </c>
      <c r="F269" s="564"/>
      <c r="G269" s="564"/>
      <c r="H269" s="564"/>
      <c r="I269" s="564"/>
      <c r="J269" s="564"/>
      <c r="K269" s="565"/>
      <c r="L269" s="564"/>
      <c r="M269" s="545"/>
      <c r="N269" s="263" t="str">
        <f>VLOOKUP(D269,'[6]Bao cao So GDDT'!$D$14:$S$282,11,FALSE)</f>
        <v>Giảng viên GDNN LT (hạng III)</v>
      </c>
      <c r="O269" s="263" t="s">
        <v>1438</v>
      </c>
      <c r="P269" s="566"/>
      <c r="Q269" s="566"/>
      <c r="R269" s="551">
        <v>3.66</v>
      </c>
      <c r="S269" s="546"/>
      <c r="T269" s="564"/>
      <c r="U269" s="546">
        <f t="shared" si="95"/>
        <v>0</v>
      </c>
      <c r="V269" s="547"/>
      <c r="W269" s="545"/>
      <c r="X269" s="179">
        <v>0.13</v>
      </c>
      <c r="Y269" s="548">
        <f t="shared" si="96"/>
        <v>0.4758</v>
      </c>
      <c r="Z269" s="548">
        <f t="shared" si="97"/>
        <v>4.1357999999999997</v>
      </c>
      <c r="AA269" s="549">
        <f t="shared" si="98"/>
        <v>9677772</v>
      </c>
      <c r="AB269" s="549"/>
      <c r="AC269" s="549">
        <f t="shared" si="119"/>
        <v>0</v>
      </c>
      <c r="AD269" s="549">
        <f t="shared" si="121"/>
        <v>0</v>
      </c>
      <c r="AE269" s="549">
        <f t="shared" si="100"/>
        <v>9677772</v>
      </c>
      <c r="AF269" s="550">
        <f t="shared" si="101"/>
        <v>774221.76</v>
      </c>
      <c r="AG269" s="550">
        <f t="shared" si="102"/>
        <v>145166.57999999999</v>
      </c>
      <c r="AH269" s="550">
        <f t="shared" si="103"/>
        <v>96777.72</v>
      </c>
      <c r="AI269" s="550"/>
      <c r="AJ269" s="550">
        <f t="shared" si="118"/>
        <v>1016166.0599999999</v>
      </c>
      <c r="AK269" s="567"/>
      <c r="AL269" s="535">
        <f t="shared" si="112"/>
        <v>0</v>
      </c>
      <c r="AM269" s="568"/>
      <c r="AN269" s="568"/>
      <c r="AO269" s="569">
        <f t="shared" si="120"/>
        <v>3.66</v>
      </c>
      <c r="AP269" s="639">
        <v>0.25</v>
      </c>
      <c r="AQ269" s="185">
        <f t="shared" si="104"/>
        <v>0.91500000000000004</v>
      </c>
      <c r="AR269" s="178">
        <f t="shared" si="105"/>
        <v>2141100</v>
      </c>
      <c r="AS269" s="550"/>
      <c r="AT269" s="178">
        <f t="shared" si="106"/>
        <v>10802706</v>
      </c>
      <c r="AU269" s="562">
        <f>A269</f>
        <v>251</v>
      </c>
      <c r="AV269" s="195"/>
      <c r="AW269" s="485"/>
    </row>
    <row r="270" spans="1:49" s="189" customFormat="1" ht="37.5" customHeight="1" x14ac:dyDescent="0.25">
      <c r="A270" s="168">
        <f>_xlfn.AGGREGATE(4,7,A$13:A269)+1</f>
        <v>252</v>
      </c>
      <c r="B270" s="168"/>
      <c r="C270" s="168"/>
      <c r="D270" s="169" t="s">
        <v>1587</v>
      </c>
      <c r="E270" s="263" t="s">
        <v>1377</v>
      </c>
      <c r="F270" s="220"/>
      <c r="G270" s="220"/>
      <c r="H270" s="220"/>
      <c r="I270" s="220"/>
      <c r="J270" s="220"/>
      <c r="K270" s="168"/>
      <c r="L270" s="490"/>
      <c r="M270" s="170"/>
      <c r="N270" s="263"/>
      <c r="O270" s="263" t="s">
        <v>1438</v>
      </c>
      <c r="P270" s="170"/>
      <c r="Q270" s="170"/>
      <c r="R270" s="177">
        <v>3.33</v>
      </c>
      <c r="S270" s="176"/>
      <c r="T270" s="220"/>
      <c r="U270" s="546">
        <f t="shared" si="95"/>
        <v>0</v>
      </c>
      <c r="V270" s="175"/>
      <c r="W270" s="170"/>
      <c r="X270" s="179">
        <v>0.1</v>
      </c>
      <c r="Y270" s="216">
        <f>ROUND((R270+U270+W270)*X270,4)</f>
        <v>0.33300000000000002</v>
      </c>
      <c r="Z270" s="216">
        <f>R270+U270+W270+Y270</f>
        <v>3.6630000000000003</v>
      </c>
      <c r="AA270" s="180">
        <f>ROUND(Z270*$D$8,0)</f>
        <v>8571420</v>
      </c>
      <c r="AB270" s="180"/>
      <c r="AC270" s="180">
        <f>AA270/24*AB270</f>
        <v>0</v>
      </c>
      <c r="AD270" s="180">
        <v>0</v>
      </c>
      <c r="AE270" s="180">
        <f>ROUND(AA270-AC270+AD270,0)</f>
        <v>8571420</v>
      </c>
      <c r="AF270" s="178">
        <f>AA270*8%</f>
        <v>685713.6</v>
      </c>
      <c r="AG270" s="178">
        <f>AA270*1.5%</f>
        <v>128571.29999999999</v>
      </c>
      <c r="AH270" s="178">
        <f>AA270*1%</f>
        <v>85714.2</v>
      </c>
      <c r="AI270" s="178"/>
      <c r="AJ270" s="178">
        <f>SUM(AF270:AI270)</f>
        <v>899999.09999999986</v>
      </c>
      <c r="AK270" s="192"/>
      <c r="AL270" s="535">
        <f t="shared" si="112"/>
        <v>0</v>
      </c>
      <c r="AM270" s="182"/>
      <c r="AN270" s="182"/>
      <c r="AO270" s="183">
        <f>R270+U270+W270</f>
        <v>3.33</v>
      </c>
      <c r="AP270" s="246">
        <v>0.25</v>
      </c>
      <c r="AQ270" s="185">
        <f>ROUND(AO270*AP270,4)</f>
        <v>0.83250000000000002</v>
      </c>
      <c r="AR270" s="178">
        <f>ROUND(AQ270*$D$8,0)</f>
        <v>1948050</v>
      </c>
      <c r="AS270" s="178"/>
      <c r="AT270" s="178">
        <f>ROUND(AE270-AJ270+AL270+AN270+AR270,0)</f>
        <v>9619471</v>
      </c>
      <c r="AU270" s="469">
        <f>A270</f>
        <v>252</v>
      </c>
      <c r="AV270" s="195"/>
      <c r="AW270" s="195" t="s">
        <v>1584</v>
      </c>
    </row>
    <row r="271" spans="1:49" s="189" customFormat="1" ht="30.75" customHeight="1" x14ac:dyDescent="0.25">
      <c r="A271" s="168">
        <f>_xlfn.AGGREGATE(4,7,A$13:A270)+1</f>
        <v>253</v>
      </c>
      <c r="B271" s="168" t="str">
        <f>VLOOKUP(D271,[1]LuongBC_T01!$B$9:$C$292,2,FALSE)</f>
        <v>0016100007699004</v>
      </c>
      <c r="C271" s="170" t="s">
        <v>1327</v>
      </c>
      <c r="D271" s="169" t="s">
        <v>1292</v>
      </c>
      <c r="E271" s="263" t="s">
        <v>1407</v>
      </c>
      <c r="F271" s="220"/>
      <c r="G271" s="220"/>
      <c r="H271" s="220"/>
      <c r="I271" s="220"/>
      <c r="J271" s="220"/>
      <c r="K271" s="170" t="str">
        <f>VLOOKUP(D271,[2]T3!$B$2:$D$328,3,FALSE)</f>
        <v>022093185</v>
      </c>
      <c r="L271" s="220"/>
      <c r="M271" s="170"/>
      <c r="N271" s="263" t="str">
        <f>VLOOKUP(D271,'[6]Bao cao So GDDT'!$D$14:$S$282,11,FALSE)</f>
        <v>Giảng viên GDNN LT (hạng III)</v>
      </c>
      <c r="O271" s="390" t="s">
        <v>1438</v>
      </c>
      <c r="P271" s="251"/>
      <c r="Q271" s="251"/>
      <c r="R271" s="177">
        <v>3</v>
      </c>
      <c r="S271" s="176"/>
      <c r="T271" s="220"/>
      <c r="U271" s="176">
        <f t="shared" si="95"/>
        <v>0</v>
      </c>
      <c r="V271" s="175"/>
      <c r="W271" s="170"/>
      <c r="X271" s="179">
        <v>0.05</v>
      </c>
      <c r="Y271" s="216">
        <f t="shared" si="96"/>
        <v>0.15</v>
      </c>
      <c r="Z271" s="216">
        <f t="shared" si="97"/>
        <v>3.15</v>
      </c>
      <c r="AA271" s="180">
        <f t="shared" si="98"/>
        <v>7371000</v>
      </c>
      <c r="AB271" s="180"/>
      <c r="AC271" s="180">
        <f t="shared" si="119"/>
        <v>0</v>
      </c>
      <c r="AD271" s="180">
        <f t="shared" si="121"/>
        <v>0</v>
      </c>
      <c r="AE271" s="180">
        <f t="shared" si="100"/>
        <v>7371000</v>
      </c>
      <c r="AF271" s="178">
        <f t="shared" ref="AF271:AF282" si="122">AA271*8%</f>
        <v>589680</v>
      </c>
      <c r="AG271" s="178">
        <f t="shared" ref="AG271:AG282" si="123">AA271*1.5%</f>
        <v>110565</v>
      </c>
      <c r="AH271" s="178">
        <f t="shared" ref="AH271:AH282" si="124">AA271*1%</f>
        <v>73710</v>
      </c>
      <c r="AI271" s="178"/>
      <c r="AJ271" s="178">
        <f t="shared" si="118"/>
        <v>773955</v>
      </c>
      <c r="AK271" s="192"/>
      <c r="AL271" s="535">
        <f t="shared" si="112"/>
        <v>0</v>
      </c>
      <c r="AM271" s="182"/>
      <c r="AN271" s="182"/>
      <c r="AO271" s="183">
        <f t="shared" si="120"/>
        <v>3</v>
      </c>
      <c r="AP271" s="246">
        <v>0.25</v>
      </c>
      <c r="AQ271" s="185">
        <f t="shared" si="104"/>
        <v>0.75</v>
      </c>
      <c r="AR271" s="178">
        <f t="shared" si="105"/>
        <v>1755000</v>
      </c>
      <c r="AS271" s="178"/>
      <c r="AT271" s="178">
        <f t="shared" si="106"/>
        <v>8352045</v>
      </c>
      <c r="AU271" s="469">
        <f t="shared" ref="AU271:AU282" si="125">A271</f>
        <v>253</v>
      </c>
      <c r="AV271" s="195"/>
      <c r="AW271" s="485"/>
    </row>
    <row r="272" spans="1:49" s="189" customFormat="1" ht="30.75" customHeight="1" x14ac:dyDescent="0.25">
      <c r="A272" s="168">
        <f>_xlfn.AGGREGATE(4,7,A$13:A271)+1</f>
        <v>254</v>
      </c>
      <c r="B272" s="168" t="str">
        <f>VLOOKUP(D272,[1]LuongBC_T01!$B$9:$C$292,2,FALSE)</f>
        <v>0016100012092002</v>
      </c>
      <c r="C272" s="170" t="s">
        <v>1332</v>
      </c>
      <c r="D272" s="169" t="s">
        <v>1305</v>
      </c>
      <c r="E272" s="263" t="s">
        <v>1377</v>
      </c>
      <c r="F272" s="220"/>
      <c r="G272" s="220"/>
      <c r="H272" s="220"/>
      <c r="I272" s="220"/>
      <c r="J272" s="220"/>
      <c r="K272" s="170" t="str">
        <f>VLOOKUP(D272,[2]T3!$B$2:$D$328,3,FALSE)</f>
        <v>215223184</v>
      </c>
      <c r="L272" s="220"/>
      <c r="M272" s="170"/>
      <c r="N272" s="263" t="str">
        <f>VLOOKUP(D272,'[6]Bao cao So GDDT'!$D$14:$S$282,11,FALSE)</f>
        <v>Giảng viên GDNN LT (hạng III)</v>
      </c>
      <c r="O272" s="263" t="s">
        <v>807</v>
      </c>
      <c r="P272" s="251"/>
      <c r="Q272" s="251"/>
      <c r="R272" s="177">
        <v>3</v>
      </c>
      <c r="S272" s="176"/>
      <c r="T272" s="220"/>
      <c r="U272" s="176">
        <f t="shared" si="95"/>
        <v>0</v>
      </c>
      <c r="V272" s="175"/>
      <c r="W272" s="170"/>
      <c r="X272" s="179">
        <f>VLOOKUP(D272,PCTN!D268:W535,20,FALSE)</f>
        <v>0</v>
      </c>
      <c r="Y272" s="216">
        <f t="shared" si="96"/>
        <v>0</v>
      </c>
      <c r="Z272" s="216">
        <f t="shared" si="97"/>
        <v>3</v>
      </c>
      <c r="AA272" s="180">
        <f t="shared" si="98"/>
        <v>7020000</v>
      </c>
      <c r="AB272" s="180"/>
      <c r="AC272" s="180">
        <f t="shared" si="119"/>
        <v>0</v>
      </c>
      <c r="AD272" s="180">
        <f t="shared" si="121"/>
        <v>0</v>
      </c>
      <c r="AE272" s="180">
        <f t="shared" si="100"/>
        <v>7020000</v>
      </c>
      <c r="AF272" s="178">
        <f t="shared" si="122"/>
        <v>561600</v>
      </c>
      <c r="AG272" s="178">
        <f t="shared" si="123"/>
        <v>105300</v>
      </c>
      <c r="AH272" s="178">
        <f t="shared" si="124"/>
        <v>70200</v>
      </c>
      <c r="AI272" s="178"/>
      <c r="AJ272" s="178">
        <f t="shared" si="118"/>
        <v>737100</v>
      </c>
      <c r="AK272" s="192"/>
      <c r="AL272" s="535">
        <f t="shared" si="112"/>
        <v>0</v>
      </c>
      <c r="AM272" s="182"/>
      <c r="AN272" s="182"/>
      <c r="AO272" s="183">
        <f t="shared" si="120"/>
        <v>3</v>
      </c>
      <c r="AP272" s="246">
        <v>0.25</v>
      </c>
      <c r="AQ272" s="185">
        <f t="shared" si="104"/>
        <v>0.75</v>
      </c>
      <c r="AR272" s="178">
        <f t="shared" si="105"/>
        <v>1755000</v>
      </c>
      <c r="AS272" s="178"/>
      <c r="AT272" s="178">
        <f t="shared" si="106"/>
        <v>8037900</v>
      </c>
      <c r="AU272" s="469">
        <f t="shared" si="125"/>
        <v>254</v>
      </c>
      <c r="AV272" s="195"/>
      <c r="AW272" s="485"/>
    </row>
    <row r="273" spans="1:59" s="189" customFormat="1" ht="37.5" customHeight="1" x14ac:dyDescent="0.25">
      <c r="A273" s="168">
        <f>_xlfn.AGGREGATE(4,7,A$13:A272)+1</f>
        <v>255</v>
      </c>
      <c r="B273" s="168" t="s">
        <v>1506</v>
      </c>
      <c r="C273" s="720" t="s">
        <v>1555</v>
      </c>
      <c r="D273" s="544" t="s">
        <v>1492</v>
      </c>
      <c r="E273" s="563" t="s">
        <v>1377</v>
      </c>
      <c r="F273" s="564"/>
      <c r="G273" s="564"/>
      <c r="H273" s="564"/>
      <c r="I273" s="564"/>
      <c r="J273" s="564"/>
      <c r="K273" s="565"/>
      <c r="L273" s="721" t="s">
        <v>1505</v>
      </c>
      <c r="M273" s="545"/>
      <c r="N273" s="263" t="str">
        <f>VLOOKUP(D273,'[6]Bao cao So GDDT'!$D$14:$S$282,11,FALSE)</f>
        <v>Giảng viên GDNN LT (hạng III)</v>
      </c>
      <c r="O273" s="661" t="s">
        <v>1438</v>
      </c>
      <c r="P273" s="566"/>
      <c r="Q273" s="566"/>
      <c r="R273" s="551">
        <v>3.66</v>
      </c>
      <c r="S273" s="546"/>
      <c r="T273" s="564"/>
      <c r="U273" s="546">
        <f>ROUND(R273*T273/100,4)</f>
        <v>0</v>
      </c>
      <c r="V273" s="547"/>
      <c r="W273" s="545"/>
      <c r="X273" s="179">
        <v>0.12</v>
      </c>
      <c r="Y273" s="216">
        <f>ROUND((R273+U273+W273)*X273,4)</f>
        <v>0.43919999999999998</v>
      </c>
      <c r="Z273" s="216">
        <f>R273+U273+W273+Y273</f>
        <v>4.0991999999999997</v>
      </c>
      <c r="AA273" s="180">
        <f>ROUND(Z273*$D$8,0)</f>
        <v>9592128</v>
      </c>
      <c r="AB273" s="549"/>
      <c r="AC273" s="180">
        <f>AA273/24*AB273</f>
        <v>0</v>
      </c>
      <c r="AD273" s="180">
        <f>AA273/24*AB273*75%</f>
        <v>0</v>
      </c>
      <c r="AE273" s="180">
        <f>ROUND(AA273-AC273+AD273,0)</f>
        <v>9592128</v>
      </c>
      <c r="AF273" s="178">
        <f>AA273*8%</f>
        <v>767370.23999999999</v>
      </c>
      <c r="AG273" s="178">
        <f>AA273*1.5%</f>
        <v>143881.91999999998</v>
      </c>
      <c r="AH273" s="178">
        <f>AA273*1%</f>
        <v>95921.279999999999</v>
      </c>
      <c r="AI273" s="550"/>
      <c r="AJ273" s="178">
        <f>SUM(AF273:AI273)</f>
        <v>1007173.44</v>
      </c>
      <c r="AK273" s="567"/>
      <c r="AL273" s="535">
        <f t="shared" si="112"/>
        <v>0</v>
      </c>
      <c r="AM273" s="568"/>
      <c r="AN273" s="568"/>
      <c r="AO273" s="569">
        <f>R273+U273+W273</f>
        <v>3.66</v>
      </c>
      <c r="AP273" s="639">
        <v>0.25</v>
      </c>
      <c r="AQ273" s="185">
        <f>ROUND(AO273*AP273,4)</f>
        <v>0.91500000000000004</v>
      </c>
      <c r="AR273" s="178">
        <f>ROUND(AQ273*$D$8,0)</f>
        <v>2141100</v>
      </c>
      <c r="AS273" s="550"/>
      <c r="AT273" s="178">
        <f>ROUND(AE273-AJ273+AL273+AN273+AR273,0)</f>
        <v>10726055</v>
      </c>
      <c r="AU273" s="469">
        <f t="shared" si="125"/>
        <v>255</v>
      </c>
      <c r="AV273" s="722"/>
      <c r="AW273" s="722" t="s">
        <v>1493</v>
      </c>
    </row>
    <row r="274" spans="1:59" s="189" customFormat="1" ht="37.5" customHeight="1" x14ac:dyDescent="0.25">
      <c r="A274" s="168">
        <f>_xlfn.AGGREGATE(4,7,A$13:A273)+1</f>
        <v>256</v>
      </c>
      <c r="B274" s="168" t="s">
        <v>1497</v>
      </c>
      <c r="C274" s="857" t="s">
        <v>1554</v>
      </c>
      <c r="D274" s="169" t="s">
        <v>1480</v>
      </c>
      <c r="E274" s="263" t="s">
        <v>1377</v>
      </c>
      <c r="F274" s="220"/>
      <c r="G274" s="220"/>
      <c r="H274" s="220"/>
      <c r="I274" s="220"/>
      <c r="J274" s="220"/>
      <c r="K274" s="168">
        <v>233140411</v>
      </c>
      <c r="L274" s="490" t="s">
        <v>1486</v>
      </c>
      <c r="M274" s="170"/>
      <c r="N274" s="827" t="str">
        <f>VLOOKUP(D274,'[6]Bao cao So GDDT'!$D$14:$S$282,11,FALSE)</f>
        <v>Giảng viên GDNN LT (hạng III)</v>
      </c>
      <c r="O274" s="661" t="s">
        <v>1438</v>
      </c>
      <c r="P274" s="251"/>
      <c r="Q274" s="251"/>
      <c r="R274" s="170">
        <v>2.34</v>
      </c>
      <c r="S274" s="176"/>
      <c r="T274" s="220"/>
      <c r="U274" s="176">
        <f>ROUND(R274*T274/100,4)</f>
        <v>0</v>
      </c>
      <c r="V274" s="175"/>
      <c r="W274" s="170"/>
      <c r="X274" s="179">
        <v>0</v>
      </c>
      <c r="Y274" s="216">
        <f>ROUND((R274+U274+W274)*X274,4)</f>
        <v>0</v>
      </c>
      <c r="Z274" s="216">
        <f>R274+U274+W274+Y274</f>
        <v>2.34</v>
      </c>
      <c r="AA274" s="180">
        <f>ROUND(Z274*$D$8,0)</f>
        <v>5475600</v>
      </c>
      <c r="AB274" s="180"/>
      <c r="AC274" s="180">
        <f>AA274/24*AB274</f>
        <v>0</v>
      </c>
      <c r="AD274" s="180">
        <f>AA274/24*AB274*75%</f>
        <v>0</v>
      </c>
      <c r="AE274" s="180">
        <f>ROUND(AA274-AC274+AD274,0)</f>
        <v>5475600</v>
      </c>
      <c r="AF274" s="178">
        <f>AA274*8%</f>
        <v>438048</v>
      </c>
      <c r="AG274" s="178">
        <f>AA274*1.5%</f>
        <v>82134</v>
      </c>
      <c r="AH274" s="178">
        <f>AA274*1%</f>
        <v>54756</v>
      </c>
      <c r="AI274" s="178"/>
      <c r="AJ274" s="178">
        <f>SUM(AF274:AI274)</f>
        <v>574938</v>
      </c>
      <c r="AK274" s="192"/>
      <c r="AL274" s="535">
        <f t="shared" si="112"/>
        <v>0</v>
      </c>
      <c r="AM274" s="182"/>
      <c r="AN274" s="182"/>
      <c r="AO274" s="183">
        <f>R274+U274+W274</f>
        <v>2.34</v>
      </c>
      <c r="AP274" s="246">
        <v>0.25</v>
      </c>
      <c r="AQ274" s="185">
        <f>ROUND(AO274*AP274,4)</f>
        <v>0.58499999999999996</v>
      </c>
      <c r="AR274" s="178">
        <f>ROUND(AQ274*$D$8,0)</f>
        <v>1368900</v>
      </c>
      <c r="AS274" s="178"/>
      <c r="AT274" s="178">
        <f>ROUND(AE274-AJ274+AL274+AN274+AR274,0)</f>
        <v>6269562</v>
      </c>
      <c r="AU274" s="469">
        <f t="shared" si="125"/>
        <v>256</v>
      </c>
      <c r="AV274" s="195"/>
      <c r="AW274" s="195" t="s">
        <v>1568</v>
      </c>
      <c r="AX274" s="29"/>
      <c r="AY274" s="29"/>
      <c r="AZ274" s="29"/>
      <c r="BA274" s="29"/>
      <c r="BB274" s="29"/>
      <c r="BC274" s="29"/>
      <c r="BD274" s="29"/>
      <c r="BE274" s="29"/>
      <c r="BF274" s="29"/>
      <c r="BG274" s="29"/>
    </row>
    <row r="275" spans="1:59" s="189" customFormat="1" ht="37.5" customHeight="1" x14ac:dyDescent="0.25">
      <c r="A275" s="168">
        <f>_xlfn.AGGREGATE(4,7,A$13:A274)+1</f>
        <v>257</v>
      </c>
      <c r="B275" s="168" t="s">
        <v>1502</v>
      </c>
      <c r="C275" s="659" t="s">
        <v>1560</v>
      </c>
      <c r="D275" s="169" t="s">
        <v>1442</v>
      </c>
      <c r="E275" s="263" t="s">
        <v>1377</v>
      </c>
      <c r="F275" s="220"/>
      <c r="G275" s="220"/>
      <c r="H275" s="220"/>
      <c r="I275" s="220"/>
      <c r="J275" s="220"/>
      <c r="K275" s="168"/>
      <c r="L275" s="490" t="s">
        <v>1446</v>
      </c>
      <c r="M275" s="170"/>
      <c r="N275" s="263" t="str">
        <f>VLOOKUP(D275,'[6]Bao cao So GDDT'!$D$14:$S$282,11,FALSE)</f>
        <v>Giảng viên GDNN LT (hạng III)</v>
      </c>
      <c r="O275" s="661" t="s">
        <v>1438</v>
      </c>
      <c r="P275" s="251"/>
      <c r="Q275" s="251"/>
      <c r="R275" s="170">
        <v>2.67</v>
      </c>
      <c r="S275" s="176"/>
      <c r="T275" s="220"/>
      <c r="U275" s="176">
        <f>ROUND(R275*T275/100,4)</f>
        <v>0</v>
      </c>
      <c r="V275" s="175"/>
      <c r="W275" s="170"/>
      <c r="X275" s="179">
        <f>VLOOKUP(D275,PCTN!D91:W358,20,FALSE)</f>
        <v>0</v>
      </c>
      <c r="Y275" s="216">
        <f>ROUND((R275+U275+W275)*X275,4)</f>
        <v>0</v>
      </c>
      <c r="Z275" s="216">
        <f>R275+U275+W275+Y275</f>
        <v>2.67</v>
      </c>
      <c r="AA275" s="180">
        <f>ROUND(Z275*$D$8,0)</f>
        <v>6247800</v>
      </c>
      <c r="AB275" s="180"/>
      <c r="AC275" s="180">
        <f>AA275/24*AB275</f>
        <v>0</v>
      </c>
      <c r="AD275" s="180">
        <f>AA275/24*AB275*75%</f>
        <v>0</v>
      </c>
      <c r="AE275" s="180">
        <f>ROUND(AA275-AC275+AD275,0)</f>
        <v>6247800</v>
      </c>
      <c r="AF275" s="178">
        <f>AA275*8%</f>
        <v>499824</v>
      </c>
      <c r="AG275" s="178">
        <f>AA275*1.5%</f>
        <v>93717</v>
      </c>
      <c r="AH275" s="178">
        <f>AA275*1%</f>
        <v>62478</v>
      </c>
      <c r="AI275" s="178"/>
      <c r="AJ275" s="178">
        <f>SUM(AF275:AI275)</f>
        <v>656019</v>
      </c>
      <c r="AK275" s="192"/>
      <c r="AL275" s="535">
        <f t="shared" si="112"/>
        <v>0</v>
      </c>
      <c r="AM275" s="182"/>
      <c r="AN275" s="182"/>
      <c r="AO275" s="183">
        <f>R275+U275+W275</f>
        <v>2.67</v>
      </c>
      <c r="AP275" s="639">
        <v>0.25</v>
      </c>
      <c r="AQ275" s="185">
        <f>ROUND(AO275*AP275,4)</f>
        <v>0.66749999999999998</v>
      </c>
      <c r="AR275" s="178">
        <f>ROUND(AQ275*$D$8,0)</f>
        <v>1561950</v>
      </c>
      <c r="AS275" s="178"/>
      <c r="AT275" s="178">
        <f>ROUND(AE275-AJ275+AL275+AN275+AR275,0)</f>
        <v>7153731</v>
      </c>
      <c r="AU275" s="469">
        <f t="shared" si="125"/>
        <v>257</v>
      </c>
      <c r="AV275" s="195"/>
      <c r="AW275" s="658"/>
    </row>
    <row r="276" spans="1:59" s="189" customFormat="1" ht="42.75" customHeight="1" x14ac:dyDescent="0.25">
      <c r="A276" s="168">
        <f>_xlfn.AGGREGATE(4,7,A$13:A275)+1</f>
        <v>258</v>
      </c>
      <c r="B276" s="565"/>
      <c r="C276" s="565"/>
      <c r="D276" s="902" t="s">
        <v>1612</v>
      </c>
      <c r="E276" s="563" t="s">
        <v>1377</v>
      </c>
      <c r="F276" s="564"/>
      <c r="G276" s="564"/>
      <c r="H276" s="564"/>
      <c r="I276" s="564"/>
      <c r="J276" s="564"/>
      <c r="K276" s="565"/>
      <c r="L276" s="721"/>
      <c r="M276" s="545"/>
      <c r="N276" s="563"/>
      <c r="O276" s="263" t="s">
        <v>1438</v>
      </c>
      <c r="P276" s="545"/>
      <c r="Q276" s="545"/>
      <c r="R276" s="545">
        <v>2.34</v>
      </c>
      <c r="S276" s="546"/>
      <c r="T276" s="564"/>
      <c r="U276" s="176">
        <f>ROUND(R276*T276/100,4)</f>
        <v>0</v>
      </c>
      <c r="V276" s="547"/>
      <c r="W276" s="545"/>
      <c r="X276" s="179">
        <v>0</v>
      </c>
      <c r="Y276" s="216">
        <f>ROUND((R276+U276+W276)*X276,4)</f>
        <v>0</v>
      </c>
      <c r="Z276" s="216">
        <f>R276+U276+W276+Y276</f>
        <v>2.34</v>
      </c>
      <c r="AA276" s="180">
        <f>ROUND(Z276*$D$8,0)</f>
        <v>5475600</v>
      </c>
      <c r="AB276" s="549"/>
      <c r="AC276" s="180">
        <f>AA276/24*AB276</f>
        <v>0</v>
      </c>
      <c r="AD276" s="180">
        <v>0</v>
      </c>
      <c r="AE276" s="180">
        <f>ROUND(AA276-AC276+AD276,0)</f>
        <v>5475600</v>
      </c>
      <c r="AF276" s="178">
        <f>AA276*8%</f>
        <v>438048</v>
      </c>
      <c r="AG276" s="178">
        <f>AA276*1.5%</f>
        <v>82134</v>
      </c>
      <c r="AH276" s="178">
        <f>AA276*1%</f>
        <v>54756</v>
      </c>
      <c r="AI276" s="550"/>
      <c r="AJ276" s="178">
        <f>SUM(AF276:AI276)</f>
        <v>574938</v>
      </c>
      <c r="AK276" s="567"/>
      <c r="AL276" s="535">
        <f t="shared" si="112"/>
        <v>0</v>
      </c>
      <c r="AM276" s="568"/>
      <c r="AN276" s="568"/>
      <c r="AO276" s="183">
        <f>R276+U276+W276</f>
        <v>2.34</v>
      </c>
      <c r="AP276" s="246">
        <v>0.25</v>
      </c>
      <c r="AQ276" s="185">
        <f>ROUND(AO276*AP276,4)</f>
        <v>0.58499999999999996</v>
      </c>
      <c r="AR276" s="178">
        <f>ROUND(AQ276*$D$8,0)</f>
        <v>1368900</v>
      </c>
      <c r="AS276" s="550"/>
      <c r="AT276" s="178">
        <f>ROUND(AE276-AJ276+AL276+AN276+AR276,0)</f>
        <v>6269562</v>
      </c>
      <c r="AU276" s="469">
        <f>A276</f>
        <v>258</v>
      </c>
      <c r="AV276" s="195" t="s">
        <v>1613</v>
      </c>
      <c r="AW276" s="658"/>
    </row>
    <row r="277" spans="1:59" s="189" customFormat="1" ht="49.5" customHeight="1" x14ac:dyDescent="0.25">
      <c r="A277" s="168">
        <f>_xlfn.AGGREGATE(4,7,A$13:A276)+1</f>
        <v>259</v>
      </c>
      <c r="B277" s="168" t="str">
        <f>VLOOKUP(D277,[1]LuongBC_T01!$B$9:$C$292,2,FALSE)</f>
        <v>0016100006587008</v>
      </c>
      <c r="C277" s="199" t="s">
        <v>917</v>
      </c>
      <c r="D277" s="230" t="s">
        <v>766</v>
      </c>
      <c r="E277" s="263" t="s">
        <v>1638</v>
      </c>
      <c r="F277" s="231"/>
      <c r="G277" s="231"/>
      <c r="H277" s="231"/>
      <c r="I277" s="231"/>
      <c r="J277" s="231"/>
      <c r="K277" s="170" t="str">
        <f>VLOOKUP(D277,[2]T3!$B$2:$D$328,3,FALSE)</f>
        <v>020750459</v>
      </c>
      <c r="L277" s="226" t="s">
        <v>793</v>
      </c>
      <c r="M277" s="226" t="s">
        <v>917</v>
      </c>
      <c r="N277" s="263" t="str">
        <f>VLOOKUP(D277,'[6]Bao cao So GDDT'!$D$14:$S$282,11,FALSE)</f>
        <v>Giảng viên GDNN LT (hạng III)</v>
      </c>
      <c r="O277" s="390" t="s">
        <v>1438</v>
      </c>
      <c r="P277" s="170" t="s">
        <v>692</v>
      </c>
      <c r="Q277" s="170">
        <v>3</v>
      </c>
      <c r="R277" s="177">
        <v>3.66</v>
      </c>
      <c r="S277" s="176">
        <f>U277+W277+Y277</f>
        <v>0.751</v>
      </c>
      <c r="T277" s="169"/>
      <c r="U277" s="176">
        <f t="shared" ref="U277:U282" si="126">ROUND(R277*T277/100,4)</f>
        <v>0</v>
      </c>
      <c r="V277" s="175"/>
      <c r="W277" s="170">
        <v>0.35</v>
      </c>
      <c r="X277" s="179">
        <v>0.1</v>
      </c>
      <c r="Y277" s="216">
        <f t="shared" ref="Y277:Y282" si="127">ROUND((R277+U277+W277)*X277,4)</f>
        <v>0.40100000000000002</v>
      </c>
      <c r="Z277" s="216">
        <f t="shared" ref="Z277:Z282" si="128">R277+U277+W277+Y277</f>
        <v>4.4109999999999996</v>
      </c>
      <c r="AA277" s="180">
        <f t="shared" ref="AA277:AA282" si="129">ROUND(Z277*$D$8,0)</f>
        <v>10321740</v>
      </c>
      <c r="AB277" s="180"/>
      <c r="AC277" s="180">
        <f t="shared" si="119"/>
        <v>0</v>
      </c>
      <c r="AD277" s="180">
        <f t="shared" si="121"/>
        <v>0</v>
      </c>
      <c r="AE277" s="180">
        <f t="shared" ref="AE277:AE282" si="130">ROUND(AA277-AC277+AD277,0)</f>
        <v>10321740</v>
      </c>
      <c r="AF277" s="178">
        <f t="shared" si="122"/>
        <v>825739.20000000007</v>
      </c>
      <c r="AG277" s="178">
        <f t="shared" si="123"/>
        <v>154826.1</v>
      </c>
      <c r="AH277" s="178">
        <f t="shared" si="124"/>
        <v>103217.40000000001</v>
      </c>
      <c r="AI277" s="178"/>
      <c r="AJ277" s="178">
        <f t="shared" si="118"/>
        <v>1083782.7</v>
      </c>
      <c r="AK277" s="192"/>
      <c r="AL277" s="535">
        <f t="shared" si="112"/>
        <v>0</v>
      </c>
      <c r="AM277" s="182"/>
      <c r="AN277" s="182"/>
      <c r="AO277" s="183">
        <f t="shared" si="120"/>
        <v>4.01</v>
      </c>
      <c r="AP277" s="246">
        <v>0.25</v>
      </c>
      <c r="AQ277" s="194">
        <f t="shared" ref="AQ277:AQ282" si="131">ROUND(AO277*AP277,4)</f>
        <v>1.0024999999999999</v>
      </c>
      <c r="AR277" s="178">
        <f t="shared" ref="AR277:AR282" si="132">ROUND(AQ277*$D$8,0)</f>
        <v>2345850</v>
      </c>
      <c r="AS277" s="178"/>
      <c r="AT277" s="178">
        <f t="shared" ref="AT277" si="133">ROUND(AE277-AJ277+AL277+AN277+AR277,0)</f>
        <v>11583807</v>
      </c>
      <c r="AU277" s="469">
        <f t="shared" si="125"/>
        <v>259</v>
      </c>
      <c r="AV277" s="195" t="s">
        <v>1637</v>
      </c>
      <c r="AW277" s="196"/>
    </row>
    <row r="278" spans="1:59" s="189" customFormat="1" ht="48" customHeight="1" x14ac:dyDescent="0.25">
      <c r="A278" s="168">
        <f>_xlfn.AGGREGATE(4,7,A$13:A277)+1</f>
        <v>260</v>
      </c>
      <c r="B278" s="168" t="str">
        <f>VLOOKUP(D278,[1]LuongBC_T01!$B$9:$C$292,2,FALSE)</f>
        <v>0016100006558008</v>
      </c>
      <c r="C278" s="170" t="s">
        <v>1321</v>
      </c>
      <c r="D278" s="169" t="s">
        <v>1097</v>
      </c>
      <c r="E278" s="263" t="s">
        <v>1639</v>
      </c>
      <c r="F278" s="220"/>
      <c r="G278" s="220"/>
      <c r="H278" s="220"/>
      <c r="I278" s="220"/>
      <c r="J278" s="220"/>
      <c r="K278" s="170" t="str">
        <f>VLOOKUP(D278,[2]T3!$B$2:$D$328,3,FALSE)</f>
        <v>142482490</v>
      </c>
      <c r="L278" s="220"/>
      <c r="M278" s="170"/>
      <c r="N278" s="263" t="str">
        <f>VLOOKUP(D278,'[6]Bao cao So GDDT'!$D$14:$S$282,11,FALSE)</f>
        <v>Giảng viên GDNN LT (hạng III)</v>
      </c>
      <c r="O278" s="390" t="s">
        <v>1438</v>
      </c>
      <c r="P278" s="170"/>
      <c r="Q278" s="170">
        <v>2</v>
      </c>
      <c r="R278" s="177">
        <v>3.33</v>
      </c>
      <c r="S278" s="176">
        <f>U278+W278+Y278</f>
        <v>0.60759999999999992</v>
      </c>
      <c r="T278" s="220"/>
      <c r="U278" s="176">
        <f t="shared" si="126"/>
        <v>0</v>
      </c>
      <c r="V278" s="175">
        <f>R278*T278*$D$8/100</f>
        <v>0</v>
      </c>
      <c r="W278" s="177">
        <v>0.35</v>
      </c>
      <c r="X278" s="179">
        <v>7.0000000000000007E-2</v>
      </c>
      <c r="Y278" s="216">
        <f t="shared" si="127"/>
        <v>0.2576</v>
      </c>
      <c r="Z278" s="216">
        <f t="shared" si="128"/>
        <v>3.9376000000000002</v>
      </c>
      <c r="AA278" s="180">
        <f t="shared" si="129"/>
        <v>9213984</v>
      </c>
      <c r="AB278" s="180"/>
      <c r="AC278" s="180">
        <f t="shared" si="119"/>
        <v>0</v>
      </c>
      <c r="AD278" s="180">
        <f t="shared" si="121"/>
        <v>0</v>
      </c>
      <c r="AE278" s="180">
        <f t="shared" si="130"/>
        <v>9213984</v>
      </c>
      <c r="AF278" s="178">
        <f t="shared" si="122"/>
        <v>737118.71999999997</v>
      </c>
      <c r="AG278" s="178">
        <f t="shared" si="123"/>
        <v>138209.76</v>
      </c>
      <c r="AH278" s="178">
        <f t="shared" si="124"/>
        <v>92139.839999999997</v>
      </c>
      <c r="AI278" s="178"/>
      <c r="AJ278" s="178">
        <f t="shared" si="118"/>
        <v>967468.32</v>
      </c>
      <c r="AK278" s="192"/>
      <c r="AL278" s="535">
        <f t="shared" si="112"/>
        <v>0</v>
      </c>
      <c r="AM278" s="182"/>
      <c r="AN278" s="182"/>
      <c r="AO278" s="183">
        <f t="shared" si="120"/>
        <v>3.68</v>
      </c>
      <c r="AP278" s="246">
        <v>0.25</v>
      </c>
      <c r="AQ278" s="185">
        <f t="shared" si="131"/>
        <v>0.92</v>
      </c>
      <c r="AR278" s="178">
        <f t="shared" si="132"/>
        <v>2152800</v>
      </c>
      <c r="AS278" s="178"/>
      <c r="AT278" s="178">
        <f>ROUND(AE278-AJ278+AL278+AN278+AR278,0)-1</f>
        <v>10399315</v>
      </c>
      <c r="AU278" s="469">
        <f t="shared" si="125"/>
        <v>260</v>
      </c>
      <c r="AV278" s="195"/>
      <c r="AW278" s="198"/>
    </row>
    <row r="279" spans="1:59" s="189" customFormat="1" ht="45.75" customHeight="1" x14ac:dyDescent="0.25">
      <c r="A279" s="168">
        <f>_xlfn.AGGREGATE(4,7,A$13:A278)+1</f>
        <v>261</v>
      </c>
      <c r="B279" s="168" t="str">
        <f>VLOOKUP(D279,[1]LuongBC_T01!$B$9:$C$292,2,FALSE)</f>
        <v>0016100006534001</v>
      </c>
      <c r="C279" s="199" t="s">
        <v>993</v>
      </c>
      <c r="D279" s="169" t="s">
        <v>1227</v>
      </c>
      <c r="E279" s="263" t="s">
        <v>1638</v>
      </c>
      <c r="F279" s="169" t="s">
        <v>549</v>
      </c>
      <c r="G279" s="200"/>
      <c r="H279" s="200" t="s">
        <v>283</v>
      </c>
      <c r="I279" s="200" t="s">
        <v>283</v>
      </c>
      <c r="J279" s="200" t="s">
        <v>586</v>
      </c>
      <c r="K279" s="170" t="str">
        <f>VLOOKUP(D279,[2]T3!$B$2:$D$328,3,FALSE)</f>
        <v>025211873</v>
      </c>
      <c r="L279" s="201" t="s">
        <v>608</v>
      </c>
      <c r="M279" s="201" t="s">
        <v>993</v>
      </c>
      <c r="N279" s="263" t="str">
        <f>VLOOKUP(D279,'[6]Bao cao So GDDT'!$D$14:$S$282,11,FALSE)</f>
        <v>Giảng viên GDNN LT (hạng III)</v>
      </c>
      <c r="O279" s="390" t="s">
        <v>1438</v>
      </c>
      <c r="P279" s="170" t="s">
        <v>692</v>
      </c>
      <c r="Q279" s="170">
        <v>3</v>
      </c>
      <c r="R279" s="177">
        <v>3.66</v>
      </c>
      <c r="S279" s="176">
        <f>U279+W279+Y279</f>
        <v>0.51239999999999997</v>
      </c>
      <c r="T279" s="220"/>
      <c r="U279" s="176">
        <f t="shared" si="126"/>
        <v>0</v>
      </c>
      <c r="V279" s="175">
        <f>R279*T279*$D$8/100</f>
        <v>0</v>
      </c>
      <c r="W279" s="170"/>
      <c r="X279" s="179">
        <v>0.14000000000000001</v>
      </c>
      <c r="Y279" s="216">
        <f t="shared" si="127"/>
        <v>0.51239999999999997</v>
      </c>
      <c r="Z279" s="216">
        <f t="shared" si="128"/>
        <v>4.1723999999999997</v>
      </c>
      <c r="AA279" s="180">
        <f t="shared" si="129"/>
        <v>9763416</v>
      </c>
      <c r="AB279" s="180"/>
      <c r="AC279" s="180">
        <f t="shared" si="119"/>
        <v>0</v>
      </c>
      <c r="AD279" s="180">
        <f t="shared" si="121"/>
        <v>0</v>
      </c>
      <c r="AE279" s="180">
        <f t="shared" si="130"/>
        <v>9763416</v>
      </c>
      <c r="AF279" s="178">
        <f t="shared" si="122"/>
        <v>781073.28</v>
      </c>
      <c r="AG279" s="178">
        <f t="shared" si="123"/>
        <v>146451.24</v>
      </c>
      <c r="AH279" s="178">
        <f t="shared" si="124"/>
        <v>97634.16</v>
      </c>
      <c r="AI279" s="178"/>
      <c r="AJ279" s="178">
        <f t="shared" si="118"/>
        <v>1025158.68</v>
      </c>
      <c r="AK279" s="192"/>
      <c r="AL279" s="535">
        <f t="shared" si="112"/>
        <v>0</v>
      </c>
      <c r="AM279" s="182"/>
      <c r="AN279" s="182"/>
      <c r="AO279" s="193">
        <f t="shared" si="120"/>
        <v>3.66</v>
      </c>
      <c r="AP279" s="246">
        <v>0.25</v>
      </c>
      <c r="AQ279" s="194">
        <f t="shared" si="131"/>
        <v>0.91500000000000004</v>
      </c>
      <c r="AR279" s="178">
        <f t="shared" si="132"/>
        <v>2141100</v>
      </c>
      <c r="AS279" s="178"/>
      <c r="AT279" s="178">
        <f>ROUND(AE279-AJ279+AL279+AN279+AR279,0)</f>
        <v>10879357</v>
      </c>
      <c r="AU279" s="469">
        <f t="shared" si="125"/>
        <v>261</v>
      </c>
      <c r="AV279" s="186"/>
      <c r="AW279" s="198" t="s">
        <v>703</v>
      </c>
    </row>
    <row r="280" spans="1:59" s="189" customFormat="1" ht="46.5" customHeight="1" x14ac:dyDescent="0.25">
      <c r="A280" s="168">
        <f>_xlfn.AGGREGATE(4,7,A$13:A279)+1</f>
        <v>262</v>
      </c>
      <c r="B280" s="168" t="str">
        <f>VLOOKUP(D280,[1]LuongBC_T01!$B$9:$C$292,2,FALSE)</f>
        <v>0016100006556005</v>
      </c>
      <c r="C280" s="199" t="s">
        <v>957</v>
      </c>
      <c r="D280" s="169" t="s">
        <v>294</v>
      </c>
      <c r="E280" s="263" t="s">
        <v>1638</v>
      </c>
      <c r="F280" s="169" t="s">
        <v>549</v>
      </c>
      <c r="G280" s="200"/>
      <c r="H280" s="200" t="s">
        <v>283</v>
      </c>
      <c r="I280" s="200" t="s">
        <v>283</v>
      </c>
      <c r="J280" s="220" t="s">
        <v>545</v>
      </c>
      <c r="K280" s="170" t="str">
        <f>VLOOKUP(D280,[2]T3!$B$2:$D$328,3,FALSE)</f>
        <v>024573030</v>
      </c>
      <c r="L280" s="171" t="s">
        <v>295</v>
      </c>
      <c r="M280" s="171" t="s">
        <v>957</v>
      </c>
      <c r="N280" s="263" t="str">
        <f>VLOOKUP(D280,'[6]Bao cao So GDDT'!$D$14:$S$282,11,FALSE)</f>
        <v>Giảng viên GDNN LT (hạng III)</v>
      </c>
      <c r="O280" s="390" t="s">
        <v>1438</v>
      </c>
      <c r="P280" s="172" t="s">
        <v>692</v>
      </c>
      <c r="Q280" s="173">
        <v>5</v>
      </c>
      <c r="R280" s="174">
        <v>4.32</v>
      </c>
      <c r="S280" s="176">
        <f>U280+W280+Y280</f>
        <v>0.77759999999999996</v>
      </c>
      <c r="T280" s="377"/>
      <c r="U280" s="176">
        <f t="shared" si="126"/>
        <v>0</v>
      </c>
      <c r="V280" s="175">
        <f>R280*T280*$D$8/100</f>
        <v>0</v>
      </c>
      <c r="W280" s="170"/>
      <c r="X280" s="179">
        <v>0.18</v>
      </c>
      <c r="Y280" s="216">
        <f t="shared" si="127"/>
        <v>0.77759999999999996</v>
      </c>
      <c r="Z280" s="216">
        <f t="shared" si="128"/>
        <v>5.0975999999999999</v>
      </c>
      <c r="AA280" s="180">
        <f t="shared" si="129"/>
        <v>11928384</v>
      </c>
      <c r="AB280" s="180"/>
      <c r="AC280" s="180">
        <f t="shared" si="119"/>
        <v>0</v>
      </c>
      <c r="AD280" s="180">
        <v>0</v>
      </c>
      <c r="AE280" s="180">
        <f t="shared" si="130"/>
        <v>11928384</v>
      </c>
      <c r="AF280" s="178">
        <f t="shared" si="122"/>
        <v>954270.71999999997</v>
      </c>
      <c r="AG280" s="178">
        <f t="shared" si="123"/>
        <v>178925.75999999998</v>
      </c>
      <c r="AH280" s="178">
        <f t="shared" si="124"/>
        <v>119283.84</v>
      </c>
      <c r="AI280" s="178"/>
      <c r="AJ280" s="178">
        <f t="shared" si="118"/>
        <v>1252480.32</v>
      </c>
      <c r="AK280" s="181"/>
      <c r="AL280" s="535">
        <f t="shared" si="112"/>
        <v>0</v>
      </c>
      <c r="AM280" s="182"/>
      <c r="AN280" s="182"/>
      <c r="AO280" s="193">
        <f t="shared" si="120"/>
        <v>4.32</v>
      </c>
      <c r="AP280" s="246">
        <v>0.25</v>
      </c>
      <c r="AQ280" s="194">
        <f t="shared" si="131"/>
        <v>1.08</v>
      </c>
      <c r="AR280" s="178">
        <f t="shared" si="132"/>
        <v>2527200</v>
      </c>
      <c r="AS280" s="178"/>
      <c r="AT280" s="178">
        <f>ROUND(AE280-AJ280+AL280+AN280+AR280,0)</f>
        <v>13203104</v>
      </c>
      <c r="AU280" s="469">
        <f t="shared" si="125"/>
        <v>262</v>
      </c>
      <c r="AV280" s="195"/>
      <c r="AW280" s="187" t="s">
        <v>703</v>
      </c>
    </row>
    <row r="281" spans="1:59" s="189" customFormat="1" ht="48.75" customHeight="1" x14ac:dyDescent="0.25">
      <c r="A281" s="681">
        <f>_xlfn.AGGREGATE(4,7,A$13:A280)+1</f>
        <v>263</v>
      </c>
      <c r="B281" s="681" t="s">
        <v>1499</v>
      </c>
      <c r="C281" s="1008" t="s">
        <v>1561</v>
      </c>
      <c r="D281" s="682" t="s">
        <v>1482</v>
      </c>
      <c r="E281" s="683" t="s">
        <v>1638</v>
      </c>
      <c r="F281" s="715"/>
      <c r="G281" s="715"/>
      <c r="H281" s="715"/>
      <c r="I281" s="715"/>
      <c r="J281" s="715"/>
      <c r="K281" s="681">
        <v>212686412</v>
      </c>
      <c r="L281" s="1009" t="s">
        <v>1487</v>
      </c>
      <c r="M281" s="684"/>
      <c r="N281" s="683" t="str">
        <f>VLOOKUP(D281,'[6]Bao cao So GDDT'!$D$14:$S$282,11,FALSE)</f>
        <v>Giảng viên GDNN LT (hạng III)</v>
      </c>
      <c r="O281" s="1010" t="s">
        <v>1438</v>
      </c>
      <c r="P281" s="767"/>
      <c r="Q281" s="767"/>
      <c r="R281" s="1011">
        <v>3.33</v>
      </c>
      <c r="S281" s="689"/>
      <c r="T281" s="715"/>
      <c r="U281" s="689">
        <f>ROUND(R281*T281/100,4)</f>
        <v>0</v>
      </c>
      <c r="V281" s="691"/>
      <c r="W281" s="684"/>
      <c r="X281" s="692">
        <v>7.0000000000000007E-2</v>
      </c>
      <c r="Y281" s="693">
        <f>ROUND((R281+U281+W281)*X281,4)</f>
        <v>0.2331</v>
      </c>
      <c r="Z281" s="693">
        <f>R281+U281+W281+Y281</f>
        <v>3.5630999999999999</v>
      </c>
      <c r="AA281" s="694">
        <f>ROUND(Z281*$D$8,0)</f>
        <v>8337654</v>
      </c>
      <c r="AB281" s="694"/>
      <c r="AC281" s="694">
        <f>AA281/24*AB281</f>
        <v>0</v>
      </c>
      <c r="AD281" s="694">
        <f>AA281/24*AB281*75%</f>
        <v>0</v>
      </c>
      <c r="AE281" s="694">
        <f>ROUND(AA281-AC281+AD281,0)</f>
        <v>8337654</v>
      </c>
      <c r="AF281" s="695">
        <f>AA281*8%</f>
        <v>667012.32000000007</v>
      </c>
      <c r="AG281" s="695">
        <f>AA281*1.5%</f>
        <v>125064.81</v>
      </c>
      <c r="AH281" s="695">
        <f>AA281*1%</f>
        <v>83376.540000000008</v>
      </c>
      <c r="AI281" s="695"/>
      <c r="AJ281" s="695">
        <f>SUM(AF281:AI281)</f>
        <v>875453.67000000016</v>
      </c>
      <c r="AK281" s="700"/>
      <c r="AL281" s="939">
        <f t="shared" si="112"/>
        <v>0</v>
      </c>
      <c r="AM281" s="696"/>
      <c r="AN281" s="696"/>
      <c r="AO281" s="763">
        <f>R281+U281+W281</f>
        <v>3.33</v>
      </c>
      <c r="AP281" s="1012">
        <v>0.25</v>
      </c>
      <c r="AQ281" s="765">
        <f>ROUND(AO281*AP281,4)</f>
        <v>0.83250000000000002</v>
      </c>
      <c r="AR281" s="695">
        <f>ROUND(AQ281*$D$8,0)</f>
        <v>1948050</v>
      </c>
      <c r="AS281" s="695"/>
      <c r="AT281" s="695">
        <f>ROUND(AE281-AJ281+AL281+AN281+AR281,0)</f>
        <v>9410250</v>
      </c>
      <c r="AU281" s="1013">
        <f>A281</f>
        <v>263</v>
      </c>
      <c r="AV281" s="698"/>
      <c r="AW281" s="195" t="s">
        <v>1481</v>
      </c>
    </row>
    <row r="282" spans="1:59" s="189" customFormat="1" ht="48.75" customHeight="1" x14ac:dyDescent="0.25">
      <c r="A282" s="471">
        <f>_xlfn.AGGREGATE(4,7,A$13:A281)+1</f>
        <v>264</v>
      </c>
      <c r="B282" s="471" t="str">
        <f>VLOOKUP(D282,[1]LuongBC_T01!$B$9:$C$292,2,FALSE)</f>
        <v>0016100006557001</v>
      </c>
      <c r="C282" s="431" t="s">
        <v>1006</v>
      </c>
      <c r="D282" s="432" t="s">
        <v>1231</v>
      </c>
      <c r="E282" s="296" t="s">
        <v>1640</v>
      </c>
      <c r="F282" s="432" t="s">
        <v>549</v>
      </c>
      <c r="G282" s="930"/>
      <c r="H282" s="930" t="s">
        <v>283</v>
      </c>
      <c r="I282" s="930"/>
      <c r="J282" s="930"/>
      <c r="K282" s="438" t="str">
        <f>VLOOKUP(D282,[2]T3!$B$2:$D$328,3,FALSE)</f>
        <v>046085000069</v>
      </c>
      <c r="L282" s="931" t="s">
        <v>1</v>
      </c>
      <c r="M282" s="931" t="s">
        <v>1006</v>
      </c>
      <c r="N282" s="296" t="str">
        <f>VLOOKUP(D282,'[6]Bao cao So GDDT'!$D$14:$S$282,11,FALSE)</f>
        <v>Giảng viên GDNN LT (hạng III)</v>
      </c>
      <c r="O282" s="932" t="s">
        <v>1438</v>
      </c>
      <c r="P282" s="649" t="s">
        <v>692</v>
      </c>
      <c r="Q282" s="434">
        <v>3</v>
      </c>
      <c r="R282" s="933">
        <v>3.66</v>
      </c>
      <c r="S282" s="436">
        <f>U282+W282+Y282</f>
        <v>0.4758</v>
      </c>
      <c r="T282" s="631"/>
      <c r="U282" s="436">
        <f t="shared" si="126"/>
        <v>0</v>
      </c>
      <c r="V282" s="445">
        <f>R282*T282*$D$8/100</f>
        <v>0</v>
      </c>
      <c r="W282" s="438"/>
      <c r="X282" s="439">
        <v>0.13</v>
      </c>
      <c r="Y282" s="440">
        <f t="shared" si="127"/>
        <v>0.4758</v>
      </c>
      <c r="Z282" s="440">
        <f t="shared" si="128"/>
        <v>4.1357999999999997</v>
      </c>
      <c r="AA282" s="238">
        <f t="shared" si="129"/>
        <v>9677772</v>
      </c>
      <c r="AB282" s="238"/>
      <c r="AC282" s="238">
        <f t="shared" si="119"/>
        <v>0</v>
      </c>
      <c r="AD282" s="238">
        <f>AA282/24*AB282*75%</f>
        <v>0</v>
      </c>
      <c r="AE282" s="238">
        <f t="shared" si="130"/>
        <v>9677772</v>
      </c>
      <c r="AF282" s="225">
        <f t="shared" si="122"/>
        <v>774221.76</v>
      </c>
      <c r="AG282" s="225">
        <f t="shared" si="123"/>
        <v>145166.57999999999</v>
      </c>
      <c r="AH282" s="225">
        <f t="shared" si="124"/>
        <v>96777.72</v>
      </c>
      <c r="AI282" s="225"/>
      <c r="AJ282" s="225">
        <f t="shared" si="118"/>
        <v>1016166.0599999999</v>
      </c>
      <c r="AK282" s="487"/>
      <c r="AL282" s="488">
        <f t="shared" si="112"/>
        <v>0</v>
      </c>
      <c r="AM282" s="488"/>
      <c r="AN282" s="488"/>
      <c r="AO282" s="441">
        <f t="shared" si="120"/>
        <v>3.66</v>
      </c>
      <c r="AP282" s="663">
        <v>0.25</v>
      </c>
      <c r="AQ282" s="442">
        <f t="shared" si="131"/>
        <v>0.91500000000000004</v>
      </c>
      <c r="AR282" s="225">
        <f t="shared" si="132"/>
        <v>2141100</v>
      </c>
      <c r="AS282" s="225"/>
      <c r="AT282" s="225">
        <f>ROUND(AE282-AJ282+AL282+AN282+AR282,0)</f>
        <v>10802706</v>
      </c>
      <c r="AU282" s="470">
        <f t="shared" si="125"/>
        <v>264</v>
      </c>
      <c r="AV282" s="542"/>
      <c r="AW282" s="198" t="s">
        <v>703</v>
      </c>
    </row>
    <row r="283" spans="1:59" s="191" customFormat="1" ht="35.25" customHeight="1" x14ac:dyDescent="0.25">
      <c r="A283" s="570"/>
      <c r="B283" s="570"/>
      <c r="C283" s="572"/>
      <c r="D283" s="572" t="s">
        <v>1417</v>
      </c>
      <c r="E283" s="573"/>
      <c r="F283" s="574"/>
      <c r="G283" s="575"/>
      <c r="H283" s="574"/>
      <c r="I283" s="574"/>
      <c r="J283" s="574"/>
      <c r="K283" s="576"/>
      <c r="L283" s="577"/>
      <c r="M283" s="577"/>
      <c r="N283" s="577"/>
      <c r="O283" s="578"/>
      <c r="P283" s="576"/>
      <c r="Q283" s="576"/>
      <c r="R283" s="579">
        <f>SUM(R83:R282)</f>
        <v>720.67</v>
      </c>
      <c r="S283" s="579">
        <f>SUM(S128:S282)</f>
        <v>67.851600000000005</v>
      </c>
      <c r="T283" s="579">
        <f>SUM(T128:T282)</f>
        <v>0</v>
      </c>
      <c r="U283" s="579">
        <f>SUM(U83:U282)</f>
        <v>0</v>
      </c>
      <c r="V283" s="579">
        <f>SUM(V128:V282)</f>
        <v>0</v>
      </c>
      <c r="W283" s="579">
        <f t="shared" ref="W283:AN283" si="134">SUM(W83:W282)</f>
        <v>13.399999999999997</v>
      </c>
      <c r="X283" s="579">
        <f t="shared" si="134"/>
        <v>17.250000000000011</v>
      </c>
      <c r="Y283" s="580">
        <f t="shared" si="134"/>
        <v>68.276299999999992</v>
      </c>
      <c r="Z283" s="580">
        <f t="shared" si="134"/>
        <v>802.34630000000004</v>
      </c>
      <c r="AA283" s="581">
        <f t="shared" si="134"/>
        <v>1877490342</v>
      </c>
      <c r="AB283" s="581">
        <f t="shared" si="134"/>
        <v>24.4</v>
      </c>
      <c r="AC283" s="581">
        <f t="shared" si="134"/>
        <v>11778858</v>
      </c>
      <c r="AD283" s="581">
        <f t="shared" si="134"/>
        <v>0</v>
      </c>
      <c r="AE283" s="581">
        <f t="shared" si="134"/>
        <v>1865711484</v>
      </c>
      <c r="AF283" s="581">
        <f t="shared" si="134"/>
        <v>149519747.52000001</v>
      </c>
      <c r="AG283" s="581">
        <f t="shared" si="134"/>
        <v>27952818.660000011</v>
      </c>
      <c r="AH283" s="581">
        <f t="shared" si="134"/>
        <v>18689968.440000001</v>
      </c>
      <c r="AI283" s="581">
        <f t="shared" si="134"/>
        <v>0</v>
      </c>
      <c r="AJ283" s="581">
        <f>SUM(AJ83:AJ282)</f>
        <v>196162534.61999986</v>
      </c>
      <c r="AK283" s="582">
        <f t="shared" si="134"/>
        <v>0</v>
      </c>
      <c r="AL283" s="581">
        <f t="shared" si="134"/>
        <v>0</v>
      </c>
      <c r="AM283" s="581">
        <f t="shared" si="134"/>
        <v>0</v>
      </c>
      <c r="AN283" s="581">
        <f t="shared" si="134"/>
        <v>0</v>
      </c>
      <c r="AO283" s="581">
        <f>SUM(AO75:AO282)</f>
        <v>667.8900000000001</v>
      </c>
      <c r="AP283" s="581">
        <f>SUM(AP75:AP282)</f>
        <v>42.399999999999991</v>
      </c>
      <c r="AQ283" s="583">
        <f>SUM(AQ83:AQ282)</f>
        <v>147.09550000000007</v>
      </c>
      <c r="AR283" s="581">
        <f>SUM(AR83:AR282)</f>
        <v>344203470</v>
      </c>
      <c r="AS283" s="581" t="e">
        <f>SUM(AS75:AS282)</f>
        <v>#REF!</v>
      </c>
      <c r="AT283" s="581">
        <f>SUM(AT83:AT282)-5</f>
        <v>2013752419</v>
      </c>
      <c r="AU283" s="584"/>
      <c r="AV283" s="585"/>
      <c r="AW283" s="823"/>
      <c r="AX283" s="552"/>
      <c r="AY283" s="552"/>
      <c r="AZ283" s="552"/>
      <c r="BA283" s="552"/>
      <c r="BB283" s="552"/>
      <c r="BC283" s="552"/>
      <c r="BD283" s="552"/>
      <c r="BE283" s="552"/>
      <c r="BF283" s="552"/>
      <c r="BG283" s="552"/>
    </row>
    <row r="284" spans="1:59" s="99" customFormat="1" ht="22.5" customHeight="1" x14ac:dyDescent="0.25">
      <c r="A284" s="31"/>
      <c r="B284" s="31"/>
      <c r="C284" s="858"/>
      <c r="D284" s="118" t="s">
        <v>26</v>
      </c>
      <c r="E284" s="265"/>
      <c r="F284" s="118"/>
      <c r="G284" s="118">
        <f>COUNTIF(G128:G283,"x")</f>
        <v>42</v>
      </c>
      <c r="H284" s="118"/>
      <c r="I284" s="118"/>
      <c r="J284" s="118"/>
      <c r="K284" s="118"/>
      <c r="L284" s="119"/>
      <c r="M284" s="119"/>
      <c r="N284" s="119"/>
      <c r="O284" s="394"/>
      <c r="P284" s="120"/>
      <c r="Q284" s="103"/>
      <c r="R284" s="414">
        <f>R73+R80+R283</f>
        <v>1015.2149999999999</v>
      </c>
      <c r="S284" s="415"/>
      <c r="T284" s="416"/>
      <c r="U284" s="417">
        <f>U283+U80+U73</f>
        <v>13.294999999999998</v>
      </c>
      <c r="V284" s="380" t="e">
        <f>V73+V80+#REF!</f>
        <v>#REF!</v>
      </c>
      <c r="W284" s="410">
        <f>W73+W80+W283</f>
        <v>21.65</v>
      </c>
      <c r="X284" s="380"/>
      <c r="Y284" s="413">
        <f>Y73+Y80+Y283</f>
        <v>129.83709999999999</v>
      </c>
      <c r="Z284" s="409">
        <f>Z73+Z80+Z283</f>
        <v>1179.9971</v>
      </c>
      <c r="AA284" s="315">
        <f>AA73+AA80+AA283</f>
        <v>2761193214</v>
      </c>
      <c r="AB284" s="411"/>
      <c r="AC284" s="380">
        <f>AC73+AC80+AC283</f>
        <v>11778858</v>
      </c>
      <c r="AD284" s="411"/>
      <c r="AE284" s="234">
        <f>AE73+AE80+AE283</f>
        <v>2749414356</v>
      </c>
      <c r="AF284" s="380">
        <f>AF73+AF80+AF283+1</f>
        <v>220215978.27999997</v>
      </c>
      <c r="AG284" s="380">
        <f>AG73+AG80+AG283+1</f>
        <v>41208362.740000017</v>
      </c>
      <c r="AH284" s="380">
        <f>AH73+AH80+AH283</f>
        <v>27526997.159999996</v>
      </c>
      <c r="AI284" s="380">
        <f>AI73+AI80+AI283</f>
        <v>0</v>
      </c>
      <c r="AJ284" s="380">
        <f>AJ73+AJ80+AJ283+1</f>
        <v>288951338.17999983</v>
      </c>
      <c r="AK284" s="412">
        <f>AK73+AK80+AK283</f>
        <v>0.2</v>
      </c>
      <c r="AL284" s="380">
        <f>AL283+AL80+AL73</f>
        <v>468000</v>
      </c>
      <c r="AM284" s="412">
        <f>AM73+AM80+AM283</f>
        <v>0</v>
      </c>
      <c r="AN284" s="380">
        <f>AN73+AN80+AN283</f>
        <v>0</v>
      </c>
      <c r="AO284" s="499" t="e">
        <f>AO73+AO80+#REF!</f>
        <v>#REF!</v>
      </c>
      <c r="AP284" s="411" t="e">
        <f>AP73+AP80+#REF!</f>
        <v>#REF!</v>
      </c>
      <c r="AQ284" s="409">
        <f>AQ73+AQ80+AQ283</f>
        <v>218.24030000000008</v>
      </c>
      <c r="AR284" s="380">
        <f>AR73+AR80+AR283</f>
        <v>510682302</v>
      </c>
      <c r="AS284" s="380" t="e">
        <f>AS73+AS80+#REF!</f>
        <v>#REF!</v>
      </c>
      <c r="AT284" s="380">
        <f>AT73+AT80+AT283</f>
        <v>2971613320</v>
      </c>
      <c r="AU284" s="156"/>
      <c r="AV284" s="145"/>
      <c r="AW284" s="70"/>
      <c r="AX284" s="29"/>
      <c r="AY284" s="29"/>
      <c r="AZ284" s="29"/>
      <c r="BA284" s="29"/>
      <c r="BB284" s="29"/>
      <c r="BC284" s="29"/>
      <c r="BD284" s="29"/>
      <c r="BE284" s="29"/>
      <c r="BF284" s="29"/>
      <c r="BG284" s="29"/>
    </row>
    <row r="285" spans="1:59" s="23" customFormat="1" ht="10.5" customHeight="1" x14ac:dyDescent="0.25">
      <c r="A285" s="16"/>
      <c r="B285" s="16"/>
      <c r="C285" s="859"/>
      <c r="D285" s="17"/>
      <c r="E285" s="266"/>
      <c r="F285" s="17"/>
      <c r="G285" s="62"/>
      <c r="H285" s="62"/>
      <c r="I285" s="62"/>
      <c r="J285" s="17"/>
      <c r="K285" s="62"/>
      <c r="L285" s="17"/>
      <c r="M285" s="17"/>
      <c r="N285" s="17"/>
      <c r="O285" s="424" t="s">
        <v>52</v>
      </c>
      <c r="P285" s="18"/>
      <c r="Q285" s="16"/>
      <c r="R285" s="19"/>
      <c r="S285" s="338"/>
      <c r="T285" s="354"/>
      <c r="U285" s="21"/>
      <c r="V285" s="20"/>
      <c r="W285" s="16"/>
      <c r="X285" s="138"/>
      <c r="Y285" s="22"/>
      <c r="Z285" s="22"/>
      <c r="AA285" s="38"/>
      <c r="AB285" s="38"/>
      <c r="AC285" s="38"/>
      <c r="AD285" s="38"/>
      <c r="AE285" s="38"/>
      <c r="AF285" s="22"/>
      <c r="AG285" s="22"/>
      <c r="AH285" s="22"/>
      <c r="AI285" s="22"/>
      <c r="AJ285" s="22"/>
      <c r="AL285" s="22"/>
      <c r="AM285" s="22"/>
      <c r="AN285" s="22"/>
      <c r="AO285" s="500"/>
      <c r="AP285" s="645"/>
      <c r="AQ285" s="45"/>
      <c r="AR285" s="22"/>
      <c r="AS285" s="24"/>
      <c r="AT285" s="24"/>
      <c r="AV285" s="70"/>
      <c r="AW285" s="70"/>
    </row>
    <row r="286" spans="1:59" s="314" customFormat="1" ht="57" customHeight="1" x14ac:dyDescent="0.2">
      <c r="A286" s="308"/>
      <c r="B286" s="308"/>
      <c r="C286" s="860"/>
      <c r="D286" s="265" t="s">
        <v>721</v>
      </c>
      <c r="E286" s="265" t="s">
        <v>722</v>
      </c>
      <c r="F286" s="265"/>
      <c r="G286" s="132" t="s">
        <v>280</v>
      </c>
      <c r="H286" s="132"/>
      <c r="I286" s="132">
        <f>COUNTIF(I$13:I$283,"QL")</f>
        <v>1</v>
      </c>
      <c r="J286" s="132" t="s">
        <v>548</v>
      </c>
      <c r="K286" s="132"/>
      <c r="L286" s="118"/>
      <c r="M286" s="118"/>
      <c r="N286" s="118"/>
      <c r="O286" s="394" t="s">
        <v>53</v>
      </c>
      <c r="P286" s="309" t="s">
        <v>722</v>
      </c>
      <c r="Q286" s="310" t="s">
        <v>22</v>
      </c>
      <c r="R286" s="311" t="s">
        <v>1066</v>
      </c>
      <c r="S286" s="339" t="s">
        <v>1067</v>
      </c>
      <c r="T286" s="355" t="s">
        <v>57</v>
      </c>
      <c r="U286" s="310" t="s">
        <v>1068</v>
      </c>
      <c r="V286" s="122" t="s">
        <v>723</v>
      </c>
      <c r="W286" s="310" t="s">
        <v>1069</v>
      </c>
      <c r="X286" s="140" t="s">
        <v>690</v>
      </c>
      <c r="Y286" s="121" t="s">
        <v>1070</v>
      </c>
      <c r="Z286" s="121" t="s">
        <v>827</v>
      </c>
      <c r="AA286" s="121" t="s">
        <v>718</v>
      </c>
      <c r="AB286" s="121"/>
      <c r="AC286" s="121" t="s">
        <v>1058</v>
      </c>
      <c r="AD286" s="121" t="s">
        <v>1059</v>
      </c>
      <c r="AE286" s="121" t="s">
        <v>1060</v>
      </c>
      <c r="AF286" s="121" t="s">
        <v>694</v>
      </c>
      <c r="AG286" s="121" t="s">
        <v>695</v>
      </c>
      <c r="AH286" s="121" t="s">
        <v>522</v>
      </c>
      <c r="AI286" s="121" t="s">
        <v>831</v>
      </c>
      <c r="AJ286" s="121" t="s">
        <v>1065</v>
      </c>
      <c r="AK286" s="310" t="s">
        <v>693</v>
      </c>
      <c r="AL286" s="121" t="s">
        <v>1111</v>
      </c>
      <c r="AM286" s="310" t="s">
        <v>693</v>
      </c>
      <c r="AN286" s="121" t="s">
        <v>1112</v>
      </c>
      <c r="AO286" s="947"/>
      <c r="AP286" s="140"/>
      <c r="AQ286" s="312" t="s">
        <v>1110</v>
      </c>
      <c r="AR286" s="121" t="s">
        <v>547</v>
      </c>
      <c r="AS286" s="122" t="s">
        <v>555</v>
      </c>
      <c r="AT286" s="121" t="s">
        <v>1071</v>
      </c>
      <c r="AU286" s="313"/>
      <c r="AV286" s="70"/>
      <c r="AW286" s="70"/>
      <c r="AX286" s="554"/>
      <c r="AY286" s="554"/>
      <c r="AZ286" s="554"/>
      <c r="BA286" s="554"/>
      <c r="BB286" s="554"/>
      <c r="BC286" s="554"/>
      <c r="BD286" s="554"/>
      <c r="BE286" s="554"/>
      <c r="BF286" s="554"/>
      <c r="BG286" s="554"/>
    </row>
    <row r="287" spans="1:59" ht="26.25" customHeight="1" x14ac:dyDescent="0.25">
      <c r="A287" s="16"/>
      <c r="B287" s="16"/>
      <c r="C287" s="860"/>
      <c r="D287" s="3" t="s">
        <v>724</v>
      </c>
      <c r="E287" s="267">
        <f>COUNTA(A14:A72)</f>
        <v>59</v>
      </c>
      <c r="F287" s="3"/>
      <c r="G287" s="25" t="s">
        <v>281</v>
      </c>
      <c r="H287" s="25"/>
      <c r="I287" s="50">
        <f>COUNTIF(I$13:I$283,"PPK")</f>
        <v>6</v>
      </c>
      <c r="J287" s="25"/>
      <c r="K287" s="25"/>
      <c r="L287" s="25"/>
      <c r="M287" s="25"/>
      <c r="N287" s="25"/>
      <c r="O287" s="395">
        <v>22</v>
      </c>
      <c r="P287" s="36">
        <v>105</v>
      </c>
      <c r="Q287" s="25">
        <v>40</v>
      </c>
      <c r="R287" s="322">
        <f t="shared" ref="R287:AA287" si="135">R73</f>
        <v>284.31999999999988</v>
      </c>
      <c r="S287" s="340">
        <f t="shared" si="135"/>
        <v>83.105800000000045</v>
      </c>
      <c r="T287" s="356">
        <f t="shared" si="135"/>
        <v>13.294999999999998</v>
      </c>
      <c r="U287" s="323">
        <f t="shared" si="135"/>
        <v>13.294999999999998</v>
      </c>
      <c r="V287" s="15">
        <f t="shared" si="135"/>
        <v>31110300</v>
      </c>
      <c r="W287" s="319">
        <f t="shared" si="135"/>
        <v>8.25</v>
      </c>
      <c r="X287" s="33">
        <f t="shared" si="135"/>
        <v>0</v>
      </c>
      <c r="Y287" s="368">
        <f t="shared" si="135"/>
        <v>61.560800000000008</v>
      </c>
      <c r="Z287" s="368">
        <f t="shared" si="135"/>
        <v>367.42580000000004</v>
      </c>
      <c r="AA287" s="318">
        <f t="shared" si="135"/>
        <v>859776372</v>
      </c>
      <c r="AB287" s="33"/>
      <c r="AC287" s="318">
        <f t="shared" ref="AC287:AN287" si="136">AC73</f>
        <v>0</v>
      </c>
      <c r="AD287" s="319">
        <f t="shared" si="136"/>
        <v>0</v>
      </c>
      <c r="AE287" s="318">
        <f t="shared" si="136"/>
        <v>859776372</v>
      </c>
      <c r="AF287" s="49">
        <f t="shared" si="136"/>
        <v>68782109.759999976</v>
      </c>
      <c r="AG287" s="982">
        <f t="shared" si="136"/>
        <v>12896645.580000006</v>
      </c>
      <c r="AH287" s="982">
        <f t="shared" si="136"/>
        <v>8597763.7199999969</v>
      </c>
      <c r="AI287" s="983">
        <f t="shared" si="136"/>
        <v>0</v>
      </c>
      <c r="AJ287" s="982">
        <f t="shared" si="136"/>
        <v>90276520.059999987</v>
      </c>
      <c r="AK287" s="73">
        <f t="shared" si="136"/>
        <v>0.2</v>
      </c>
      <c r="AL287" s="49">
        <f t="shared" si="136"/>
        <v>468000</v>
      </c>
      <c r="AM287" s="73">
        <f t="shared" si="136"/>
        <v>0</v>
      </c>
      <c r="AN287" s="49">
        <f t="shared" si="136"/>
        <v>0</v>
      </c>
      <c r="AO287" s="501">
        <f>SUM(AO14:AO72)</f>
        <v>305.86499999999978</v>
      </c>
      <c r="AP287" s="641"/>
      <c r="AQ287" s="321">
        <f>SUM(AQ14:AQ72)</f>
        <v>68.588300000000004</v>
      </c>
      <c r="AR287" s="49">
        <f>AR73</f>
        <v>160496622</v>
      </c>
      <c r="AS287" s="48"/>
      <c r="AT287" s="15">
        <f>AT73</f>
        <v>930464474</v>
      </c>
      <c r="AU287" s="26"/>
      <c r="AV287" s="254"/>
      <c r="AW287" s="70"/>
    </row>
    <row r="288" spans="1:59" ht="26.25" customHeight="1" x14ac:dyDescent="0.25">
      <c r="A288" s="16"/>
      <c r="B288" s="16"/>
      <c r="C288" s="860"/>
      <c r="D288" s="3" t="s">
        <v>725</v>
      </c>
      <c r="E288" s="267">
        <f>COUNTA(A75:A79)</f>
        <v>5</v>
      </c>
      <c r="F288" s="3"/>
      <c r="G288" s="25" t="s">
        <v>282</v>
      </c>
      <c r="H288" s="25"/>
      <c r="I288" s="50">
        <f>COUNTIF(I$13:I$283,"TT")</f>
        <v>10</v>
      </c>
      <c r="J288" s="25"/>
      <c r="K288" s="25"/>
      <c r="L288" s="25"/>
      <c r="M288" s="25"/>
      <c r="N288" s="25"/>
      <c r="O288" s="395">
        <v>4</v>
      </c>
      <c r="P288" s="35">
        <v>12</v>
      </c>
      <c r="Q288" s="25">
        <v>9</v>
      </c>
      <c r="R288" s="324">
        <f t="shared" ref="R288:AA288" si="137">R80</f>
        <v>10.225000000000001</v>
      </c>
      <c r="S288" s="340">
        <f t="shared" si="137"/>
        <v>0</v>
      </c>
      <c r="T288" s="356">
        <f t="shared" si="137"/>
        <v>0</v>
      </c>
      <c r="U288" s="325">
        <f t="shared" si="137"/>
        <v>0</v>
      </c>
      <c r="V288" s="15">
        <f t="shared" si="137"/>
        <v>0</v>
      </c>
      <c r="W288" s="319">
        <f t="shared" si="137"/>
        <v>0</v>
      </c>
      <c r="X288" s="33">
        <f t="shared" si="137"/>
        <v>0</v>
      </c>
      <c r="Y288" s="368">
        <f t="shared" si="137"/>
        <v>0</v>
      </c>
      <c r="Z288" s="368">
        <f t="shared" si="137"/>
        <v>10.225000000000001</v>
      </c>
      <c r="AA288" s="318">
        <f t="shared" si="137"/>
        <v>23926500</v>
      </c>
      <c r="AB288" s="33"/>
      <c r="AC288" s="318">
        <f t="shared" ref="AC288:AH288" si="138">AC80</f>
        <v>0</v>
      </c>
      <c r="AD288" s="319">
        <f t="shared" si="138"/>
        <v>0</v>
      </c>
      <c r="AE288" s="318">
        <f t="shared" si="138"/>
        <v>23926500</v>
      </c>
      <c r="AF288" s="49">
        <f t="shared" si="138"/>
        <v>1914120</v>
      </c>
      <c r="AG288" s="982">
        <f t="shared" si="138"/>
        <v>358897.5</v>
      </c>
      <c r="AH288" s="982">
        <f t="shared" si="138"/>
        <v>239265</v>
      </c>
      <c r="AI288" s="983">
        <f>AI74</f>
        <v>0</v>
      </c>
      <c r="AJ288" s="982">
        <f t="shared" ref="AJ288:AT288" si="139">AJ80</f>
        <v>2512282.4999999995</v>
      </c>
      <c r="AK288" s="73">
        <f t="shared" si="139"/>
        <v>0</v>
      </c>
      <c r="AL288" s="49">
        <f t="shared" si="139"/>
        <v>0</v>
      </c>
      <c r="AM288" s="73">
        <f t="shared" si="139"/>
        <v>0</v>
      </c>
      <c r="AN288" s="49">
        <f t="shared" si="139"/>
        <v>0</v>
      </c>
      <c r="AO288" s="501">
        <f t="shared" si="139"/>
        <v>10.225000000000001</v>
      </c>
      <c r="AP288" s="642">
        <f t="shared" si="139"/>
        <v>1.25</v>
      </c>
      <c r="AQ288" s="320">
        <f t="shared" si="139"/>
        <v>2.5565000000000002</v>
      </c>
      <c r="AR288" s="49">
        <f t="shared" si="139"/>
        <v>5982210</v>
      </c>
      <c r="AS288" s="49" t="e">
        <f t="shared" si="139"/>
        <v>#REF!</v>
      </c>
      <c r="AT288" s="49">
        <f t="shared" si="139"/>
        <v>27396427</v>
      </c>
      <c r="AU288" s="26"/>
      <c r="AV288" s="254"/>
      <c r="AW288" s="70"/>
    </row>
    <row r="289" spans="1:49" ht="26.25" customHeight="1" x14ac:dyDescent="0.25">
      <c r="A289" s="16"/>
      <c r="B289" s="16"/>
      <c r="C289" s="860"/>
      <c r="D289" s="3" t="s">
        <v>726</v>
      </c>
      <c r="E289" s="267">
        <f>COUNTA(A83:A282)</f>
        <v>200</v>
      </c>
      <c r="F289" s="3"/>
      <c r="G289" s="25"/>
      <c r="H289" s="25"/>
      <c r="I289" s="50"/>
      <c r="J289" s="25"/>
      <c r="K289" s="25"/>
      <c r="L289" s="25"/>
      <c r="M289" s="25"/>
      <c r="N289" s="25"/>
      <c r="O289" s="395">
        <v>88</v>
      </c>
      <c r="P289" s="35"/>
      <c r="Q289" s="25"/>
      <c r="R289" s="324">
        <f>R283</f>
        <v>720.67</v>
      </c>
      <c r="S289" s="340"/>
      <c r="T289" s="356"/>
      <c r="U289" s="325">
        <f>U283</f>
        <v>0</v>
      </c>
      <c r="V289" s="15"/>
      <c r="W289" s="319">
        <f>W283</f>
        <v>13.399999999999997</v>
      </c>
      <c r="X289" s="33">
        <f>X283</f>
        <v>17.250000000000011</v>
      </c>
      <c r="Y289" s="368">
        <f t="shared" ref="Y289:AA290" si="140">Y283</f>
        <v>68.276299999999992</v>
      </c>
      <c r="Z289" s="368">
        <f t="shared" si="140"/>
        <v>802.34630000000004</v>
      </c>
      <c r="AA289" s="318">
        <f t="shared" si="140"/>
        <v>1877490342</v>
      </c>
      <c r="AB289" s="33"/>
      <c r="AC289" s="318">
        <f t="shared" ref="AC289:AN290" si="141">AC283</f>
        <v>11778858</v>
      </c>
      <c r="AD289" s="319">
        <f t="shared" si="141"/>
        <v>0</v>
      </c>
      <c r="AE289" s="318">
        <f t="shared" si="141"/>
        <v>1865711484</v>
      </c>
      <c r="AF289" s="49">
        <f t="shared" si="141"/>
        <v>149519747.52000001</v>
      </c>
      <c r="AG289" s="982">
        <f t="shared" si="141"/>
        <v>27952818.660000011</v>
      </c>
      <c r="AH289" s="982">
        <f t="shared" si="141"/>
        <v>18689968.440000001</v>
      </c>
      <c r="AI289" s="983">
        <f t="shared" si="141"/>
        <v>0</v>
      </c>
      <c r="AJ289" s="982">
        <f t="shared" si="141"/>
        <v>196162534.61999986</v>
      </c>
      <c r="AK289" s="73">
        <f t="shared" si="141"/>
        <v>0</v>
      </c>
      <c r="AL289" s="49">
        <f t="shared" si="141"/>
        <v>0</v>
      </c>
      <c r="AM289" s="73">
        <f t="shared" si="141"/>
        <v>0</v>
      </c>
      <c r="AN289" s="49">
        <f t="shared" si="141"/>
        <v>0</v>
      </c>
      <c r="AO289" s="501"/>
      <c r="AP289" s="642"/>
      <c r="AQ289" s="320">
        <f>AQ283</f>
        <v>147.09550000000007</v>
      </c>
      <c r="AR289" s="49">
        <f>AR283</f>
        <v>344203470</v>
      </c>
      <c r="AS289" s="49"/>
      <c r="AT289" s="49">
        <f>AT283</f>
        <v>2013752419</v>
      </c>
      <c r="AU289" s="26"/>
      <c r="AV289" s="254"/>
      <c r="AW289" s="70"/>
    </row>
    <row r="290" spans="1:49" ht="26.25" customHeight="1" x14ac:dyDescent="0.25">
      <c r="C290" s="860"/>
      <c r="D290" s="3" t="s">
        <v>26</v>
      </c>
      <c r="E290" s="267">
        <f>SUM(E287:E289)</f>
        <v>264</v>
      </c>
      <c r="F290" s="3"/>
      <c r="G290" s="25" t="s">
        <v>284</v>
      </c>
      <c r="H290" s="25"/>
      <c r="I290" s="50">
        <f>COUNTIF(I$13:I$283,"NV")</f>
        <v>34</v>
      </c>
      <c r="J290" s="50">
        <f>SUM(I286:I290)</f>
        <v>51</v>
      </c>
      <c r="K290" s="50"/>
      <c r="L290" s="3"/>
      <c r="M290" s="3"/>
      <c r="N290" s="3"/>
      <c r="O290" s="396">
        <f>SUM(O287:O289)</f>
        <v>114</v>
      </c>
      <c r="P290" s="37" t="e">
        <f>P287+P288+#REF!</f>
        <v>#REF!</v>
      </c>
      <c r="Q290" s="37" t="e">
        <f>Q287+Q288+#REF!</f>
        <v>#REF!</v>
      </c>
      <c r="R290" s="53">
        <f>R284</f>
        <v>1015.2149999999999</v>
      </c>
      <c r="S290" s="341" t="e">
        <f>S287+S288+#REF!</f>
        <v>#REF!</v>
      </c>
      <c r="T290" s="357" t="e">
        <f>T287+T288+#REF!</f>
        <v>#REF!</v>
      </c>
      <c r="U290" s="366">
        <f>U284</f>
        <v>13.294999999999998</v>
      </c>
      <c r="V290" s="27" t="e">
        <f>V287+V288+#REF!</f>
        <v>#REF!</v>
      </c>
      <c r="W290" s="74">
        <f>W284</f>
        <v>21.65</v>
      </c>
      <c r="X290" s="32">
        <f>X284</f>
        <v>0</v>
      </c>
      <c r="Y290" s="369">
        <f t="shared" si="140"/>
        <v>129.83709999999999</v>
      </c>
      <c r="Z290" s="369">
        <f t="shared" si="140"/>
        <v>1179.9971</v>
      </c>
      <c r="AA290" s="305">
        <f t="shared" si="140"/>
        <v>2761193214</v>
      </c>
      <c r="AB290" s="32"/>
      <c r="AC290" s="305">
        <f t="shared" si="141"/>
        <v>11778858</v>
      </c>
      <c r="AD290" s="557">
        <f t="shared" si="141"/>
        <v>0</v>
      </c>
      <c r="AE290" s="305">
        <f t="shared" si="141"/>
        <v>2749414356</v>
      </c>
      <c r="AF290" s="951">
        <f t="shared" si="141"/>
        <v>220215978.27999997</v>
      </c>
      <c r="AG290" s="984">
        <f t="shared" si="141"/>
        <v>41208362.740000017</v>
      </c>
      <c r="AH290" s="984">
        <f t="shared" si="141"/>
        <v>27526997.159999996</v>
      </c>
      <c r="AI290" s="985">
        <f t="shared" si="141"/>
        <v>0</v>
      </c>
      <c r="AJ290" s="984">
        <f t="shared" si="141"/>
        <v>288951338.17999983</v>
      </c>
      <c r="AK290" s="937">
        <f t="shared" si="141"/>
        <v>0.2</v>
      </c>
      <c r="AL290" s="558">
        <f>AL284</f>
        <v>468000</v>
      </c>
      <c r="AM290" s="559">
        <f t="shared" si="141"/>
        <v>0</v>
      </c>
      <c r="AN290" s="558">
        <f t="shared" si="141"/>
        <v>0</v>
      </c>
      <c r="AO290" s="558" t="e">
        <f>AO287+AO288+AO289+#REF!</f>
        <v>#REF!</v>
      </c>
      <c r="AP290" s="558" t="e">
        <f>AP287+AP288+AP289+#REF!</f>
        <v>#REF!</v>
      </c>
      <c r="AQ290" s="560">
        <f>AQ284</f>
        <v>218.24030000000008</v>
      </c>
      <c r="AR290" s="558">
        <f>AR284</f>
        <v>510682302</v>
      </c>
      <c r="AS290" s="558" t="e">
        <f>AS287+AS288+AS289+#REF!</f>
        <v>#REF!</v>
      </c>
      <c r="AT290" s="951">
        <f>AT284</f>
        <v>2971613320</v>
      </c>
      <c r="AU290" s="26"/>
      <c r="AV290" s="70"/>
      <c r="AW290" s="51"/>
    </row>
    <row r="291" spans="1:49" ht="15" customHeight="1" x14ac:dyDescent="0.25">
      <c r="I291" s="47"/>
      <c r="AF291" s="950"/>
      <c r="AG291" s="950"/>
      <c r="AH291" s="950"/>
      <c r="AJ291" s="950"/>
      <c r="AL291" s="9"/>
      <c r="AM291" s="9"/>
      <c r="AN291" s="9"/>
      <c r="AO291" s="502"/>
      <c r="AQ291" s="46"/>
      <c r="AR291" s="9"/>
      <c r="AV291" s="43"/>
      <c r="AW291" s="51"/>
    </row>
    <row r="292" spans="1:49" ht="19.5" customHeight="1" x14ac:dyDescent="0.25">
      <c r="C292" s="861"/>
      <c r="D292" s="516" t="s">
        <v>1372</v>
      </c>
      <c r="E292" s="667" t="s">
        <v>1682</v>
      </c>
      <c r="F292" s="317"/>
      <c r="G292" s="317"/>
      <c r="H292" s="317"/>
      <c r="I292" s="317"/>
      <c r="J292" s="317"/>
      <c r="K292" s="510"/>
      <c r="L292" s="317"/>
      <c r="M292" s="317"/>
      <c r="N292" s="317"/>
      <c r="O292" s="421"/>
      <c r="P292" s="317"/>
      <c r="Q292" s="317"/>
      <c r="R292" s="317"/>
      <c r="S292" s="342"/>
      <c r="T292" s="358"/>
      <c r="U292" s="317"/>
      <c r="V292" s="317"/>
      <c r="W292" s="317"/>
      <c r="X292" s="317"/>
      <c r="Y292" s="317"/>
      <c r="AP292" s="646"/>
      <c r="AV292" s="51"/>
      <c r="AW292" s="5"/>
    </row>
    <row r="293" spans="1:49" ht="6.75" customHeight="1" x14ac:dyDescent="0.25">
      <c r="G293" s="940"/>
      <c r="H293" s="940"/>
      <c r="I293" s="940"/>
      <c r="J293" s="1"/>
      <c r="K293" s="940"/>
      <c r="L293" s="1"/>
      <c r="M293" s="1"/>
      <c r="N293" s="1"/>
      <c r="O293" s="425"/>
      <c r="Q293" s="1"/>
      <c r="AV293" s="51"/>
      <c r="AW293" s="940"/>
    </row>
    <row r="294" spans="1:49" ht="15" customHeight="1" x14ac:dyDescent="0.25">
      <c r="E294" s="653"/>
      <c r="O294" s="425"/>
      <c r="AL294" s="1090" t="s">
        <v>1674</v>
      </c>
      <c r="AM294" s="1090"/>
      <c r="AN294" s="1090"/>
      <c r="AO294" s="1090"/>
      <c r="AP294" s="1090"/>
      <c r="AQ294" s="1090"/>
      <c r="AR294" s="1090"/>
      <c r="AS294" s="1090"/>
      <c r="AT294" s="1090"/>
      <c r="AU294" s="1090"/>
      <c r="AV294" s="1090"/>
      <c r="AW294" s="940"/>
    </row>
    <row r="295" spans="1:49" ht="15" customHeight="1" x14ac:dyDescent="0.25">
      <c r="E295" s="653"/>
      <c r="O295" s="425"/>
      <c r="AL295" s="1044" t="s">
        <v>1660</v>
      </c>
      <c r="AM295" s="1044"/>
      <c r="AN295" s="1044"/>
      <c r="AO295" s="1044"/>
      <c r="AP295" s="1044"/>
      <c r="AQ295" s="1044"/>
      <c r="AR295" s="1044"/>
      <c r="AS295" s="1044"/>
      <c r="AT295" s="1044"/>
      <c r="AU295" s="1044"/>
      <c r="AV295" s="1044"/>
      <c r="AW295" s="956"/>
    </row>
    <row r="296" spans="1:49" ht="18.75" customHeight="1" x14ac:dyDescent="0.25">
      <c r="D296" s="1044" t="s">
        <v>27</v>
      </c>
      <c r="E296" s="1044"/>
      <c r="F296" s="1044"/>
      <c r="G296" s="1044"/>
      <c r="H296" s="1044"/>
      <c r="I296" s="1044"/>
      <c r="J296" s="1044"/>
      <c r="K296" s="1044"/>
      <c r="L296" s="1044"/>
      <c r="M296" s="1044"/>
      <c r="N296" s="1044"/>
      <c r="O296" s="1044"/>
      <c r="P296" s="1044"/>
      <c r="Q296" s="1044"/>
      <c r="R296" s="1044"/>
      <c r="S296" s="1044"/>
      <c r="X296" s="846"/>
      <c r="Y296" s="846"/>
      <c r="Z296" s="1044" t="s">
        <v>1114</v>
      </c>
      <c r="AA296" s="1044"/>
      <c r="AB296" s="1044"/>
      <c r="AC296" s="1044"/>
      <c r="AD296" s="1044"/>
      <c r="AE296" s="1044"/>
      <c r="AF296" s="1044"/>
      <c r="AG296" s="1044"/>
      <c r="AH296" s="1044"/>
      <c r="AI296" s="1044"/>
      <c r="AJ296" s="1044"/>
      <c r="AK296" s="1"/>
      <c r="AL296" s="1044" t="s">
        <v>1659</v>
      </c>
      <c r="AM296" s="1044"/>
      <c r="AN296" s="1044"/>
      <c r="AO296" s="1044"/>
      <c r="AP296" s="1044"/>
      <c r="AQ296" s="1044"/>
      <c r="AR296" s="1044"/>
      <c r="AS296" s="1044"/>
      <c r="AT296" s="1044"/>
      <c r="AU296" s="1044"/>
      <c r="AV296" s="1044"/>
    </row>
    <row r="297" spans="1:49" ht="9.75" customHeight="1" x14ac:dyDescent="0.25">
      <c r="D297" s="128"/>
      <c r="E297" s="268"/>
      <c r="F297" s="128"/>
      <c r="G297" s="940"/>
      <c r="H297" s="940"/>
      <c r="I297" s="940"/>
      <c r="J297" s="940"/>
      <c r="K297" s="940"/>
      <c r="L297" s="940"/>
      <c r="M297" s="940"/>
      <c r="N297" s="940"/>
      <c r="O297" s="260"/>
      <c r="P297" s="940"/>
      <c r="Q297" s="940"/>
      <c r="R297" s="940"/>
      <c r="S297" s="343"/>
      <c r="W297" s="940"/>
      <c r="X297" s="139"/>
      <c r="Y297" s="940"/>
      <c r="Z297" s="940"/>
      <c r="AA297" s="940"/>
      <c r="AB297" s="940"/>
      <c r="AC297" s="940"/>
      <c r="AD297" s="940"/>
      <c r="AE297" s="940"/>
      <c r="AF297" s="940"/>
      <c r="AG297" s="8"/>
      <c r="AH297" s="8"/>
      <c r="AI297" s="8"/>
      <c r="AJ297" s="8"/>
      <c r="AL297" s="1044"/>
      <c r="AM297" s="1044"/>
      <c r="AN297" s="1044"/>
      <c r="AO297" s="1044"/>
      <c r="AP297" s="1044"/>
      <c r="AQ297" s="1044"/>
      <c r="AR297" s="1044"/>
      <c r="AS297" s="1044"/>
      <c r="AT297" s="1044"/>
      <c r="AU297" s="1044"/>
      <c r="AV297" s="1044"/>
    </row>
    <row r="298" spans="1:49" x14ac:dyDescent="0.25">
      <c r="T298" s="359"/>
      <c r="V298" s="34"/>
      <c r="AA298" s="941"/>
      <c r="AB298" s="941"/>
      <c r="AC298" s="941"/>
      <c r="AD298" s="941"/>
      <c r="AE298" s="941"/>
      <c r="AF298" s="28"/>
      <c r="AG298" s="8"/>
      <c r="AH298" s="8"/>
      <c r="AI298" s="8"/>
      <c r="AJ298" s="8"/>
      <c r="AK298" s="1"/>
      <c r="AL298" s="8"/>
      <c r="AM298" s="8"/>
      <c r="AN298" s="8"/>
      <c r="AO298" s="503"/>
      <c r="AP298" s="647"/>
      <c r="AQ298" s="41"/>
      <c r="AR298" s="8"/>
      <c r="AS298" s="1"/>
      <c r="AT298" s="1"/>
    </row>
    <row r="299" spans="1:49" ht="9" customHeight="1" x14ac:dyDescent="0.25">
      <c r="T299" s="359"/>
      <c r="V299" s="34"/>
      <c r="AA299" s="941"/>
      <c r="AB299" s="941"/>
      <c r="AC299" s="941"/>
      <c r="AD299" s="941"/>
      <c r="AE299" s="941"/>
      <c r="AF299" s="28"/>
      <c r="AG299" s="8"/>
      <c r="AH299" s="8"/>
      <c r="AI299" s="8"/>
      <c r="AJ299" s="8"/>
      <c r="AK299" s="1"/>
      <c r="AL299" s="8"/>
      <c r="AM299" s="8"/>
      <c r="AN299" s="8"/>
      <c r="AO299" s="503"/>
      <c r="AP299" s="647"/>
      <c r="AQ299" s="41"/>
      <c r="AR299" s="8"/>
      <c r="AS299" s="1"/>
      <c r="AT299" s="1"/>
    </row>
    <row r="300" spans="1:49" ht="7.5" customHeight="1" x14ac:dyDescent="0.25">
      <c r="T300" s="359"/>
      <c r="V300" s="34"/>
      <c r="AA300" s="941"/>
      <c r="AB300" s="941"/>
      <c r="AC300" s="941"/>
      <c r="AD300" s="941"/>
      <c r="AE300" s="941"/>
      <c r="AF300" s="28"/>
      <c r="AG300" s="8"/>
      <c r="AH300" s="8"/>
      <c r="AI300" s="8"/>
      <c r="AJ300" s="8"/>
      <c r="AK300" s="1"/>
      <c r="AL300" s="8"/>
      <c r="AM300" s="8"/>
      <c r="AN300" s="8"/>
      <c r="AO300" s="503"/>
      <c r="AP300" s="647"/>
      <c r="AQ300" s="41"/>
      <c r="AR300" s="8"/>
      <c r="AS300" s="1"/>
      <c r="AT300" s="1"/>
    </row>
    <row r="301" spans="1:49" x14ac:dyDescent="0.25">
      <c r="V301" s="34"/>
    </row>
    <row r="302" spans="1:49" ht="15.75" customHeight="1" x14ac:dyDescent="0.25">
      <c r="V302" s="54"/>
      <c r="AW302" s="940"/>
    </row>
    <row r="303" spans="1:49" s="1" customFormat="1" x14ac:dyDescent="0.25">
      <c r="A303" s="940"/>
      <c r="B303" s="940"/>
      <c r="C303" s="848"/>
      <c r="E303" s="260"/>
      <c r="G303" s="940"/>
      <c r="H303" s="940"/>
      <c r="I303" s="940"/>
      <c r="K303" s="940"/>
      <c r="O303" s="421"/>
      <c r="S303" s="328"/>
      <c r="T303" s="360"/>
      <c r="V303" s="8"/>
      <c r="X303" s="139"/>
      <c r="Y303" s="8"/>
      <c r="Z303" s="8"/>
      <c r="AA303" s="941"/>
      <c r="AB303" s="941"/>
      <c r="AC303" s="941"/>
      <c r="AD303" s="941"/>
      <c r="AE303" s="941"/>
      <c r="AF303" s="8"/>
      <c r="AG303" s="8"/>
      <c r="AH303" s="8"/>
      <c r="AI303" s="8"/>
      <c r="AJ303" s="8"/>
      <c r="AL303" s="8"/>
      <c r="AM303" s="8"/>
      <c r="AN303" s="8"/>
      <c r="AO303" s="503"/>
      <c r="AP303" s="647"/>
      <c r="AQ303" s="41"/>
      <c r="AR303" s="8"/>
      <c r="AU303" s="2"/>
      <c r="AV303" s="39"/>
      <c r="AW303" s="39"/>
    </row>
    <row r="304" spans="1:49" s="1" customFormat="1" x14ac:dyDescent="0.25">
      <c r="A304" s="940"/>
      <c r="B304" s="940"/>
      <c r="C304" s="848"/>
      <c r="D304" s="1044" t="s">
        <v>1105</v>
      </c>
      <c r="E304" s="1044"/>
      <c r="F304" s="1044"/>
      <c r="G304" s="1044"/>
      <c r="H304" s="1044"/>
      <c r="I304" s="1044"/>
      <c r="J304" s="1044"/>
      <c r="K304" s="1044"/>
      <c r="L304" s="1044"/>
      <c r="M304" s="1044"/>
      <c r="N304" s="1044"/>
      <c r="O304" s="1044"/>
      <c r="P304" s="1044"/>
      <c r="Q304" s="1044"/>
      <c r="R304" s="1044"/>
      <c r="S304" s="1044"/>
      <c r="T304" s="360"/>
      <c r="V304" s="55"/>
      <c r="X304" s="846"/>
      <c r="Y304" s="846"/>
      <c r="Z304" s="1044" t="s">
        <v>803</v>
      </c>
      <c r="AA304" s="1044"/>
      <c r="AB304" s="1044"/>
      <c r="AC304" s="1044"/>
      <c r="AD304" s="1044"/>
      <c r="AE304" s="1044"/>
      <c r="AF304" s="1044"/>
      <c r="AG304" s="1044"/>
      <c r="AH304" s="1044"/>
      <c r="AI304" s="1044"/>
      <c r="AJ304" s="1044"/>
      <c r="AL304" s="1044" t="s">
        <v>775</v>
      </c>
      <c r="AM304" s="1044"/>
      <c r="AN304" s="1044"/>
      <c r="AO304" s="1044"/>
      <c r="AP304" s="1044"/>
      <c r="AQ304" s="1044"/>
      <c r="AR304" s="1044"/>
      <c r="AS304" s="1044"/>
      <c r="AT304" s="1044"/>
      <c r="AU304" s="1044"/>
      <c r="AV304" s="1044"/>
      <c r="AW304" s="39"/>
    </row>
    <row r="305" spans="22:22" x14ac:dyDescent="0.25">
      <c r="V305" s="54"/>
    </row>
    <row r="306" spans="22:22" x14ac:dyDescent="0.25">
      <c r="V306" s="54"/>
    </row>
    <row r="307" spans="22:22" x14ac:dyDescent="0.25">
      <c r="V307" s="54"/>
    </row>
    <row r="308" spans="22:22" x14ac:dyDescent="0.25">
      <c r="V308" s="54"/>
    </row>
    <row r="309" spans="22:22" x14ac:dyDescent="0.25">
      <c r="V309" s="54"/>
    </row>
    <row r="310" spans="22:22" x14ac:dyDescent="0.25">
      <c r="V310" s="54"/>
    </row>
    <row r="311" spans="22:22" x14ac:dyDescent="0.25">
      <c r="V311" s="54"/>
    </row>
    <row r="312" spans="22:22" x14ac:dyDescent="0.25">
      <c r="V312" s="54"/>
    </row>
    <row r="313" spans="22:22" x14ac:dyDescent="0.25">
      <c r="V313" s="54"/>
    </row>
    <row r="314" spans="22:22" x14ac:dyDescent="0.25">
      <c r="V314" s="54"/>
    </row>
    <row r="315" spans="22:22" x14ac:dyDescent="0.25">
      <c r="V315" s="54"/>
    </row>
    <row r="316" spans="22:22" x14ac:dyDescent="0.25">
      <c r="V316" s="54"/>
    </row>
    <row r="317" spans="22:22" x14ac:dyDescent="0.25">
      <c r="V317" s="54"/>
    </row>
    <row r="318" spans="22:22" x14ac:dyDescent="0.25">
      <c r="V318" s="54"/>
    </row>
    <row r="319" spans="22:22" x14ac:dyDescent="0.25">
      <c r="V319" s="54"/>
    </row>
    <row r="320" spans="22:22"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D333" s="71"/>
      <c r="E333" s="269"/>
      <c r="F333" s="71"/>
      <c r="G333" s="5" t="s">
        <v>596</v>
      </c>
      <c r="V333" s="54"/>
    </row>
    <row r="334" spans="4:22" x14ac:dyDescent="0.25">
      <c r="V334" s="54"/>
    </row>
    <row r="335" spans="4:22" x14ac:dyDescent="0.25">
      <c r="V335" s="54"/>
    </row>
    <row r="336" spans="4:22" x14ac:dyDescent="0.25">
      <c r="V336" s="56"/>
    </row>
  </sheetData>
  <autoFilter ref="A13:BG290"/>
  <mergeCells count="48">
    <mergeCell ref="A1:P1"/>
    <mergeCell ref="AL1:AV1"/>
    <mergeCell ref="A2:P2"/>
    <mergeCell ref="AL2:AV2"/>
    <mergeCell ref="A3:P3"/>
    <mergeCell ref="AL3:AV3"/>
    <mergeCell ref="V4:AL5"/>
    <mergeCell ref="AR5:AV5"/>
    <mergeCell ref="V6:AL6"/>
    <mergeCell ref="A9:A10"/>
    <mergeCell ref="C9:C10"/>
    <mergeCell ref="D9:D10"/>
    <mergeCell ref="E9:E10"/>
    <mergeCell ref="G9:G10"/>
    <mergeCell ref="J9:J10"/>
    <mergeCell ref="K9:K10"/>
    <mergeCell ref="AE9:AE10"/>
    <mergeCell ref="M9:M10"/>
    <mergeCell ref="N9:N10"/>
    <mergeCell ref="O9:O10"/>
    <mergeCell ref="P9:P10"/>
    <mergeCell ref="Q9:Q10"/>
    <mergeCell ref="R9:Y9"/>
    <mergeCell ref="Z9:Z10"/>
    <mergeCell ref="AA9:AA10"/>
    <mergeCell ref="AB9:AB10"/>
    <mergeCell ref="AC9:AC10"/>
    <mergeCell ref="D304:S304"/>
    <mergeCell ref="Z304:AJ304"/>
    <mergeCell ref="AL304:AV304"/>
    <mergeCell ref="AD9:AD10"/>
    <mergeCell ref="AL294:AV294"/>
    <mergeCell ref="AF9:AJ9"/>
    <mergeCell ref="AK9:AL9"/>
    <mergeCell ref="AM9:AN9"/>
    <mergeCell ref="AO9:AO10"/>
    <mergeCell ref="AP9:AP10"/>
    <mergeCell ref="AQ9:AQ10"/>
    <mergeCell ref="AR9:AR10"/>
    <mergeCell ref="AS9:AS10"/>
    <mergeCell ref="AT9:AT10"/>
    <mergeCell ref="AU9:AV10"/>
    <mergeCell ref="AU11:AV11"/>
    <mergeCell ref="AL295:AV295"/>
    <mergeCell ref="D296:S296"/>
    <mergeCell ref="Z296:AJ296"/>
    <mergeCell ref="AL296:AV296"/>
    <mergeCell ref="AL297:AV297"/>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oleObjects>
    <mc:AlternateContent xmlns:mc="http://schemas.openxmlformats.org/markup-compatibility/2006">
      <mc:Choice Requires="x14">
        <oleObject progId="PDF" dvAspect="DVASPECT_ICON" shapeId="280577" r:id="rId4">
          <objectPr defaultSize="0" autoPict="0" r:id="rId5">
            <anchor moveWithCells="1">
              <from>
                <xdr:col>49</xdr:col>
                <xdr:colOff>0</xdr:colOff>
                <xdr:row>2</xdr:row>
                <xdr:rowOff>142875</xdr:rowOff>
              </from>
              <to>
                <xdr:col>50</xdr:col>
                <xdr:colOff>590550</xdr:colOff>
                <xdr:row>7</xdr:row>
                <xdr:rowOff>95250</xdr:rowOff>
              </to>
            </anchor>
          </objectPr>
        </oleObject>
      </mc:Choice>
      <mc:Fallback>
        <oleObject progId="PDF" dvAspect="DVASPECT_ICON" shapeId="280577" r:id="rId4"/>
      </mc:Fallback>
    </mc:AlternateContent>
    <mc:AlternateContent xmlns:mc="http://schemas.openxmlformats.org/markup-compatibility/2006">
      <mc:Choice Requires="x14">
        <oleObject progId="PDF" dvAspect="DVASPECT_ICON" shapeId="281159" r:id="rId6">
          <objectPr defaultSize="0" r:id="rId7">
            <anchor moveWithCells="1">
              <from>
                <xdr:col>50</xdr:col>
                <xdr:colOff>0</xdr:colOff>
                <xdr:row>9</xdr:row>
                <xdr:rowOff>0</xdr:rowOff>
              </from>
              <to>
                <xdr:col>50</xdr:col>
                <xdr:colOff>914400</xdr:colOff>
                <xdr:row>10</xdr:row>
                <xdr:rowOff>228600</xdr:rowOff>
              </to>
            </anchor>
          </objectPr>
        </oleObject>
      </mc:Choice>
      <mc:Fallback>
        <oleObject progId="PDF" dvAspect="DVASPECT_ICON" shapeId="281159" r:id="rId6"/>
      </mc:Fallback>
    </mc:AlternateContent>
    <mc:AlternateContent xmlns:mc="http://schemas.openxmlformats.org/markup-compatibility/2006">
      <mc:Choice Requires="x14">
        <oleObject progId="PDF" dvAspect="DVASPECT_ICON" shapeId="281161" r:id="rId8">
          <objectPr defaultSize="0" autoPict="0" r:id="rId9">
            <anchor moveWithCells="1">
              <from>
                <xdr:col>51</xdr:col>
                <xdr:colOff>342900</xdr:colOff>
                <xdr:row>5</xdr:row>
                <xdr:rowOff>190500</xdr:rowOff>
              </from>
              <to>
                <xdr:col>52</xdr:col>
                <xdr:colOff>123825</xdr:colOff>
                <xdr:row>9</xdr:row>
                <xdr:rowOff>114300</xdr:rowOff>
              </to>
            </anchor>
          </objectPr>
        </oleObject>
      </mc:Choice>
      <mc:Fallback>
        <oleObject progId="PDF" dvAspect="DVASPECT_ICON" shapeId="281161" r:id="rId8"/>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38"/>
  <sheetViews>
    <sheetView topLeftCell="A19" zoomScale="120" zoomScaleNormal="120" workbookViewId="0">
      <selection activeCell="V24" sqref="V24"/>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5"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5"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4" x14ac:dyDescent="0.25">
      <c r="A1" s="1101" t="s">
        <v>681</v>
      </c>
      <c r="B1" s="1101"/>
      <c r="C1" s="1101"/>
      <c r="D1" s="1101"/>
      <c r="E1" s="1101"/>
      <c r="F1" s="1101"/>
      <c r="G1" s="1101"/>
      <c r="H1" s="1101"/>
      <c r="I1" s="1101"/>
      <c r="J1" s="155"/>
      <c r="K1" s="155"/>
      <c r="M1" s="75"/>
      <c r="N1" s="1103" t="s">
        <v>58</v>
      </c>
      <c r="O1" s="1103"/>
      <c r="P1" s="1103"/>
      <c r="Q1" s="1103"/>
      <c r="R1" s="1103"/>
      <c r="S1" s="1103"/>
      <c r="T1" s="1103"/>
      <c r="U1" s="1103"/>
      <c r="V1" s="1103"/>
    </row>
    <row r="2" spans="1:24" s="77" customFormat="1" ht="16.5" customHeight="1" x14ac:dyDescent="0.25">
      <c r="A2" s="1102" t="s">
        <v>1132</v>
      </c>
      <c r="B2" s="1102"/>
      <c r="C2" s="1102"/>
      <c r="D2" s="1102"/>
      <c r="E2" s="1102"/>
      <c r="F2" s="1102"/>
      <c r="G2" s="1102"/>
      <c r="H2" s="1102"/>
      <c r="I2" s="1102"/>
      <c r="J2" s="78"/>
      <c r="K2" s="78"/>
      <c r="L2" s="46"/>
      <c r="N2" s="1044" t="s">
        <v>33</v>
      </c>
      <c r="O2" s="1044"/>
      <c r="P2" s="1044"/>
      <c r="Q2" s="1044"/>
      <c r="R2" s="1044"/>
      <c r="S2" s="1044"/>
      <c r="T2" s="1044"/>
      <c r="U2" s="1044"/>
      <c r="V2" s="1044"/>
    </row>
    <row r="3" spans="1:24" s="77" customFormat="1" ht="18" customHeight="1" x14ac:dyDescent="0.25">
      <c r="A3" s="2"/>
      <c r="F3" s="78"/>
      <c r="H3" s="146"/>
      <c r="I3" s="146"/>
      <c r="J3" s="78"/>
      <c r="K3" s="78"/>
      <c r="L3" s="46"/>
      <c r="P3" s="146"/>
      <c r="V3" s="149"/>
    </row>
    <row r="4" spans="1:24" s="81" customFormat="1" ht="21" customHeight="1" x14ac:dyDescent="0.3">
      <c r="A4" s="1106" t="s">
        <v>1675</v>
      </c>
      <c r="B4" s="1106"/>
      <c r="C4" s="1106"/>
      <c r="D4" s="1106"/>
      <c r="E4" s="1106"/>
      <c r="F4" s="1106"/>
      <c r="G4" s="1106"/>
      <c r="H4" s="1106"/>
      <c r="I4" s="1106"/>
      <c r="J4" s="1106"/>
      <c r="K4" s="1106"/>
      <c r="L4" s="1106"/>
      <c r="M4" s="1106"/>
      <c r="N4" s="1106"/>
      <c r="O4" s="1106"/>
      <c r="P4" s="1106"/>
      <c r="Q4" s="1106"/>
      <c r="R4" s="1106"/>
      <c r="S4" s="1106"/>
      <c r="T4" s="1106"/>
      <c r="U4" s="1106"/>
      <c r="V4" s="1106"/>
    </row>
    <row r="5" spans="1:24" s="82" customFormat="1" ht="17.25" customHeight="1" x14ac:dyDescent="0.25">
      <c r="A5" s="2"/>
      <c r="F5" s="83"/>
      <c r="H5" s="147"/>
      <c r="I5" s="147"/>
      <c r="J5" s="83"/>
      <c r="K5" s="83"/>
      <c r="L5" s="46"/>
      <c r="P5" s="147"/>
      <c r="V5" s="150"/>
    </row>
    <row r="6" spans="1:24" s="80" customFormat="1" ht="24" customHeight="1" x14ac:dyDescent="0.25">
      <c r="A6" s="1105" t="s">
        <v>282</v>
      </c>
      <c r="B6" s="1104" t="s">
        <v>55</v>
      </c>
      <c r="C6" s="405"/>
      <c r="D6" s="1104" t="s">
        <v>1266</v>
      </c>
      <c r="E6" s="1098" t="s">
        <v>28</v>
      </c>
      <c r="F6" s="1099" t="s">
        <v>1658</v>
      </c>
      <c r="G6" s="1100"/>
      <c r="H6" s="1100"/>
      <c r="I6" s="1100"/>
      <c r="J6" s="1100"/>
      <c r="K6" s="1100"/>
      <c r="L6" s="1100"/>
      <c r="M6" s="1100"/>
      <c r="N6" s="1099" t="s">
        <v>1676</v>
      </c>
      <c r="O6" s="1100"/>
      <c r="P6" s="1100"/>
      <c r="Q6" s="1100"/>
      <c r="R6" s="1100"/>
      <c r="S6" s="1100"/>
      <c r="T6" s="1100"/>
      <c r="U6" s="1100"/>
      <c r="V6" s="1098" t="s">
        <v>32</v>
      </c>
    </row>
    <row r="7" spans="1:24" s="80" customFormat="1" ht="29.25" customHeight="1" x14ac:dyDescent="0.25">
      <c r="A7" s="1105"/>
      <c r="B7" s="1104"/>
      <c r="C7" s="405"/>
      <c r="D7" s="1104"/>
      <c r="E7" s="1098"/>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98"/>
    </row>
    <row r="8" spans="1:24" s="80" customFormat="1" ht="18.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4" s="42" customFormat="1" ht="55.5" customHeight="1" x14ac:dyDescent="0.25">
      <c r="A9" s="872" t="s">
        <v>5</v>
      </c>
      <c r="B9" s="870" t="s">
        <v>6</v>
      </c>
      <c r="C9" s="168"/>
      <c r="D9" s="870"/>
      <c r="E9" s="867" t="s">
        <v>775</v>
      </c>
      <c r="F9" s="868" t="s">
        <v>1438</v>
      </c>
      <c r="G9" s="900">
        <v>4.9800000000000004</v>
      </c>
      <c r="H9" s="179">
        <v>7.0000000000000007E-2</v>
      </c>
      <c r="I9" s="981">
        <f>G9*H9</f>
        <v>0.34860000000000008</v>
      </c>
      <c r="J9" s="870">
        <v>0.9</v>
      </c>
      <c r="K9" s="399">
        <v>0.22</v>
      </c>
      <c r="L9" s="216">
        <f t="shared" ref="L9:L10" si="0">(G9+I9+J9)*K9</f>
        <v>1.3702920000000003</v>
      </c>
      <c r="M9" s="871" t="s">
        <v>1093</v>
      </c>
      <c r="N9" s="868" t="s">
        <v>1438</v>
      </c>
      <c r="O9" s="177">
        <v>4.9800000000000004</v>
      </c>
      <c r="P9" s="179">
        <v>7.0000000000000007E-2</v>
      </c>
      <c r="Q9" s="194">
        <f>O9*P9</f>
        <v>0.34860000000000008</v>
      </c>
      <c r="R9" s="168">
        <v>0.9</v>
      </c>
      <c r="S9" s="399">
        <v>0.23</v>
      </c>
      <c r="T9" s="216">
        <f t="shared" ref="T9:T10" si="1">(O9+Q9+R9)*S9</f>
        <v>1.4325780000000004</v>
      </c>
      <c r="U9" s="871" t="s">
        <v>1093</v>
      </c>
      <c r="V9" s="869" t="s">
        <v>1666</v>
      </c>
    </row>
    <row r="10" spans="1:24" s="42" customFormat="1" ht="54" customHeight="1" x14ac:dyDescent="0.25">
      <c r="A10" s="872" t="s">
        <v>6</v>
      </c>
      <c r="B10" s="870" t="s">
        <v>7</v>
      </c>
      <c r="C10" s="168"/>
      <c r="D10" s="870"/>
      <c r="E10" s="867" t="s">
        <v>777</v>
      </c>
      <c r="F10" s="868" t="s">
        <v>1438</v>
      </c>
      <c r="G10" s="900">
        <v>4.9800000000000004</v>
      </c>
      <c r="H10" s="179"/>
      <c r="I10" s="981">
        <f>G10*H10</f>
        <v>0</v>
      </c>
      <c r="J10" s="870">
        <v>0.7</v>
      </c>
      <c r="K10" s="399">
        <v>0.21</v>
      </c>
      <c r="L10" s="216">
        <f t="shared" si="0"/>
        <v>1.1928000000000001</v>
      </c>
      <c r="M10" s="871" t="s">
        <v>1093</v>
      </c>
      <c r="N10" s="868" t="s">
        <v>1438</v>
      </c>
      <c r="O10" s="177">
        <v>4.9800000000000004</v>
      </c>
      <c r="P10" s="179"/>
      <c r="Q10" s="194">
        <f>O10*P10</f>
        <v>0</v>
      </c>
      <c r="R10" s="870">
        <v>0.7</v>
      </c>
      <c r="S10" s="399">
        <v>0.22</v>
      </c>
      <c r="T10" s="216">
        <f t="shared" si="1"/>
        <v>1.2496</v>
      </c>
      <c r="U10" s="871" t="s">
        <v>1093</v>
      </c>
      <c r="V10" s="869" t="s">
        <v>1667</v>
      </c>
    </row>
    <row r="11" spans="1:24" s="42" customFormat="1" ht="38.25" customHeight="1" x14ac:dyDescent="0.25">
      <c r="A11" s="872" t="s">
        <v>7</v>
      </c>
      <c r="B11" s="870">
        <v>18</v>
      </c>
      <c r="C11" s="168"/>
      <c r="D11" s="870"/>
      <c r="E11" s="867" t="s">
        <v>767</v>
      </c>
      <c r="F11" s="868" t="s">
        <v>1438</v>
      </c>
      <c r="G11" s="177">
        <v>4.9800000000000004</v>
      </c>
      <c r="H11" s="179">
        <v>0.05</v>
      </c>
      <c r="I11" s="176">
        <f t="shared" ref="I11" si="2">G11*H11</f>
        <v>0.24900000000000003</v>
      </c>
      <c r="J11" s="168"/>
      <c r="K11" s="399">
        <v>0.22</v>
      </c>
      <c r="L11" s="216">
        <f>(G11+I11+J11)*K11</f>
        <v>1.15038</v>
      </c>
      <c r="M11" s="871" t="s">
        <v>1093</v>
      </c>
      <c r="N11" s="868" t="s">
        <v>1438</v>
      </c>
      <c r="O11" s="177">
        <v>4.9800000000000004</v>
      </c>
      <c r="P11" s="179">
        <v>0.06</v>
      </c>
      <c r="Q11" s="194">
        <f t="shared" ref="Q11" si="3">P11*O11</f>
        <v>0.29880000000000001</v>
      </c>
      <c r="R11" s="168"/>
      <c r="S11" s="399">
        <v>0.11</v>
      </c>
      <c r="T11" s="216">
        <f>(O11+Q11+R11)*S11</f>
        <v>0.58066800000000007</v>
      </c>
      <c r="U11" s="871" t="s">
        <v>1093</v>
      </c>
      <c r="V11" s="869" t="s">
        <v>1668</v>
      </c>
    </row>
    <row r="12" spans="1:24" s="42" customFormat="1" ht="40.5" customHeight="1" x14ac:dyDescent="0.25">
      <c r="A12" s="872" t="s">
        <v>8</v>
      </c>
      <c r="B12" s="870">
        <v>31</v>
      </c>
      <c r="C12" s="168"/>
      <c r="D12" s="870"/>
      <c r="E12" s="867" t="s">
        <v>1169</v>
      </c>
      <c r="F12" s="868" t="s">
        <v>1438</v>
      </c>
      <c r="G12" s="177">
        <v>4.9800000000000004</v>
      </c>
      <c r="H12" s="179">
        <v>7.0000000000000007E-2</v>
      </c>
      <c r="I12" s="176">
        <f>G12*H12</f>
        <v>0.34860000000000008</v>
      </c>
      <c r="J12" s="168"/>
      <c r="K12" s="399">
        <v>0.24</v>
      </c>
      <c r="L12" s="216">
        <f t="shared" ref="L12" si="4">(G12+I12+J12)*K12</f>
        <v>1.2788640000000002</v>
      </c>
      <c r="M12" s="871" t="s">
        <v>1093</v>
      </c>
      <c r="N12" s="868" t="s">
        <v>1438</v>
      </c>
      <c r="O12" s="177">
        <v>4.9800000000000004</v>
      </c>
      <c r="P12" s="179">
        <v>7.0000000000000007E-2</v>
      </c>
      <c r="Q12" s="194">
        <f t="shared" ref="Q12" si="5">P12*O12</f>
        <v>0.34860000000000008</v>
      </c>
      <c r="R12" s="168"/>
      <c r="S12" s="399">
        <v>0.25</v>
      </c>
      <c r="T12" s="216">
        <f t="shared" ref="T12" si="6">(O12+Q12+R12)*S12</f>
        <v>1.3321500000000002</v>
      </c>
      <c r="U12" s="871" t="s">
        <v>1093</v>
      </c>
      <c r="V12" s="869" t="s">
        <v>1670</v>
      </c>
    </row>
    <row r="13" spans="1:24" s="42" customFormat="1" ht="40.5" customHeight="1" x14ac:dyDescent="0.25">
      <c r="A13" s="872" t="s">
        <v>177</v>
      </c>
      <c r="B13" s="986">
        <v>79</v>
      </c>
      <c r="C13" s="565"/>
      <c r="D13" s="986"/>
      <c r="E13" s="902" t="s">
        <v>779</v>
      </c>
      <c r="F13" s="868" t="s">
        <v>43</v>
      </c>
      <c r="G13" s="938">
        <v>3.03</v>
      </c>
      <c r="H13" s="915"/>
      <c r="I13" s="176"/>
      <c r="J13" s="986"/>
      <c r="K13" s="917"/>
      <c r="L13" s="216"/>
      <c r="M13" s="871"/>
      <c r="N13" s="868" t="s">
        <v>43</v>
      </c>
      <c r="O13" s="987">
        <v>3.34</v>
      </c>
      <c r="P13" s="915"/>
      <c r="Q13" s="918"/>
      <c r="R13" s="986"/>
      <c r="S13" s="917"/>
      <c r="T13" s="216"/>
      <c r="U13" s="871"/>
      <c r="V13" s="869" t="s">
        <v>1669</v>
      </c>
    </row>
    <row r="14" spans="1:24" s="42" customFormat="1" ht="40.5" customHeight="1" x14ac:dyDescent="0.25">
      <c r="A14" s="872" t="s">
        <v>9</v>
      </c>
      <c r="B14" s="168">
        <v>109</v>
      </c>
      <c r="C14" s="168"/>
      <c r="D14" s="870"/>
      <c r="E14" s="867" t="s">
        <v>823</v>
      </c>
      <c r="F14" s="868" t="s">
        <v>1593</v>
      </c>
      <c r="G14" s="177">
        <v>4.74</v>
      </c>
      <c r="H14" s="179"/>
      <c r="I14" s="176">
        <f>G14*H14</f>
        <v>0</v>
      </c>
      <c r="J14" s="168">
        <v>0.45</v>
      </c>
      <c r="K14" s="399">
        <v>0.19</v>
      </c>
      <c r="L14" s="216">
        <f>(G14+I14+J14)*K14</f>
        <v>0.98610000000000009</v>
      </c>
      <c r="M14" s="871" t="s">
        <v>1093</v>
      </c>
      <c r="N14" s="868" t="s">
        <v>1593</v>
      </c>
      <c r="O14" s="900">
        <v>4.74</v>
      </c>
      <c r="P14" s="179"/>
      <c r="Q14" s="194">
        <f t="shared" ref="Q14:Q23" si="7">P14*O14</f>
        <v>0</v>
      </c>
      <c r="R14" s="168">
        <v>0.45</v>
      </c>
      <c r="S14" s="399">
        <v>0.2</v>
      </c>
      <c r="T14" s="216">
        <f>(O14+Q14+R14)*S14</f>
        <v>1.038</v>
      </c>
      <c r="U14" s="871" t="s">
        <v>1093</v>
      </c>
      <c r="V14" s="869" t="s">
        <v>1670</v>
      </c>
      <c r="X14" s="916"/>
    </row>
    <row r="15" spans="1:24" s="42" customFormat="1" ht="40.5" customHeight="1" x14ac:dyDescent="0.25">
      <c r="A15" s="872" t="s">
        <v>10</v>
      </c>
      <c r="B15" s="168">
        <v>112</v>
      </c>
      <c r="C15" s="168"/>
      <c r="D15" s="870"/>
      <c r="E15" s="867" t="s">
        <v>1202</v>
      </c>
      <c r="F15" s="446" t="s">
        <v>1438</v>
      </c>
      <c r="G15" s="177">
        <v>3.66</v>
      </c>
      <c r="H15" s="179"/>
      <c r="I15" s="176">
        <f>G15*H15</f>
        <v>0</v>
      </c>
      <c r="J15" s="168">
        <v>0.45</v>
      </c>
      <c r="K15" s="399">
        <v>0.11</v>
      </c>
      <c r="L15" s="216">
        <f>(G15+I15+J15)*K15</f>
        <v>0.45210000000000006</v>
      </c>
      <c r="M15" s="871" t="s">
        <v>1093</v>
      </c>
      <c r="N15" s="446" t="s">
        <v>1438</v>
      </c>
      <c r="O15" s="900">
        <v>3.66</v>
      </c>
      <c r="P15" s="179"/>
      <c r="Q15" s="194"/>
      <c r="R15" s="168">
        <v>0.45</v>
      </c>
      <c r="S15" s="399">
        <v>0.12</v>
      </c>
      <c r="T15" s="216">
        <f>(O15+Q15+R15)*S15</f>
        <v>0.49320000000000003</v>
      </c>
      <c r="U15" s="871" t="s">
        <v>1093</v>
      </c>
      <c r="V15" s="869" t="s">
        <v>1670</v>
      </c>
      <c r="X15" s="916"/>
    </row>
    <row r="16" spans="1:24" s="42" customFormat="1" ht="55.5" customHeight="1" x14ac:dyDescent="0.25">
      <c r="A16" s="872" t="s">
        <v>11</v>
      </c>
      <c r="B16" s="168">
        <v>125</v>
      </c>
      <c r="C16" s="168"/>
      <c r="D16" s="870"/>
      <c r="E16" s="867" t="s">
        <v>1621</v>
      </c>
      <c r="F16" s="446" t="s">
        <v>1438</v>
      </c>
      <c r="G16" s="177"/>
      <c r="H16" s="179"/>
      <c r="I16" s="176">
        <f>G16*H16</f>
        <v>0</v>
      </c>
      <c r="J16" s="168"/>
      <c r="K16" s="399"/>
      <c r="L16" s="216"/>
      <c r="M16" s="871"/>
      <c r="N16" s="446" t="s">
        <v>1438</v>
      </c>
      <c r="O16" s="900">
        <v>3.66</v>
      </c>
      <c r="P16" s="179"/>
      <c r="Q16" s="194"/>
      <c r="R16" s="168"/>
      <c r="S16" s="399">
        <v>0.11</v>
      </c>
      <c r="T16" s="216">
        <f>(O16+Q16+R16)*S16</f>
        <v>0.40260000000000001</v>
      </c>
      <c r="U16" s="871" t="s">
        <v>1093</v>
      </c>
      <c r="V16" s="869" t="s">
        <v>1672</v>
      </c>
      <c r="X16" s="916"/>
    </row>
    <row r="17" spans="1:24" s="42" customFormat="1" ht="45.75" customHeight="1" x14ac:dyDescent="0.25">
      <c r="A17" s="872" t="s">
        <v>12</v>
      </c>
      <c r="B17" s="168">
        <v>132</v>
      </c>
      <c r="C17" s="168"/>
      <c r="D17" s="870"/>
      <c r="E17" s="867" t="s">
        <v>1585</v>
      </c>
      <c r="F17" s="446" t="s">
        <v>1438</v>
      </c>
      <c r="G17" s="177">
        <v>3</v>
      </c>
      <c r="H17" s="179"/>
      <c r="I17" s="176"/>
      <c r="J17" s="168"/>
      <c r="K17" s="399"/>
      <c r="L17" s="216"/>
      <c r="M17" s="871" t="s">
        <v>1093</v>
      </c>
      <c r="N17" s="446" t="s">
        <v>1438</v>
      </c>
      <c r="O17" s="900">
        <v>3</v>
      </c>
      <c r="P17" s="179"/>
      <c r="Q17" s="194"/>
      <c r="R17" s="168"/>
      <c r="S17" s="399">
        <v>0.05</v>
      </c>
      <c r="T17" s="216">
        <f>(O17+Q17+R17)*S17</f>
        <v>0.15000000000000002</v>
      </c>
      <c r="U17" s="871" t="s">
        <v>1093</v>
      </c>
      <c r="V17" s="869" t="s">
        <v>1681</v>
      </c>
      <c r="X17" s="916"/>
    </row>
    <row r="18" spans="1:24" s="42" customFormat="1" ht="102.75" customHeight="1" x14ac:dyDescent="0.25">
      <c r="A18" s="872" t="s">
        <v>13</v>
      </c>
      <c r="B18" s="168">
        <v>139</v>
      </c>
      <c r="C18" s="168"/>
      <c r="D18" s="870"/>
      <c r="E18" s="867" t="s">
        <v>1495</v>
      </c>
      <c r="F18" s="446" t="s">
        <v>1438</v>
      </c>
      <c r="G18" s="177">
        <v>2.34</v>
      </c>
      <c r="H18" s="179"/>
      <c r="I18" s="176">
        <f>G18*H18</f>
        <v>0</v>
      </c>
      <c r="J18" s="168"/>
      <c r="K18" s="399"/>
      <c r="L18" s="216"/>
      <c r="M18" s="170"/>
      <c r="N18" s="446" t="s">
        <v>1438</v>
      </c>
      <c r="O18" s="900" t="s">
        <v>1599</v>
      </c>
      <c r="P18" s="179"/>
      <c r="Q18" s="194"/>
      <c r="R18" s="168"/>
      <c r="S18" s="399"/>
      <c r="T18" s="216"/>
      <c r="U18" s="170"/>
      <c r="V18" s="869" t="s">
        <v>1600</v>
      </c>
      <c r="X18" s="916" t="s">
        <v>1633</v>
      </c>
    </row>
    <row r="19" spans="1:24" s="42" customFormat="1" ht="57" customHeight="1" x14ac:dyDescent="0.25">
      <c r="A19" s="872" t="s">
        <v>14</v>
      </c>
      <c r="B19" s="565">
        <v>144</v>
      </c>
      <c r="C19" s="565"/>
      <c r="D19" s="986"/>
      <c r="E19" s="902" t="s">
        <v>750</v>
      </c>
      <c r="F19" s="446" t="s">
        <v>1438</v>
      </c>
      <c r="G19" s="551">
        <v>3.33</v>
      </c>
      <c r="H19" s="915"/>
      <c r="I19" s="176">
        <f>G19*H19</f>
        <v>0</v>
      </c>
      <c r="J19" s="565"/>
      <c r="K19" s="917">
        <v>0.09</v>
      </c>
      <c r="L19" s="216">
        <f t="shared" ref="L19:L22" si="8">(G19+I19+J19)*K19</f>
        <v>0.29970000000000002</v>
      </c>
      <c r="M19" s="871" t="s">
        <v>1093</v>
      </c>
      <c r="N19" s="446" t="s">
        <v>1438</v>
      </c>
      <c r="O19" s="938"/>
      <c r="P19" s="915"/>
      <c r="Q19" s="194"/>
      <c r="R19" s="565"/>
      <c r="S19" s="917"/>
      <c r="T19" s="216"/>
      <c r="U19" s="170"/>
      <c r="V19" s="869" t="s">
        <v>1678</v>
      </c>
      <c r="X19" s="916"/>
    </row>
    <row r="20" spans="1:24" s="42" customFormat="1" ht="47.25" customHeight="1" x14ac:dyDescent="0.25">
      <c r="A20" s="872" t="s">
        <v>15</v>
      </c>
      <c r="B20" s="565">
        <v>149</v>
      </c>
      <c r="C20" s="565"/>
      <c r="D20" s="565"/>
      <c r="E20" s="902" t="s">
        <v>1235</v>
      </c>
      <c r="F20" s="868" t="s">
        <v>807</v>
      </c>
      <c r="G20" s="551">
        <v>4.32</v>
      </c>
      <c r="H20" s="915"/>
      <c r="I20" s="176">
        <f t="shared" ref="I20:I23" si="9">G20*H20</f>
        <v>0</v>
      </c>
      <c r="J20" s="565"/>
      <c r="K20" s="917">
        <v>0.21</v>
      </c>
      <c r="L20" s="216">
        <f t="shared" si="8"/>
        <v>0.90720000000000001</v>
      </c>
      <c r="M20" s="871" t="s">
        <v>1093</v>
      </c>
      <c r="N20" s="868" t="s">
        <v>807</v>
      </c>
      <c r="O20" s="938">
        <v>4.32</v>
      </c>
      <c r="P20" s="915"/>
      <c r="Q20" s="194">
        <f t="shared" si="7"/>
        <v>0</v>
      </c>
      <c r="R20" s="565"/>
      <c r="S20" s="917">
        <v>0.21</v>
      </c>
      <c r="T20" s="216">
        <f t="shared" ref="T20:T22" si="10">(O20+Q20+R20)*S20</f>
        <v>0.90720000000000001</v>
      </c>
      <c r="U20" s="871" t="s">
        <v>1093</v>
      </c>
      <c r="V20" s="869" t="s">
        <v>1670</v>
      </c>
      <c r="X20" s="916"/>
    </row>
    <row r="21" spans="1:24" s="42" customFormat="1" ht="45.75" customHeight="1" x14ac:dyDescent="0.25">
      <c r="A21" s="872" t="s">
        <v>16</v>
      </c>
      <c r="B21" s="870">
        <v>155</v>
      </c>
      <c r="C21" s="168"/>
      <c r="D21" s="870"/>
      <c r="E21" s="867" t="s">
        <v>815</v>
      </c>
      <c r="F21" s="868" t="s">
        <v>807</v>
      </c>
      <c r="G21" s="177">
        <v>3.66</v>
      </c>
      <c r="H21" s="179"/>
      <c r="I21" s="176">
        <f t="shared" si="9"/>
        <v>0</v>
      </c>
      <c r="J21" s="168"/>
      <c r="K21" s="399">
        <v>0.1</v>
      </c>
      <c r="L21" s="216">
        <f t="shared" si="8"/>
        <v>0.36600000000000005</v>
      </c>
      <c r="M21" s="871" t="s">
        <v>1093</v>
      </c>
      <c r="N21" s="868" t="s">
        <v>807</v>
      </c>
      <c r="O21" s="177">
        <v>3.66</v>
      </c>
      <c r="P21" s="179"/>
      <c r="Q21" s="194">
        <f t="shared" si="7"/>
        <v>0</v>
      </c>
      <c r="R21" s="168"/>
      <c r="S21" s="399">
        <v>0.11</v>
      </c>
      <c r="T21" s="216">
        <f t="shared" si="10"/>
        <v>0.40260000000000001</v>
      </c>
      <c r="U21" s="871" t="s">
        <v>1093</v>
      </c>
      <c r="V21" s="869" t="s">
        <v>1670</v>
      </c>
    </row>
    <row r="22" spans="1:24" s="42" customFormat="1" ht="43.5" customHeight="1" x14ac:dyDescent="0.25">
      <c r="A22" s="872" t="s">
        <v>17</v>
      </c>
      <c r="B22" s="870">
        <v>203</v>
      </c>
      <c r="C22" s="168"/>
      <c r="D22" s="870"/>
      <c r="E22" s="867" t="s">
        <v>1619</v>
      </c>
      <c r="F22" s="868" t="s">
        <v>1438</v>
      </c>
      <c r="G22" s="177">
        <v>1.9890000000000001</v>
      </c>
      <c r="H22" s="179"/>
      <c r="I22" s="176">
        <f t="shared" si="9"/>
        <v>0</v>
      </c>
      <c r="J22" s="168"/>
      <c r="K22" s="399">
        <v>0</v>
      </c>
      <c r="L22" s="216">
        <f t="shared" si="8"/>
        <v>0</v>
      </c>
      <c r="M22" s="871" t="s">
        <v>1093</v>
      </c>
      <c r="N22" s="868" t="s">
        <v>1438</v>
      </c>
      <c r="O22" s="177">
        <v>2.34</v>
      </c>
      <c r="P22" s="179"/>
      <c r="Q22" s="194">
        <f t="shared" si="7"/>
        <v>0</v>
      </c>
      <c r="R22" s="168"/>
      <c r="S22" s="399">
        <v>0</v>
      </c>
      <c r="T22" s="216">
        <f t="shared" si="10"/>
        <v>0</v>
      </c>
      <c r="U22" s="871" t="s">
        <v>1093</v>
      </c>
      <c r="V22" s="869" t="s">
        <v>1665</v>
      </c>
    </row>
    <row r="23" spans="1:24" s="42" customFormat="1" ht="42.75" customHeight="1" x14ac:dyDescent="0.25">
      <c r="A23" s="872" t="s">
        <v>18</v>
      </c>
      <c r="B23" s="565">
        <v>263</v>
      </c>
      <c r="C23" s="565"/>
      <c r="D23" s="565"/>
      <c r="E23" s="902" t="s">
        <v>1482</v>
      </c>
      <c r="F23" s="446" t="s">
        <v>1438</v>
      </c>
      <c r="G23" s="551">
        <v>3.33</v>
      </c>
      <c r="H23" s="915"/>
      <c r="I23" s="176">
        <f t="shared" si="9"/>
        <v>0</v>
      </c>
      <c r="J23" s="565"/>
      <c r="K23" s="917">
        <v>0.06</v>
      </c>
      <c r="L23" s="216">
        <f>(G23+I23+J23)*K23</f>
        <v>0.19980000000000001</v>
      </c>
      <c r="M23" s="871" t="s">
        <v>1093</v>
      </c>
      <c r="N23" s="446" t="s">
        <v>1438</v>
      </c>
      <c r="O23" s="938">
        <v>3.33</v>
      </c>
      <c r="P23" s="915"/>
      <c r="Q23" s="194">
        <f t="shared" si="7"/>
        <v>0</v>
      </c>
      <c r="R23" s="565"/>
      <c r="S23" s="917">
        <v>7.0000000000000007E-2</v>
      </c>
      <c r="T23" s="216">
        <f>(O23+Q23+R23)*S23</f>
        <v>0.23310000000000003</v>
      </c>
      <c r="U23" s="871" t="s">
        <v>1093</v>
      </c>
      <c r="V23" s="869" t="s">
        <v>1670</v>
      </c>
      <c r="X23" s="916"/>
    </row>
    <row r="24" spans="1:24" s="42" customFormat="1" ht="105" customHeight="1" x14ac:dyDescent="0.25">
      <c r="A24" s="872" t="s">
        <v>19</v>
      </c>
      <c r="B24" s="870"/>
      <c r="C24" s="168"/>
      <c r="D24" s="870"/>
      <c r="E24" s="867" t="s">
        <v>772</v>
      </c>
      <c r="F24" s="868"/>
      <c r="G24" s="900"/>
      <c r="H24" s="980"/>
      <c r="I24" s="176"/>
      <c r="J24" s="870"/>
      <c r="K24" s="399"/>
      <c r="L24" s="216"/>
      <c r="M24" s="871"/>
      <c r="N24" s="868" t="s">
        <v>1593</v>
      </c>
      <c r="O24" s="177">
        <v>5.76</v>
      </c>
      <c r="P24" s="179"/>
      <c r="Q24" s="194"/>
      <c r="R24" s="168"/>
      <c r="S24" s="399">
        <v>0.37</v>
      </c>
      <c r="T24" s="216">
        <f>(O24+Q24+R24)*S24</f>
        <v>2.1311999999999998</v>
      </c>
      <c r="U24" s="871" t="s">
        <v>1093</v>
      </c>
      <c r="V24" s="869" t="s">
        <v>1662</v>
      </c>
    </row>
    <row r="25" spans="1:24" s="42" customFormat="1" ht="97.5" customHeight="1" x14ac:dyDescent="0.25">
      <c r="A25" s="1039" t="s">
        <v>20</v>
      </c>
      <c r="B25" s="471"/>
      <c r="C25" s="471"/>
      <c r="D25" s="471"/>
      <c r="E25" s="865" t="s">
        <v>1195</v>
      </c>
      <c r="F25" s="935"/>
      <c r="G25" s="486"/>
      <c r="H25" s="439"/>
      <c r="I25" s="436"/>
      <c r="J25" s="471"/>
      <c r="K25" s="556"/>
      <c r="L25" s="440"/>
      <c r="M25" s="899"/>
      <c r="N25" s="914" t="s">
        <v>39</v>
      </c>
      <c r="O25" s="936">
        <v>4.9800000000000004</v>
      </c>
      <c r="P25" s="439">
        <v>0.2</v>
      </c>
      <c r="Q25" s="442"/>
      <c r="R25" s="471"/>
      <c r="S25" s="556"/>
      <c r="T25" s="440"/>
      <c r="U25" s="899"/>
      <c r="V25" s="866" t="s">
        <v>1663</v>
      </c>
      <c r="X25" s="916"/>
    </row>
    <row r="26" spans="1:24" s="42" customFormat="1" ht="6.75" customHeight="1" x14ac:dyDescent="0.25">
      <c r="A26" s="208"/>
      <c r="B26" s="208"/>
      <c r="C26" s="208"/>
      <c r="D26" s="209"/>
      <c r="E26" s="796"/>
      <c r="F26" s="205"/>
      <c r="G26" s="797"/>
      <c r="H26" s="791"/>
      <c r="I26" s="798"/>
      <c r="J26" s="208"/>
      <c r="K26" s="792"/>
      <c r="L26" s="793"/>
      <c r="M26" s="209"/>
      <c r="N26" s="205"/>
      <c r="O26" s="797"/>
      <c r="P26" s="791"/>
      <c r="Q26" s="794"/>
      <c r="R26" s="208"/>
      <c r="S26" s="792"/>
      <c r="T26" s="793"/>
      <c r="U26" s="209"/>
      <c r="V26" s="795"/>
    </row>
    <row r="27" spans="1:24" s="42" customFormat="1" ht="18" hidden="1" customHeight="1" x14ac:dyDescent="0.25">
      <c r="A27" s="208"/>
      <c r="B27" s="208"/>
      <c r="C27" s="208"/>
      <c r="D27" s="209"/>
      <c r="E27" s="1107" t="s">
        <v>1618</v>
      </c>
      <c r="F27" s="1107"/>
      <c r="G27" s="1107"/>
      <c r="H27" s="1107"/>
      <c r="I27" s="1107"/>
      <c r="J27" s="1107"/>
      <c r="K27" s="1107"/>
      <c r="L27" s="1107"/>
      <c r="M27" s="1107"/>
      <c r="N27" s="1107"/>
      <c r="O27" s="1107"/>
      <c r="P27" s="1107"/>
      <c r="Q27" s="1107"/>
      <c r="R27" s="1107"/>
      <c r="S27" s="1107"/>
      <c r="T27" s="1107"/>
      <c r="U27" s="209"/>
      <c r="V27" s="795"/>
    </row>
    <row r="28" spans="1:24" s="212" customFormat="1" ht="15.75" customHeight="1" x14ac:dyDescent="0.25">
      <c r="A28" s="202"/>
      <c r="B28" s="203"/>
      <c r="C28" s="203"/>
      <c r="D28" s="204" t="s">
        <v>52</v>
      </c>
      <c r="E28" s="204"/>
      <c r="F28" s="205"/>
      <c r="G28" s="206"/>
      <c r="H28" s="473"/>
      <c r="I28" s="207"/>
      <c r="J28" s="208"/>
      <c r="K28" s="208"/>
      <c r="L28" s="345"/>
      <c r="M28" s="209"/>
      <c r="N28" s="210"/>
      <c r="O28" s="211"/>
      <c r="P28" s="398"/>
      <c r="Q28" s="211"/>
      <c r="R28" s="204"/>
      <c r="S28" s="204"/>
      <c r="T28" s="204"/>
      <c r="V28" s="381" t="s">
        <v>1674</v>
      </c>
    </row>
    <row r="29" spans="1:24" s="212" customFormat="1" ht="15.75" customHeight="1" x14ac:dyDescent="0.25">
      <c r="A29" s="202"/>
      <c r="B29" s="203"/>
      <c r="C29" s="203"/>
      <c r="D29" s="204"/>
      <c r="E29" s="204"/>
      <c r="F29" s="205"/>
      <c r="G29" s="206"/>
      <c r="H29" s="473"/>
      <c r="I29" s="207"/>
      <c r="J29" s="208"/>
      <c r="K29" s="208"/>
      <c r="L29" s="345"/>
      <c r="M29" s="209"/>
      <c r="N29" s="210"/>
      <c r="O29" s="211"/>
      <c r="P29" s="398"/>
      <c r="Q29" s="211"/>
      <c r="R29" s="204"/>
      <c r="S29" s="204"/>
      <c r="T29" s="204"/>
      <c r="U29" s="1044" t="s">
        <v>1660</v>
      </c>
      <c r="V29" s="1044"/>
    </row>
    <row r="30" spans="1:24" s="1" customFormat="1" ht="17.25" customHeight="1" x14ac:dyDescent="0.25">
      <c r="A30" s="1044" t="s">
        <v>1098</v>
      </c>
      <c r="B30" s="1044"/>
      <c r="C30" s="1044"/>
      <c r="D30" s="1044"/>
      <c r="E30" s="1044"/>
      <c r="F30" s="1044"/>
      <c r="G30" s="1044" t="s">
        <v>1114</v>
      </c>
      <c r="H30" s="1044"/>
      <c r="I30" s="1044"/>
      <c r="J30" s="1044"/>
      <c r="K30" s="1044"/>
      <c r="L30" s="1044"/>
      <c r="M30" s="1044"/>
      <c r="N30" s="1044"/>
      <c r="O30" s="1044"/>
      <c r="P30" s="1044"/>
      <c r="Q30" s="1044"/>
      <c r="R30" s="1044"/>
      <c r="S30" s="4"/>
      <c r="T30" s="4"/>
      <c r="U30" s="1044" t="s">
        <v>1659</v>
      </c>
      <c r="V30" s="1044"/>
    </row>
    <row r="31" spans="1:24" ht="12.75" customHeight="1" x14ac:dyDescent="0.25">
      <c r="U31" s="1103"/>
      <c r="V31" s="1103"/>
      <c r="X31" s="1"/>
    </row>
    <row r="32" spans="1:24" ht="11.25" customHeight="1" x14ac:dyDescent="0.25"/>
    <row r="33" spans="1:22" ht="11.25" customHeight="1" x14ac:dyDescent="0.25"/>
    <row r="34" spans="1:22" ht="15.75" customHeight="1" x14ac:dyDescent="0.25"/>
    <row r="35" spans="1:22" ht="9.75" customHeight="1" x14ac:dyDescent="0.25"/>
    <row r="36" spans="1:22" ht="14.25" customHeight="1" x14ac:dyDescent="0.25"/>
    <row r="37" spans="1:22" ht="15" customHeight="1" x14ac:dyDescent="0.25"/>
    <row r="38" spans="1:22" s="1" customFormat="1" x14ac:dyDescent="0.25">
      <c r="A38" s="1044" t="s">
        <v>1105</v>
      </c>
      <c r="B38" s="1044"/>
      <c r="C38" s="1044"/>
      <c r="D38" s="1044"/>
      <c r="E38" s="1044"/>
      <c r="F38" s="1044"/>
      <c r="G38" s="1044" t="s">
        <v>803</v>
      </c>
      <c r="H38" s="1044"/>
      <c r="I38" s="1044"/>
      <c r="J38" s="1044"/>
      <c r="K38" s="1044"/>
      <c r="L38" s="1044"/>
      <c r="M38" s="1044"/>
      <c r="N38" s="1044"/>
      <c r="O38" s="1044"/>
      <c r="P38" s="1044"/>
      <c r="Q38" s="1044"/>
      <c r="R38" s="1044"/>
      <c r="U38" s="1044" t="s">
        <v>775</v>
      </c>
      <c r="V38" s="1044"/>
    </row>
  </sheetData>
  <mergeCells count="21">
    <mergeCell ref="A1:I1"/>
    <mergeCell ref="A2:I2"/>
    <mergeCell ref="A38:F38"/>
    <mergeCell ref="G38:R38"/>
    <mergeCell ref="U38:V38"/>
    <mergeCell ref="U31:V31"/>
    <mergeCell ref="N1:V1"/>
    <mergeCell ref="N2:V2"/>
    <mergeCell ref="U30:V30"/>
    <mergeCell ref="D6:D7"/>
    <mergeCell ref="A30:F30"/>
    <mergeCell ref="G30:R30"/>
    <mergeCell ref="A6:A7"/>
    <mergeCell ref="B6:B7"/>
    <mergeCell ref="A4:V4"/>
    <mergeCell ref="E27:T27"/>
    <mergeCell ref="V6:V7"/>
    <mergeCell ref="E6:E7"/>
    <mergeCell ref="U29:V29"/>
    <mergeCell ref="F6:M6"/>
    <mergeCell ref="N6:U6"/>
  </mergeCells>
  <phoneticPr fontId="3" type="noConversion"/>
  <printOptions horizontalCentered="1"/>
  <pageMargins left="0.25" right="0.15748031496063" top="0.23" bottom="0.34"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108" t="s">
        <v>1525</v>
      </c>
      <c r="B2" s="1108"/>
      <c r="C2" s="1108"/>
      <c r="D2" s="1108"/>
    </row>
    <row r="4" spans="1:4" ht="24.75" customHeight="1" x14ac:dyDescent="0.25">
      <c r="A4" s="808" t="s">
        <v>5</v>
      </c>
      <c r="B4" s="801" t="s">
        <v>1513</v>
      </c>
      <c r="C4" s="801">
        <v>5.76</v>
      </c>
      <c r="D4" s="802">
        <f>C4*1490000</f>
        <v>8582400</v>
      </c>
    </row>
    <row r="5" spans="1:4" ht="24.75" customHeight="1" x14ac:dyDescent="0.25">
      <c r="A5" s="808" t="s">
        <v>6</v>
      </c>
      <c r="B5" s="801" t="s">
        <v>1515</v>
      </c>
      <c r="C5" s="801">
        <v>0.45</v>
      </c>
      <c r="D5" s="802">
        <f>C5*1490000</f>
        <v>670500</v>
      </c>
    </row>
    <row r="6" spans="1:4" ht="24.75" customHeight="1" x14ac:dyDescent="0.25">
      <c r="A6" s="808" t="s">
        <v>7</v>
      </c>
      <c r="B6" s="801" t="s">
        <v>1516</v>
      </c>
      <c r="C6" s="801">
        <v>1.738</v>
      </c>
      <c r="D6" s="802">
        <f>C6*1490000</f>
        <v>2589620</v>
      </c>
    </row>
    <row r="7" spans="1:4" ht="24.75" customHeight="1" x14ac:dyDescent="0.25">
      <c r="A7" s="808" t="s">
        <v>8</v>
      </c>
      <c r="B7" s="801" t="s">
        <v>1517</v>
      </c>
      <c r="C7" s="801">
        <f>(C4+C5)*25%</f>
        <v>1.5525</v>
      </c>
      <c r="D7" s="802">
        <f>C7*1490000</f>
        <v>2313225</v>
      </c>
    </row>
    <row r="8" spans="1:4" ht="24.75" customHeight="1" x14ac:dyDescent="0.25">
      <c r="A8" s="808" t="s">
        <v>177</v>
      </c>
      <c r="B8" s="801" t="s">
        <v>1518</v>
      </c>
      <c r="C8" s="803" t="s">
        <v>1519</v>
      </c>
      <c r="D8" s="802">
        <f>22*50000</f>
        <v>1100000</v>
      </c>
    </row>
    <row r="9" spans="1:4" ht="24.75" customHeight="1" x14ac:dyDescent="0.25">
      <c r="A9" s="808" t="s">
        <v>9</v>
      </c>
      <c r="B9" s="801" t="s">
        <v>1514</v>
      </c>
      <c r="C9" s="804" t="s">
        <v>692</v>
      </c>
      <c r="D9" s="802">
        <f>(C4+C5)*1490000*1.4</f>
        <v>12954060</v>
      </c>
    </row>
    <row r="10" spans="1:4" ht="24.75" customHeight="1" x14ac:dyDescent="0.25">
      <c r="A10" s="808" t="s">
        <v>10</v>
      </c>
      <c r="B10" s="805" t="s">
        <v>1521</v>
      </c>
      <c r="C10" s="803"/>
      <c r="D10" s="802">
        <v>4321000</v>
      </c>
    </row>
    <row r="11" spans="1:4" ht="24.75" customHeight="1" x14ac:dyDescent="0.25">
      <c r="A11" s="808" t="s">
        <v>11</v>
      </c>
      <c r="B11" s="805" t="s">
        <v>1522</v>
      </c>
      <c r="C11" s="803"/>
      <c r="D11" s="802">
        <v>5000000</v>
      </c>
    </row>
    <row r="12" spans="1:4" ht="24.75" customHeight="1" x14ac:dyDescent="0.25">
      <c r="A12" s="808" t="s">
        <v>12</v>
      </c>
      <c r="B12" s="805" t="s">
        <v>1523</v>
      </c>
      <c r="C12" s="803"/>
      <c r="D12" s="802">
        <v>2500000</v>
      </c>
    </row>
    <row r="13" spans="1:4" ht="24.75" customHeight="1" x14ac:dyDescent="0.25">
      <c r="A13" s="808" t="s">
        <v>13</v>
      </c>
      <c r="B13" s="805" t="s">
        <v>1524</v>
      </c>
      <c r="C13" s="803"/>
      <c r="D13" s="802">
        <v>400000</v>
      </c>
    </row>
    <row r="14" spans="1:4" ht="24.75" customHeight="1" x14ac:dyDescent="0.25">
      <c r="A14" s="808" t="s">
        <v>14</v>
      </c>
      <c r="B14" s="805" t="s">
        <v>1526</v>
      </c>
      <c r="C14" s="803"/>
      <c r="D14" s="802">
        <f>(C4+C5)*1490000*1.2</f>
        <v>11103480</v>
      </c>
    </row>
    <row r="15" spans="1:4" s="800" customFormat="1" ht="24.75" customHeight="1" x14ac:dyDescent="0.25">
      <c r="A15" s="806"/>
      <c r="B15" s="806" t="s">
        <v>1520</v>
      </c>
      <c r="C15" s="806"/>
      <c r="D15" s="807">
        <f>SUM(D4:D14)</f>
        <v>51534285</v>
      </c>
    </row>
    <row r="16" spans="1:4" x14ac:dyDescent="0.25">
      <c r="D16" s="799"/>
    </row>
    <row r="17" spans="4:4" x14ac:dyDescent="0.25">
      <c r="D17" s="799"/>
    </row>
    <row r="18" spans="4:4" x14ac:dyDescent="0.25">
      <c r="D18" s="799"/>
    </row>
    <row r="19" spans="4:4" x14ac:dyDescent="0.25">
      <c r="D19" s="799"/>
    </row>
    <row r="20" spans="4:4" x14ac:dyDescent="0.25">
      <c r="D20" s="799"/>
    </row>
    <row r="21" spans="4:4" x14ac:dyDescent="0.25">
      <c r="D21" s="799"/>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109"/>
      <c r="B1" s="1109"/>
      <c r="C1" s="1109"/>
      <c r="D1" s="1109"/>
      <c r="E1" s="1109"/>
      <c r="F1" s="1109"/>
      <c r="G1" s="1109"/>
      <c r="H1" s="1109"/>
      <c r="I1" s="1109"/>
      <c r="J1" s="1109"/>
      <c r="K1" s="1109"/>
      <c r="L1" s="1109"/>
    </row>
    <row r="2" spans="1:12" ht="21.75" customHeight="1" x14ac:dyDescent="0.25"/>
    <row r="3" spans="1:12" s="811" customFormat="1" ht="47.25" x14ac:dyDescent="0.25">
      <c r="A3" s="812" t="s">
        <v>1541</v>
      </c>
      <c r="B3" s="812" t="s">
        <v>1532</v>
      </c>
      <c r="C3" s="812" t="s">
        <v>1533</v>
      </c>
      <c r="D3" s="812" t="s">
        <v>1513</v>
      </c>
      <c r="E3" s="812" t="s">
        <v>1534</v>
      </c>
      <c r="F3" s="812" t="s">
        <v>30</v>
      </c>
      <c r="G3" s="812" t="s">
        <v>1536</v>
      </c>
      <c r="H3" s="812" t="s">
        <v>1537</v>
      </c>
      <c r="I3" s="812" t="s">
        <v>1538</v>
      </c>
      <c r="J3" s="812" t="s">
        <v>1539</v>
      </c>
      <c r="K3" s="812" t="s">
        <v>1540</v>
      </c>
      <c r="L3" s="812" t="s">
        <v>1546</v>
      </c>
    </row>
    <row r="4" spans="1:12" s="818" customFormat="1" ht="23.25" customHeight="1" x14ac:dyDescent="0.25">
      <c r="A4" s="817" t="s">
        <v>1542</v>
      </c>
      <c r="B4" s="817">
        <v>1</v>
      </c>
      <c r="C4" s="817">
        <v>2</v>
      </c>
      <c r="D4" s="817" t="s">
        <v>1544</v>
      </c>
      <c r="E4" s="817">
        <v>4</v>
      </c>
      <c r="F4" s="817">
        <v>5</v>
      </c>
      <c r="G4" s="817" t="s">
        <v>1543</v>
      </c>
      <c r="H4" s="817" t="s">
        <v>1545</v>
      </c>
      <c r="I4" s="817">
        <v>8</v>
      </c>
      <c r="J4" s="817">
        <v>9</v>
      </c>
      <c r="K4" s="817">
        <v>10</v>
      </c>
      <c r="L4" s="817" t="s">
        <v>698</v>
      </c>
    </row>
    <row r="5" spans="1:12" s="810" customFormat="1" ht="40.5" customHeight="1" x14ac:dyDescent="0.25">
      <c r="A5" s="813" t="s">
        <v>813</v>
      </c>
      <c r="B5" s="820">
        <v>3</v>
      </c>
      <c r="C5" s="814">
        <v>1490000</v>
      </c>
      <c r="D5" s="814">
        <f>B5*C5</f>
        <v>4470000</v>
      </c>
      <c r="E5" s="819" t="s">
        <v>1535</v>
      </c>
      <c r="F5" s="819">
        <v>0.8</v>
      </c>
      <c r="G5" s="819">
        <f>B5*F5</f>
        <v>2.4000000000000004</v>
      </c>
      <c r="H5" s="814">
        <f>G5*C5</f>
        <v>3576000.0000000005</v>
      </c>
      <c r="I5" s="819">
        <v>22</v>
      </c>
      <c r="J5" s="819">
        <v>13</v>
      </c>
      <c r="K5" s="815">
        <f>IF(J5&gt;=I5,H5,H5/I5*J5)</f>
        <v>2113090.9090909092</v>
      </c>
      <c r="L5" s="816" t="s">
        <v>1547</v>
      </c>
    </row>
    <row r="6" spans="1:12" s="809" customFormat="1" x14ac:dyDescent="0.25"/>
    <row r="7" spans="1:12" s="809" customFormat="1" x14ac:dyDescent="0.25"/>
    <row r="8" spans="1:12" s="809"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8"/>
  <sheetViews>
    <sheetView workbookViewId="0">
      <selection activeCell="E28" sqref="E28"/>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896" t="s">
        <v>1602</v>
      </c>
      <c r="B3" t="s">
        <v>1271</v>
      </c>
      <c r="C3" s="825" t="s">
        <v>5</v>
      </c>
      <c r="D3" s="897" t="s">
        <v>740</v>
      </c>
      <c r="E3" s="898" t="s">
        <v>1609</v>
      </c>
    </row>
    <row r="4" spans="1:5" x14ac:dyDescent="0.25">
      <c r="A4" s="896" t="s">
        <v>1608</v>
      </c>
      <c r="B4" t="s">
        <v>1279</v>
      </c>
      <c r="C4" s="825" t="s">
        <v>6</v>
      </c>
      <c r="D4" s="897" t="s">
        <v>1184</v>
      </c>
      <c r="E4" s="898"/>
    </row>
    <row r="5" spans="1:5" x14ac:dyDescent="0.25">
      <c r="A5" s="896" t="s">
        <v>1603</v>
      </c>
      <c r="B5" t="s">
        <v>1140</v>
      </c>
      <c r="C5" s="825" t="s">
        <v>7</v>
      </c>
      <c r="D5" s="897" t="s">
        <v>42</v>
      </c>
      <c r="E5" s="898"/>
    </row>
    <row r="6" spans="1:5" x14ac:dyDescent="0.25">
      <c r="A6" s="896" t="s">
        <v>172</v>
      </c>
      <c r="B6" t="s">
        <v>1294</v>
      </c>
      <c r="C6" s="825" t="s">
        <v>8</v>
      </c>
      <c r="D6" t="s">
        <v>656</v>
      </c>
      <c r="E6" s="898"/>
    </row>
    <row r="7" spans="1:5" x14ac:dyDescent="0.25">
      <c r="A7" s="896" t="s">
        <v>173</v>
      </c>
      <c r="B7" t="s">
        <v>62</v>
      </c>
      <c r="C7" s="825" t="s">
        <v>177</v>
      </c>
      <c r="D7" s="873" t="s">
        <v>804</v>
      </c>
    </row>
    <row r="8" spans="1:5" x14ac:dyDescent="0.25">
      <c r="A8" s="896" t="s">
        <v>1604</v>
      </c>
      <c r="B8" t="s">
        <v>809</v>
      </c>
      <c r="C8" s="825" t="s">
        <v>9</v>
      </c>
      <c r="D8" t="s">
        <v>1570</v>
      </c>
    </row>
    <row r="9" spans="1:5" x14ac:dyDescent="0.25">
      <c r="A9" s="896" t="s">
        <v>1605</v>
      </c>
      <c r="B9" t="s">
        <v>1280</v>
      </c>
      <c r="C9" s="825" t="s">
        <v>10</v>
      </c>
      <c r="D9" t="s">
        <v>1440</v>
      </c>
    </row>
    <row r="10" spans="1:5" x14ac:dyDescent="0.25">
      <c r="A10" s="896" t="s">
        <v>1606</v>
      </c>
      <c r="B10" s="873" t="s">
        <v>1292</v>
      </c>
      <c r="C10" s="825" t="s">
        <v>11</v>
      </c>
      <c r="D10" s="972" t="s">
        <v>308</v>
      </c>
    </row>
    <row r="11" spans="1:5" x14ac:dyDescent="0.25">
      <c r="A11" s="896" t="s">
        <v>1607</v>
      </c>
      <c r="B11" s="873" t="s">
        <v>771</v>
      </c>
      <c r="C11" s="825" t="s">
        <v>12</v>
      </c>
      <c r="D11" s="873" t="s">
        <v>1572</v>
      </c>
    </row>
    <row r="12" spans="1:5" x14ac:dyDescent="0.25">
      <c r="A12" s="896" t="s">
        <v>13</v>
      </c>
      <c r="B12" s="873" t="s">
        <v>1571</v>
      </c>
      <c r="C12" s="825" t="s">
        <v>13</v>
      </c>
      <c r="D12" s="898" t="s">
        <v>1191</v>
      </c>
    </row>
    <row r="13" spans="1:5" x14ac:dyDescent="0.25">
      <c r="A13" s="896" t="s">
        <v>14</v>
      </c>
      <c r="B13" t="s">
        <v>814</v>
      </c>
      <c r="C13" s="825" t="s">
        <v>14</v>
      </c>
      <c r="D13" t="s">
        <v>1573</v>
      </c>
    </row>
    <row r="14" spans="1:5" x14ac:dyDescent="0.25">
      <c r="A14" s="896" t="s">
        <v>15</v>
      </c>
      <c r="B14" t="s">
        <v>568</v>
      </c>
      <c r="C14" s="825" t="s">
        <v>15</v>
      </c>
      <c r="D14" t="s">
        <v>566</v>
      </c>
    </row>
    <row r="15" spans="1:5" x14ac:dyDescent="0.25">
      <c r="A15" s="896" t="s">
        <v>16</v>
      </c>
      <c r="B15" s="873" t="s">
        <v>63</v>
      </c>
      <c r="C15" s="825" t="s">
        <v>16</v>
      </c>
      <c r="D15" t="s">
        <v>1439</v>
      </c>
    </row>
    <row r="16" spans="1:5" x14ac:dyDescent="0.25">
      <c r="A16" s="896" t="s">
        <v>17</v>
      </c>
      <c r="B16" s="873" t="s">
        <v>1226</v>
      </c>
      <c r="C16" s="825" t="s">
        <v>17</v>
      </c>
      <c r="D16" t="s">
        <v>1457</v>
      </c>
    </row>
    <row r="17" spans="1:4" x14ac:dyDescent="0.25">
      <c r="A17" s="896" t="s">
        <v>18</v>
      </c>
      <c r="B17" t="s">
        <v>783</v>
      </c>
      <c r="C17" s="825" t="s">
        <v>18</v>
      </c>
      <c r="D17" t="s">
        <v>739</v>
      </c>
    </row>
    <row r="18" spans="1:4" x14ac:dyDescent="0.25">
      <c r="A18" s="896" t="s">
        <v>19</v>
      </c>
      <c r="B18" t="s">
        <v>1208</v>
      </c>
      <c r="C18" s="825" t="s">
        <v>19</v>
      </c>
      <c r="D18" s="873" t="s">
        <v>296</v>
      </c>
    </row>
    <row r="19" spans="1:4" x14ac:dyDescent="0.25">
      <c r="A19" s="896" t="s">
        <v>20</v>
      </c>
      <c r="B19" t="s">
        <v>1063</v>
      </c>
      <c r="C19" s="825" t="s">
        <v>20</v>
      </c>
      <c r="D19" s="873" t="s">
        <v>1224</v>
      </c>
    </row>
    <row r="20" spans="1:4" x14ac:dyDescent="0.25">
      <c r="A20" s="896" t="s">
        <v>21</v>
      </c>
      <c r="B20" t="s">
        <v>749</v>
      </c>
      <c r="C20" s="825" t="s">
        <v>21</v>
      </c>
      <c r="D20" t="s">
        <v>301</v>
      </c>
    </row>
    <row r="21" spans="1:4" x14ac:dyDescent="0.25">
      <c r="A21" s="896" t="s">
        <v>34</v>
      </c>
      <c r="B21" s="873" t="s">
        <v>1442</v>
      </c>
      <c r="C21" s="825" t="s">
        <v>34</v>
      </c>
      <c r="D21" t="s">
        <v>1574</v>
      </c>
    </row>
    <row r="22" spans="1:4" x14ac:dyDescent="0.25">
      <c r="A22" s="896" t="s">
        <v>35</v>
      </c>
      <c r="B22" s="929"/>
      <c r="C22" s="825" t="s">
        <v>35</v>
      </c>
      <c r="D22" t="s">
        <v>1579</v>
      </c>
    </row>
    <row r="23" spans="1:4" x14ac:dyDescent="0.25">
      <c r="A23" s="896" t="s">
        <v>36</v>
      </c>
      <c r="C23" s="825" t="s">
        <v>36</v>
      </c>
      <c r="D23" t="s">
        <v>297</v>
      </c>
    </row>
    <row r="24" spans="1:4" x14ac:dyDescent="0.25">
      <c r="A24" s="896" t="s">
        <v>37</v>
      </c>
      <c r="C24" s="825" t="s">
        <v>37</v>
      </c>
      <c r="D24" t="s">
        <v>1298</v>
      </c>
    </row>
    <row r="25" spans="1:4" x14ac:dyDescent="0.25">
      <c r="A25" s="896" t="s">
        <v>315</v>
      </c>
      <c r="C25" s="825" t="s">
        <v>315</v>
      </c>
      <c r="D25" s="897" t="s">
        <v>1223</v>
      </c>
    </row>
    <row r="26" spans="1:4" x14ac:dyDescent="0.25">
      <c r="A26" s="896" t="s">
        <v>175</v>
      </c>
      <c r="C26" s="825" t="s">
        <v>175</v>
      </c>
      <c r="D26" t="s">
        <v>561</v>
      </c>
    </row>
    <row r="27" spans="1:4" x14ac:dyDescent="0.25">
      <c r="A27" s="896" t="s">
        <v>316</v>
      </c>
      <c r="C27" s="825" t="s">
        <v>316</v>
      </c>
      <c r="D27" s="897" t="s">
        <v>314</v>
      </c>
    </row>
    <row r="28" spans="1:4" x14ac:dyDescent="0.25">
      <c r="A28" s="896" t="s">
        <v>317</v>
      </c>
      <c r="C28" s="825" t="s">
        <v>317</v>
      </c>
      <c r="D28" t="s">
        <v>557</v>
      </c>
    </row>
    <row r="29" spans="1:4" x14ac:dyDescent="0.25">
      <c r="A29" s="896" t="s">
        <v>318</v>
      </c>
      <c r="C29" s="825" t="s">
        <v>318</v>
      </c>
      <c r="D29" t="s">
        <v>307</v>
      </c>
    </row>
    <row r="30" spans="1:4" x14ac:dyDescent="0.25">
      <c r="A30" s="896" t="s">
        <v>319</v>
      </c>
      <c r="C30" s="825" t="s">
        <v>319</v>
      </c>
      <c r="D30" t="s">
        <v>300</v>
      </c>
    </row>
    <row r="31" spans="1:4" x14ac:dyDescent="0.25">
      <c r="A31" s="896" t="s">
        <v>320</v>
      </c>
      <c r="C31" s="825" t="s">
        <v>320</v>
      </c>
      <c r="D31" t="s">
        <v>290</v>
      </c>
    </row>
    <row r="32" spans="1:4" x14ac:dyDescent="0.25">
      <c r="A32" s="896" t="s">
        <v>321</v>
      </c>
      <c r="C32" s="825" t="s">
        <v>321</v>
      </c>
      <c r="D32" t="s">
        <v>68</v>
      </c>
    </row>
    <row r="33" spans="1:5" x14ac:dyDescent="0.25">
      <c r="A33" s="896" t="s">
        <v>322</v>
      </c>
      <c r="C33" s="825" t="s">
        <v>322</v>
      </c>
      <c r="D33" t="s">
        <v>748</v>
      </c>
    </row>
    <row r="34" spans="1:5" x14ac:dyDescent="0.25">
      <c r="A34" s="896" t="s">
        <v>323</v>
      </c>
      <c r="C34" s="825" t="s">
        <v>323</v>
      </c>
      <c r="D34" t="s">
        <v>299</v>
      </c>
    </row>
    <row r="35" spans="1:5" x14ac:dyDescent="0.25">
      <c r="A35" s="896" t="s">
        <v>324</v>
      </c>
      <c r="C35" s="825" t="s">
        <v>324</v>
      </c>
      <c r="D35" t="s">
        <v>572</v>
      </c>
    </row>
    <row r="36" spans="1:5" x14ac:dyDescent="0.25">
      <c r="A36" s="896" t="s">
        <v>429</v>
      </c>
      <c r="C36" s="825" t="s">
        <v>429</v>
      </c>
      <c r="D36" s="873" t="s">
        <v>1177</v>
      </c>
    </row>
    <row r="37" spans="1:5" x14ac:dyDescent="0.25">
      <c r="A37" s="896" t="s">
        <v>343</v>
      </c>
      <c r="C37" s="825" t="s">
        <v>343</v>
      </c>
      <c r="D37" s="873" t="s">
        <v>1216</v>
      </c>
    </row>
    <row r="38" spans="1:5" x14ac:dyDescent="0.25">
      <c r="A38" s="896" t="s">
        <v>344</v>
      </c>
      <c r="C38" s="825"/>
      <c r="D38" s="897"/>
    </row>
    <row r="39" spans="1:5" x14ac:dyDescent="0.25">
      <c r="A39" s="896" t="s">
        <v>345</v>
      </c>
      <c r="C39" s="825"/>
      <c r="D39" s="897"/>
      <c r="E39" s="897"/>
    </row>
    <row r="40" spans="1:5" x14ac:dyDescent="0.25">
      <c r="A40" s="896" t="s">
        <v>565</v>
      </c>
      <c r="C40" s="825"/>
    </row>
    <row r="41" spans="1:5" x14ac:dyDescent="0.25">
      <c r="A41" s="896" t="s">
        <v>1126</v>
      </c>
      <c r="C41" s="825"/>
    </row>
    <row r="42" spans="1:5" x14ac:dyDescent="0.25">
      <c r="A42" s="896" t="s">
        <v>346</v>
      </c>
      <c r="C42" s="825"/>
    </row>
    <row r="43" spans="1:5" x14ac:dyDescent="0.25">
      <c r="A43" s="896" t="s">
        <v>347</v>
      </c>
      <c r="C43" s="825"/>
    </row>
    <row r="44" spans="1:5" x14ac:dyDescent="0.25">
      <c r="A44" s="896" t="s">
        <v>348</v>
      </c>
      <c r="C44" s="825"/>
    </row>
    <row r="45" spans="1:5" x14ac:dyDescent="0.25">
      <c r="A45" s="896" t="s">
        <v>349</v>
      </c>
      <c r="C45" s="825"/>
    </row>
    <row r="46" spans="1:5" x14ac:dyDescent="0.25">
      <c r="A46" s="896" t="s">
        <v>350</v>
      </c>
      <c r="C46" s="825"/>
    </row>
    <row r="47" spans="1:5" x14ac:dyDescent="0.25">
      <c r="A47" s="896" t="s">
        <v>351</v>
      </c>
      <c r="C47" s="825"/>
      <c r="D47" s="929"/>
    </row>
    <row r="48" spans="1:5" x14ac:dyDescent="0.25">
      <c r="A48" s="896" t="s">
        <v>352</v>
      </c>
      <c r="C48" s="825"/>
      <c r="D48" s="929"/>
    </row>
    <row r="49" spans="1:4" x14ac:dyDescent="0.25">
      <c r="A49" s="896" t="s">
        <v>556</v>
      </c>
      <c r="C49" s="825"/>
      <c r="D49" s="929"/>
    </row>
    <row r="50" spans="1:4" x14ac:dyDescent="0.25">
      <c r="A50" s="896" t="s">
        <v>353</v>
      </c>
      <c r="C50" s="825"/>
      <c r="D50" s="929"/>
    </row>
    <row r="51" spans="1:4" x14ac:dyDescent="0.25">
      <c r="A51" s="896" t="s">
        <v>354</v>
      </c>
      <c r="C51" s="825"/>
      <c r="D51" s="934"/>
    </row>
    <row r="52" spans="1:4" x14ac:dyDescent="0.25">
      <c r="A52" s="896" t="s">
        <v>355</v>
      </c>
      <c r="C52" s="825"/>
      <c r="D52" s="929"/>
    </row>
    <row r="53" spans="1:4" x14ac:dyDescent="0.25">
      <c r="A53" s="896" t="s">
        <v>356</v>
      </c>
      <c r="C53" s="825"/>
      <c r="D53" s="929"/>
    </row>
    <row r="54" spans="1:4" x14ac:dyDescent="0.25">
      <c r="A54" s="896" t="s">
        <v>357</v>
      </c>
      <c r="C54" s="825"/>
      <c r="D54" s="929"/>
    </row>
    <row r="55" spans="1:4" x14ac:dyDescent="0.25">
      <c r="A55" s="896" t="s">
        <v>358</v>
      </c>
      <c r="C55" s="825"/>
      <c r="D55" s="929"/>
    </row>
    <row r="56" spans="1:4" x14ac:dyDescent="0.25">
      <c r="A56" s="896" t="s">
        <v>359</v>
      </c>
      <c r="C56" s="825"/>
      <c r="D56" s="929"/>
    </row>
    <row r="57" spans="1:4" x14ac:dyDescent="0.25">
      <c r="A57" s="896" t="s">
        <v>360</v>
      </c>
      <c r="C57" s="825"/>
      <c r="D57" s="929"/>
    </row>
    <row r="58" spans="1:4" x14ac:dyDescent="0.25">
      <c r="D58" s="929"/>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T08.2024</vt:lpstr>
      <vt:lpstr>Sheet1</vt:lpstr>
      <vt:lpstr>Anh Tuyet</vt:lpstr>
      <vt:lpstr>Sheet2</vt:lpstr>
      <vt:lpstr>BC!Print_Titles</vt:lpstr>
      <vt:lpstr>'BĐC-BC T08.2024'!Print_Titles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2024-11-01T02:19:01Z</cp:lastPrinted>
  <dcterms:created xsi:type="dcterms:W3CDTF">2007-10-11T08:38:52Z</dcterms:created>
  <dcterms:modified xsi:type="dcterms:W3CDTF">2024-11-22T09:34:47Z</dcterms:modified>
</cp:coreProperties>
</file>