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6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12-24" sheetId="12" r:id="rId7"/>
    <sheet name="BHXH" sheetId="34" state="hidden" r:id="rId8"/>
    <sheet name="Thu viec CN" sheetId="3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5" hidden="1">'CN '!$A$12:$AC$80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T12-24'!$7:$8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L51" i="18" l="1"/>
  <c r="S51" i="18" s="1"/>
  <c r="Q51" i="18" l="1"/>
  <c r="R51" i="18"/>
  <c r="N51" i="18"/>
  <c r="P51" i="18" s="1"/>
  <c r="U51" i="18" l="1"/>
  <c r="AA51" i="18" s="1"/>
  <c r="L50" i="18" l="1"/>
  <c r="R50" i="18" s="1"/>
  <c r="N50" i="18" l="1"/>
  <c r="P50" i="18" s="1"/>
  <c r="S50" i="18"/>
  <c r="Q50" i="18"/>
  <c r="L48" i="18"/>
  <c r="S48" i="18" s="1"/>
  <c r="U50" i="18" l="1"/>
  <c r="AA50" i="18" s="1"/>
  <c r="Q48" i="18"/>
  <c r="R48" i="18"/>
  <c r="N48" i="18"/>
  <c r="P48" i="18" s="1"/>
  <c r="U48" i="18" l="1"/>
  <c r="AA48" i="18" s="1"/>
  <c r="F56" i="18" l="1"/>
  <c r="F57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49" i="18"/>
  <c r="F79" i="18"/>
  <c r="F55" i="18"/>
  <c r="A15" i="18"/>
  <c r="J80" i="18"/>
  <c r="M80" i="18"/>
  <c r="O80" i="18"/>
  <c r="T80" i="18"/>
  <c r="V80" i="18"/>
  <c r="W80" i="18"/>
  <c r="X80" i="18"/>
  <c r="Y80" i="18"/>
  <c r="Z80" i="18"/>
  <c r="I80" i="18"/>
  <c r="J53" i="18"/>
  <c r="M53" i="18"/>
  <c r="O53" i="18"/>
  <c r="T53" i="18"/>
  <c r="V53" i="18"/>
  <c r="W53" i="18"/>
  <c r="X53" i="18"/>
  <c r="Y53" i="18"/>
  <c r="Z53" i="18"/>
  <c r="I53" i="18"/>
  <c r="L79" i="18"/>
  <c r="E79" i="18"/>
  <c r="L49" i="18"/>
  <c r="Q49" i="18" s="1"/>
  <c r="E49" i="18"/>
  <c r="L78" i="18"/>
  <c r="R78" i="18" s="1"/>
  <c r="L77" i="18"/>
  <c r="R77" i="18" s="1"/>
  <c r="L76" i="18"/>
  <c r="R76" i="18" s="1"/>
  <c r="E76" i="18"/>
  <c r="L75" i="18"/>
  <c r="R75" i="18" s="1"/>
  <c r="E75" i="18"/>
  <c r="L74" i="18"/>
  <c r="E74" i="18"/>
  <c r="L73" i="18"/>
  <c r="Q73" i="18" s="1"/>
  <c r="E73" i="18"/>
  <c r="L72" i="18"/>
  <c r="R72" i="18" s="1"/>
  <c r="E72" i="18"/>
  <c r="L71" i="18"/>
  <c r="R71" i="18" s="1"/>
  <c r="E71" i="18"/>
  <c r="L70" i="18"/>
  <c r="E70" i="18"/>
  <c r="D70" i="18"/>
  <c r="L69" i="18"/>
  <c r="E69" i="18"/>
  <c r="D69" i="18"/>
  <c r="L68" i="18"/>
  <c r="R68" i="18" s="1"/>
  <c r="E68" i="18"/>
  <c r="L67" i="18"/>
  <c r="L66" i="18"/>
  <c r="R66" i="18" s="1"/>
  <c r="L65" i="18"/>
  <c r="Q65" i="18" s="1"/>
  <c r="E65" i="18"/>
  <c r="L64" i="18"/>
  <c r="R64" i="18" s="1"/>
  <c r="E64" i="18"/>
  <c r="L63" i="18"/>
  <c r="E63" i="18"/>
  <c r="L62" i="18"/>
  <c r="Q62" i="18" s="1"/>
  <c r="E62" i="18"/>
  <c r="D62" i="18"/>
  <c r="U61" i="18"/>
  <c r="L61" i="18"/>
  <c r="E61" i="18"/>
  <c r="L60" i="18"/>
  <c r="Q60" i="18" s="1"/>
  <c r="E60" i="18"/>
  <c r="D60" i="18"/>
  <c r="K59" i="18"/>
  <c r="L59" i="18" s="1"/>
  <c r="E59" i="18"/>
  <c r="L58" i="18"/>
  <c r="R58" i="18" s="1"/>
  <c r="D58" i="18"/>
  <c r="L57" i="18"/>
  <c r="R57" i="18" s="1"/>
  <c r="E57" i="18"/>
  <c r="L56" i="18"/>
  <c r="R56" i="18" s="1"/>
  <c r="E56" i="18"/>
  <c r="L55" i="18"/>
  <c r="Q55" i="18" s="1"/>
  <c r="D55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8" i="18"/>
  <c r="Z81" i="18"/>
  <c r="V81" i="18"/>
  <c r="J81" i="18"/>
  <c r="T81" i="18"/>
  <c r="N66" i="18"/>
  <c r="P66" i="18" s="1"/>
  <c r="N68" i="18"/>
  <c r="P68" i="18" s="1"/>
  <c r="S68" i="18"/>
  <c r="X81" i="18"/>
  <c r="O81" i="18"/>
  <c r="S57" i="18"/>
  <c r="Y81" i="18"/>
  <c r="I81" i="18"/>
  <c r="W81" i="18"/>
  <c r="M81" i="18"/>
  <c r="N78" i="18"/>
  <c r="P78" i="18" s="1"/>
  <c r="K80" i="18"/>
  <c r="L80" i="18"/>
  <c r="Q72" i="18"/>
  <c r="S76" i="18"/>
  <c r="S58" i="18"/>
  <c r="S72" i="18"/>
  <c r="N75" i="18"/>
  <c r="P75" i="18" s="1"/>
  <c r="N76" i="18"/>
  <c r="N57" i="18"/>
  <c r="P57" i="18" s="1"/>
  <c r="N58" i="18"/>
  <c r="P58" i="18" s="1"/>
  <c r="N64" i="18"/>
  <c r="P64" i="18" s="1"/>
  <c r="Q66" i="18"/>
  <c r="N71" i="18"/>
  <c r="P71" i="18" s="1"/>
  <c r="N72" i="18"/>
  <c r="P72" i="18" s="1"/>
  <c r="S75" i="18"/>
  <c r="P76" i="18"/>
  <c r="Q78" i="18"/>
  <c r="S64" i="18"/>
  <c r="S66" i="18"/>
  <c r="S71" i="18"/>
  <c r="Q76" i="18"/>
  <c r="S78" i="18"/>
  <c r="N61" i="18"/>
  <c r="P61" i="18" s="1"/>
  <c r="AA61" i="18" s="1"/>
  <c r="Q77" i="18"/>
  <c r="S77" i="18"/>
  <c r="N77" i="18"/>
  <c r="P77" i="18" s="1"/>
  <c r="Q69" i="18"/>
  <c r="S69" i="18"/>
  <c r="N69" i="18"/>
  <c r="P69" i="18" s="1"/>
  <c r="Q63" i="18"/>
  <c r="S63" i="18"/>
  <c r="N63" i="18"/>
  <c r="P63" i="18" s="1"/>
  <c r="R69" i="18"/>
  <c r="Q70" i="18"/>
  <c r="S70" i="18"/>
  <c r="N70" i="18"/>
  <c r="P70" i="18" s="1"/>
  <c r="Q74" i="18"/>
  <c r="S74" i="18"/>
  <c r="N74" i="18"/>
  <c r="P74" i="18" s="1"/>
  <c r="R63" i="18"/>
  <c r="Q67" i="18"/>
  <c r="S67" i="18"/>
  <c r="N67" i="18"/>
  <c r="P67" i="18" s="1"/>
  <c r="R70" i="18"/>
  <c r="R74" i="18"/>
  <c r="Q79" i="18"/>
  <c r="S79" i="18"/>
  <c r="N79" i="18"/>
  <c r="P79" i="18" s="1"/>
  <c r="S55" i="18"/>
  <c r="N55" i="18"/>
  <c r="P55" i="18" s="1"/>
  <c r="R55" i="18"/>
  <c r="Q56" i="18"/>
  <c r="S56" i="18"/>
  <c r="N56" i="18"/>
  <c r="P56" i="18" s="1"/>
  <c r="S59" i="18"/>
  <c r="N59" i="18"/>
  <c r="P59" i="18" s="1"/>
  <c r="Q59" i="18"/>
  <c r="R59" i="18"/>
  <c r="R67" i="18"/>
  <c r="R79" i="18"/>
  <c r="R73" i="18"/>
  <c r="R49" i="18"/>
  <c r="Q57" i="18"/>
  <c r="N60" i="18"/>
  <c r="P60" i="18" s="1"/>
  <c r="S60" i="18"/>
  <c r="N62" i="18"/>
  <c r="P62" i="18" s="1"/>
  <c r="S62" i="18"/>
  <c r="Q64" i="18"/>
  <c r="N65" i="18"/>
  <c r="P65" i="18" s="1"/>
  <c r="S65" i="18"/>
  <c r="Q68" i="18"/>
  <c r="Q71" i="18"/>
  <c r="N73" i="18"/>
  <c r="P73" i="18" s="1"/>
  <c r="S73" i="18"/>
  <c r="Q75" i="18"/>
  <c r="N49" i="18"/>
  <c r="P49" i="18" s="1"/>
  <c r="S49" i="18"/>
  <c r="R60" i="18"/>
  <c r="R62" i="18"/>
  <c r="R65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80" i="18" l="1"/>
  <c r="S80" i="18"/>
  <c r="A17" i="18"/>
  <c r="U72" i="18"/>
  <c r="AA72" i="18" s="1"/>
  <c r="U58" i="18"/>
  <c r="AA58" i="18" s="1"/>
  <c r="U60" i="18"/>
  <c r="AA60" i="18" s="1"/>
  <c r="U68" i="18"/>
  <c r="AA68" i="18" s="1"/>
  <c r="U75" i="18"/>
  <c r="AA75" i="18" s="1"/>
  <c r="U57" i="18"/>
  <c r="AA57" i="18" s="1"/>
  <c r="Q80" i="18"/>
  <c r="U78" i="18"/>
  <c r="AA78" i="18" s="1"/>
  <c r="P80" i="18"/>
  <c r="U49" i="18"/>
  <c r="U66" i="18"/>
  <c r="AA66" i="18" s="1"/>
  <c r="U76" i="18"/>
  <c r="AA76" i="18" s="1"/>
  <c r="N80" i="18"/>
  <c r="U73" i="18"/>
  <c r="AA73" i="18" s="1"/>
  <c r="U56" i="18"/>
  <c r="AA56" i="18" s="1"/>
  <c r="U65" i="18"/>
  <c r="AA65" i="18" s="1"/>
  <c r="U55" i="18"/>
  <c r="U77" i="18"/>
  <c r="AA77" i="18" s="1"/>
  <c r="U62" i="18"/>
  <c r="AA62" i="18" s="1"/>
  <c r="U71" i="18"/>
  <c r="AA71" i="18" s="1"/>
  <c r="U64" i="18"/>
  <c r="AA64" i="18" s="1"/>
  <c r="U67" i="18"/>
  <c r="AA67" i="18" s="1"/>
  <c r="U69" i="18"/>
  <c r="AA69" i="18" s="1"/>
  <c r="U63" i="18"/>
  <c r="AA63" i="18" s="1"/>
  <c r="U79" i="18"/>
  <c r="AA79" i="18" s="1"/>
  <c r="U74" i="18"/>
  <c r="AA74" i="18" s="1"/>
  <c r="U59" i="18"/>
  <c r="AA59" i="18" s="1"/>
  <c r="U70" i="18"/>
  <c r="AA70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80" i="18"/>
  <c r="AA55" i="18"/>
  <c r="AA49" i="18"/>
  <c r="P51" i="40"/>
  <c r="AA14" i="40"/>
  <c r="AA51" i="40" s="1"/>
  <c r="A31" i="37"/>
  <c r="A20" i="37"/>
  <c r="A19" i="18" l="1"/>
  <c r="AA80" i="18"/>
  <c r="A32" i="37"/>
  <c r="A33" i="37" s="1"/>
  <c r="AB20" i="37"/>
  <c r="A20" i="18" l="1"/>
  <c r="A34" i="37"/>
  <c r="A35" i="37" s="1"/>
  <c r="A36" i="37" s="1"/>
  <c r="A37" i="37" s="1"/>
  <c r="A38" i="37" s="1"/>
  <c r="A39" i="37" s="1"/>
  <c r="AB21" i="37"/>
  <c r="A21" i="18" l="1"/>
  <c r="A22" i="18" s="1"/>
  <c r="A23" i="18" s="1"/>
  <c r="A24" i="18"/>
  <c r="A25" i="18" s="1"/>
  <c r="A26" i="18" s="1"/>
  <c r="AB22" i="37"/>
  <c r="A27" i="18" l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B27" i="37"/>
  <c r="F29" i="18" l="1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2" i="18"/>
  <c r="L37" i="18" l="1"/>
  <c r="N37" i="18" s="1"/>
  <c r="S37" i="18" l="1"/>
  <c r="R37" i="18"/>
  <c r="P37" i="18"/>
  <c r="Q37" i="18"/>
  <c r="U37" i="18" l="1"/>
  <c r="AA37" i="18" s="1"/>
  <c r="D21" i="18" l="1"/>
  <c r="L21" i="18"/>
  <c r="Q21" i="18" l="1"/>
  <c r="N21" i="18"/>
  <c r="P21" i="18" s="1"/>
  <c r="S21" i="18"/>
  <c r="R21" i="18"/>
  <c r="U21" i="18" l="1"/>
  <c r="AA21" i="18" s="1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L44" i="18"/>
  <c r="Q44" i="18" s="1"/>
  <c r="L30" i="18"/>
  <c r="L40" i="18"/>
  <c r="N40" i="18" s="1"/>
  <c r="L26" i="18"/>
  <c r="N26" i="18" s="1"/>
  <c r="L52" i="18"/>
  <c r="N52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U52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32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R38" i="18" l="1"/>
  <c r="Q38" i="18"/>
  <c r="S38" i="18"/>
  <c r="S16" i="18"/>
  <c r="R16" i="18"/>
  <c r="Q16" i="18"/>
  <c r="L46" i="18"/>
  <c r="Q46" i="18" s="1"/>
  <c r="K53" i="18"/>
  <c r="K81" i="18" s="1"/>
  <c r="R40" i="18"/>
  <c r="S22" i="18"/>
  <c r="S41" i="18"/>
  <c r="R41" i="18"/>
  <c r="Q41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S32" i="18"/>
  <c r="Q32" i="18"/>
  <c r="P37" i="37"/>
  <c r="S37" i="37"/>
  <c r="S25" i="18"/>
  <c r="S17" i="18"/>
  <c r="S26" i="18"/>
  <c r="S28" i="18"/>
  <c r="P47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2" i="18"/>
  <c r="AA52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53" i="18" l="1"/>
  <c r="Q81" i="18" s="1"/>
  <c r="U22" i="18"/>
  <c r="AA22" i="18" s="1"/>
  <c r="S46" i="18"/>
  <c r="S53" i="18" s="1"/>
  <c r="R46" i="18"/>
  <c r="R53" i="18" s="1"/>
  <c r="R81" i="18" s="1"/>
  <c r="N46" i="18"/>
  <c r="P46" i="18" s="1"/>
  <c r="L53" i="18"/>
  <c r="L81" i="18" s="1"/>
  <c r="P15" i="18"/>
  <c r="P53" i="18" s="1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AA47" i="18" s="1"/>
  <c r="U34" i="18"/>
  <c r="AA34" i="18" s="1"/>
  <c r="U29" i="18"/>
  <c r="AA29" i="18" s="1"/>
  <c r="U38" i="18"/>
  <c r="AA38" i="18" s="1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AA43" i="18" s="1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S81" i="18" l="1"/>
  <c r="P81" i="18"/>
  <c r="U46" i="18"/>
  <c r="N53" i="18"/>
  <c r="N81" i="18" s="1"/>
  <c r="AA15" i="18"/>
  <c r="AA41" i="18"/>
  <c r="U40" i="37"/>
  <c r="AA25" i="37"/>
  <c r="AA40" i="37" s="1"/>
  <c r="AB62" i="38"/>
  <c r="AA46" i="18" l="1"/>
  <c r="AA53" i="18" s="1"/>
  <c r="U53" i="18"/>
  <c r="U81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81" i="18" l="1"/>
  <c r="AA82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2" i="18" l="1"/>
  <c r="AB48" i="18" l="1"/>
  <c r="AB49" i="18"/>
  <c r="AB51" i="18"/>
  <c r="A55" i="18"/>
  <c r="AB55" i="18" s="1"/>
  <c r="AB50" i="18"/>
  <c r="A56" i="18" l="1"/>
  <c r="AB56" i="18" l="1"/>
  <c r="A57" i="18"/>
  <c r="AB57" i="18" s="1"/>
  <c r="A58" i="18" l="1"/>
  <c r="AB58" i="18" l="1"/>
  <c r="A59" i="18"/>
  <c r="A60" i="18" l="1"/>
  <c r="AB59" i="18"/>
  <c r="AB60" i="18" l="1"/>
  <c r="A61" i="18"/>
  <c r="A62" i="18" s="1"/>
  <c r="AB62" i="18" s="1"/>
  <c r="AB61" i="18" l="1"/>
  <c r="A63" i="18"/>
  <c r="AB63" i="18" l="1"/>
  <c r="A64" i="18"/>
  <c r="AB64" i="18" l="1"/>
  <c r="A65" i="18"/>
  <c r="AB65" i="18" l="1"/>
  <c r="A66" i="18"/>
  <c r="AB66" i="18" l="1"/>
  <c r="A67" i="18"/>
  <c r="AB67" i="18" l="1"/>
  <c r="A68" i="18"/>
  <c r="AB68" i="18" l="1"/>
  <c r="A69" i="18"/>
  <c r="AB69" i="18" l="1"/>
  <c r="A70" i="18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l="1"/>
  <c r="A78" i="18"/>
  <c r="AB78" i="18" l="1"/>
  <c r="A79" i="18"/>
  <c r="AB79" i="18" s="1"/>
  <c r="A50" i="40" l="1"/>
  <c r="A37" i="40"/>
  <c r="AB14" i="40"/>
  <c r="A25" i="40"/>
  <c r="AB25" i="40"/>
  <c r="A27" i="40"/>
  <c r="AB27" i="40"/>
  <c r="A40" i="40"/>
  <c r="AB40" i="40"/>
  <c r="A43" i="40"/>
  <c r="AB43" i="40"/>
  <c r="A47" i="40"/>
  <c r="AB47" i="40"/>
  <c r="A20" i="40"/>
  <c r="AB20" i="40"/>
  <c r="A38" i="40"/>
  <c r="AB38" i="40"/>
  <c r="A44" i="40"/>
  <c r="AB44" i="40"/>
  <c r="A49" i="40"/>
  <c r="AB49" i="40"/>
  <c r="A15" i="40"/>
  <c r="AB15" i="40"/>
  <c r="A36" i="40"/>
  <c r="AB36" i="40"/>
  <c r="A39" i="40"/>
  <c r="AB39" i="40"/>
  <c r="A32" i="40"/>
  <c r="AB32" i="40"/>
  <c r="A31" i="40"/>
  <c r="AB31" i="40"/>
  <c r="A42" i="40"/>
  <c r="AB42" i="40"/>
  <c r="A33" i="40"/>
  <c r="AB33" i="40"/>
  <c r="A23" i="40"/>
  <c r="AB23" i="40"/>
  <c r="A26" i="40"/>
  <c r="AB26" i="40"/>
  <c r="A17" i="40"/>
  <c r="AB17" i="40"/>
  <c r="A28" i="40"/>
  <c r="AB28" i="40"/>
  <c r="A34" i="40"/>
  <c r="AB34" i="40"/>
  <c r="A19" i="40"/>
  <c r="AB19" i="40"/>
  <c r="A22" i="40"/>
  <c r="AB22" i="40"/>
  <c r="A21" i="40"/>
  <c r="AB21" i="40"/>
  <c r="A18" i="40"/>
  <c r="AB18" i="40"/>
  <c r="A35" i="40"/>
  <c r="AB35" i="40"/>
  <c r="A30" i="40"/>
  <c r="AB30" i="40"/>
  <c r="A46" i="40"/>
  <c r="AB46" i="40"/>
  <c r="A16" i="40"/>
  <c r="AB16" i="40"/>
  <c r="A41" i="40"/>
  <c r="AB41" i="40"/>
  <c r="A48" i="40"/>
  <c r="AB48" i="40"/>
  <c r="A24" i="40"/>
  <c r="AB24" i="40"/>
  <c r="A14" i="40"/>
  <c r="A45" i="40"/>
  <c r="AB45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<sst xmlns="http://schemas.openxmlformats.org/spreadsheetml/2006/main" count="1644" uniqueCount="468">
  <si>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</si>
  <si>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</si>
  <si>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</si>
  <si>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</si>
  <si>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</si>
  <si>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</si>
  <si>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</si>
  <si>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</si>
  <si>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</si>
  <si>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</si>
  <si>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</si>
  <si>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</si>
  <si>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</si>
  <si>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</si>
  <si>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</si>
  <si>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</si>
  <si>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</si>
  <si>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</si>
  <si>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</si>
  <si>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</si>
  <si>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</si>
  <si>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</si>
  <si>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</si>
  <si>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</si>
  <si>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</si>
  <si>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</si>
  <si>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</si>
  <si>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</si>
  <si>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</si>
  <si>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</si>
  <si>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</si>
  <si>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</si>
  <si>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</si>
  <si>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</si>
  <si>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</si>
  <si>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</si>
  <si>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</si>
  <si>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</si>
  <si>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</si>
  <si>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(1)</t>
  </si>
  <si>
    <t>(6)</t>
  </si>
  <si>
    <t>Ghi chú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</si>
  <si>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</si>
  <si>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</si>
  <si>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</si>
  <si>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</si>
  <si>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</si>
  <si>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</si>
  <si>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</si>
  <si>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</si>
  <si>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</si>
  <si>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</si>
  <si>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</si>
  <si>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</si>
  <si>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</si>
  <si>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</si>
  <si>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</si>
  <si>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</si>
  <si>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</si>
  <si>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</si>
  <si>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</si>
  <si>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</si>
  <si>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</si>
  <si>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</si>
  <si>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</si>
  <si>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</si>
  <si>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</si>
  <si>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</si>
  <si>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</si>
  <si>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</si>
  <si>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</si>
  <si>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</si>
  <si>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</si>
  <si>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</si>
  <si>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</si>
  <si>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</si>
  <si>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</si>
  <si>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</si>
  <si>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</si>
  <si>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</si>
  <si>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</si>
  <si>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</si>
  <si>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</si>
  <si>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</si>
  <si>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</si>
  <si>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</si>
  <si>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</si>
  <si>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</si>
  <si>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</si>
  <si>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</si>
  <si>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</si>
  <si>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</si>
  <si>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</si>
  <si>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</si>
  <si>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</si>
  <si>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</si>
  <si>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</si>
  <si>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</si>
  <si>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</si>
  <si>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</si>
  <si>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</si>
  <si>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</si>
  <si>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</si>
  <si>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</si>
  <si>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</si>
  <si>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</si>
  <si>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</si>
  <si>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</si>
  <si>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</si>
  <si>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</si>
  <si>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</si>
  <si>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</si>
  <si>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</si>
  <si>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</si>
  <si>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</si>
  <si>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</si>
  <si>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</si>
  <si>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</si>
  <si>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</si>
  <si>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</si>
  <si>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</si>
  <si>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</si>
  <si>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</si>
  <si>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</si>
  <si>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</si>
  <si>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</si>
  <si>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</si>
  <si>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</si>
  <si>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</si>
  <si>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</si>
  <si>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</si>
  <si>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</si>
  <si>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</si>
  <si>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</si>
  <si>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</si>
  <si>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</si>
  <si>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</si>
  <si>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</si>
  <si>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</si>
  <si>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</si>
  <si>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</si>
  <si>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</si>
  <si>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</si>
  <si>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</si>
  <si>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</si>
  <si>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</si>
  <si>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</si>
  <si>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</si>
  <si>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</si>
  <si>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</si>
  <si>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</si>
  <si>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</si>
  <si>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</si>
  <si>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</si>
  <si>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</si>
  <si>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</si>
  <si>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</si>
  <si>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</si>
  <si>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</si>
  <si>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</si>
  <si>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</si>
  <si>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</si>
  <si>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</si>
  <si>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</si>
  <si>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</si>
  <si>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</si>
  <si>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</si>
  <si>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</si>
  <si>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</si>
  <si>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</si>
  <si>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</si>
  <si>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</si>
  <si>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</si>
  <si>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</si>
  <si>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</si>
  <si>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</si>
  <si>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</si>
  <si>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</si>
  <si>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</si>
  <si>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</si>
  <si>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</si>
  <si>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</si>
  <si>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</si>
  <si>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</si>
  <si>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</si>
  <si>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</si>
  <si>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</si>
  <si>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</si>
  <si>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</si>
  <si>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</si>
  <si>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</si>
  <si>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</si>
  <si>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</si>
  <si>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</si>
  <si>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</si>
  <si>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</si>
  <si>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</si>
  <si>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</si>
  <si>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</si>
  <si>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</si>
  <si>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</si>
  <si>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</si>
  <si>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</si>
  <si>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</si>
  <si>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</si>
  <si>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</si>
  <si>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</si>
  <si>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</si>
  <si>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</si>
  <si>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</si>
  <si>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</si>
  <si>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</si>
  <si>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</si>
  <si>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</si>
  <si>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</si>
  <si>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</si>
  <si>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</si>
  <si>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</si>
  <si>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</si>
  <si>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</si>
  <si>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</si>
  <si>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</si>
  <si>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</si>
  <si>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</si>
  <si>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</si>
  <si>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</si>
  <si>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</si>
  <si>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</si>
  <si>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</si>
  <si>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</si>
  <si>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</si>
  <si>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</si>
  <si>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</si>
  <si>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</si>
  <si>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</si>
  <si>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</si>
  <si>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</si>
  <si>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</si>
  <si>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</si>
  <si>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</si>
  <si>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</si>
  <si>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</si>
  <si>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</si>
  <si>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</si>
  <si>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</si>
  <si>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</si>
  <si>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</si>
  <si>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</si>
  <si>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</si>
  <si>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</si>
  <si>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</si>
  <si>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</si>
  <si>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</si>
  <si>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</si>
  <si>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</si>
  <si>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</si>
  <si>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</si>
  <si>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</si>
  <si>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</si>
  <si>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</si>
  <si>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</si>
  <si>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</si>
  <si>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</si>
  <si>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</si>
  <si>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</si>
  <si>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</si>
  <si>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</si>
  <si>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</si>
  <si>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</si>
  <si>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</si>
  <si>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</si>
  <si>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</si>
  <si>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</si>
  <si>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</si>
  <si>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</si>
  <si>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</si>
  <si>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</si>
  <si>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</si>
  <si>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</si>
  <si>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</si>
  <si>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</si>
  <si>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</si>
  <si>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</si>
  <si>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</si>
  <si>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</si>
  <si>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</si>
  <si>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</si>
  <si>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</si>
  <si>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</si>
  <si>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</si>
  <si>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</si>
  <si>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</si>
  <si>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</si>
  <si>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</si>
  <si>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</si>
  <si>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</si>
  <si>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</si>
  <si>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</si>
  <si>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</si>
  <si>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</si>
  <si>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</si>
  <si>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</si>
  <si>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</si>
  <si>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</si>
  <si>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</si>
  <si>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</si>
  <si>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</si>
  <si>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</si>
  <si>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</si>
  <si>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</si>
  <si>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</si>
  <si>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</si>
  <si>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</si>
  <si>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</si>
  <si>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</si>
  <si>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</si>
  <si>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</si>
  <si>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</si>
  <si>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</si>
  <si>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</si>
  <si>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</si>
  <si>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</si>
  <si>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</si>
  <si>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</si>
  <si>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</si>
  <si>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</si>
  <si>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</si>
  <si>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</si>
  <si>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</si>
  <si>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</si>
  <si>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</si>
  <si>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</si>
  <si>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</si>
  <si>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</si>
  <si>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</si>
  <si>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</si>
  <si>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</si>
  <si>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</si>
  <si>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</si>
  <si>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</si>
  <si>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</si>
  <si>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</si>
  <si>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</si>
  <si>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</si>
  <si>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</si>
  <si>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</si>
  <si>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</si>
  <si>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</si>
  <si>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</si>
  <si>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</si>
  <si>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</si>
  <si>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</si>
  <si>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</si>
  <si>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</si>
  <si>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</si>
  <si>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</si>
  <si>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</si>
  <si>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</si>
  <si>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</si>
  <si>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</si>
  <si>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</si>
  <si>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</si>
  <si>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</si>
  <si>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</si>
  <si>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</si>
  <si>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</si>
  <si>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</si>
  <si>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</si>
  <si>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</si>
  <si>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</si>
  <si>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</si>
  <si>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</si>
  <si>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</si>
  <si>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</si>
  <si>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</si>
  <si>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</si>
  <si>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>Nguyễn Văn Hiển</t>
  </si>
  <si>
    <t>HĐ Từ 01/02/2023</t>
  </si>
  <si>
    <t>HĐLĐ từ 01/02/2023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</si>
  <si>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</si>
  <si>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</si>
  <si>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</si>
  <si>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</si>
  <si>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</si>
  <si>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</si>
  <si>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</si>
  <si>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</si>
  <si>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</si>
  <si>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</si>
  <si>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</si>
  <si>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</si>
  <si>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</si>
  <si>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</si>
  <si>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</si>
  <si>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</si>
  <si>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</si>
  <si>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</si>
  <si>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</si>
  <si>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</si>
  <si>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</si>
  <si>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</si>
  <si>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</si>
  <si>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</si>
  <si>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</si>
  <si>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</si>
  <si>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</si>
  <si>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</si>
  <si>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</si>
  <si>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</si>
  <si>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</si>
  <si>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</si>
  <si>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</si>
  <si>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</si>
  <si>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</si>
  <si>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</si>
  <si>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</si>
  <si>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</si>
  <si>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</si>
  <si>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</si>
  <si>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</si>
  <si>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</si>
  <si>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</si>
  <si>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</si>
  <si>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</si>
  <si>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</si>
  <si>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</si>
  <si>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</si>
  <si>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</si>
  <si>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</si>
  <si>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</si>
  <si>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</si>
  <si>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</si>
  <si>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</si>
  <si>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</si>
  <si>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</si>
  <si>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</si>
  <si>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</si>
  <si>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</si>
  <si>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</si>
  <si>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</si>
  <si>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</si>
  <si>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</si>
  <si>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</si>
  <si>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NL từ T5/24</t>
  </si>
  <si>
    <t>Lâm Võ Hữu Duy</t>
  </si>
  <si>
    <t>Phòng Quản trị - Dịch vụ</t>
  </si>
  <si>
    <t>Võ Lạc Tân</t>
  </si>
  <si>
    <t>Võ Thị Mỹ Ngọc</t>
  </si>
  <si>
    <t>Phòng Khảo thí - Đảm bảo chất lượng</t>
  </si>
  <si>
    <t>KT. HIỆU TRƯỞNG</t>
  </si>
  <si>
    <t xml:space="preserve">PHÓ HIỆU TRƯỞNG </t>
  </si>
  <si>
    <t>PHÓ HIỆU TRƯỞNG</t>
  </si>
  <si>
    <t>Đinh Văn Đệ</t>
  </si>
  <si>
    <t>Trung tâm Điều hành và Quản lý dữ liệu</t>
  </si>
  <si>
    <t>Tháng 03/2025</t>
  </si>
  <si>
    <t>- Hết thời gian nghỉ hộ sản hưởng chế độ BHXH đi làm lại từ 9/3/2025. Nhập lại BL T4/2025
- Nghỉ dưỡng sức từ ngày 26/3 đến hết 01/4/2025</t>
  </si>
  <si>
    <t>Nghỉ dưỡng sức</t>
  </si>
  <si>
    <t>- Nghỉ không hưởng lương ngày 25/3 đến hết 1/4/25</t>
  </si>
  <si>
    <t>Nghỉ bệnh từ 22 đến 26/3</t>
  </si>
  <si>
    <t>Nghỉ bệnh hưởng chế độ BHXH từ ngày 22/03/2025 đến hết ngày 26/03/2025</t>
  </si>
  <si>
    <t>BẢNG ĐIỀU CHỈNH THAY ĐỔI LƯƠNG THÁNG 04/2025</t>
  </si>
  <si>
    <t>Tháng 04/2025</t>
  </si>
  <si>
    <t>LÃNH TIỀN LƯƠNG THÁNG 04 NĂM 2025</t>
  </si>
  <si>
    <t>Ba trăm bảy mươi lăm triệu tám trăm bốn mươi tám ngàn sáu trăm bảy mươi sáu đồng.</t>
  </si>
  <si>
    <t>Thành phố Hồ Chí Minh, ngày 01 tháng 4 năm 2025</t>
  </si>
  <si>
    <t>MÃ TÀI KHOẢN: 3716.2.1058083.00000</t>
  </si>
  <si>
    <t>Mở tại: Phòng giao dịch số 7  - Kho bạc nhà nước khu vực II</t>
  </si>
  <si>
    <t>- Nghỉ không hưởng lương từ ngày 25/3/2025 đến hết ngày 01/4/2025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</si>
</sst>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2" formatCode="#,##0.0"/>
    <numFmt numFmtId="173" formatCode="_(* #,##0_);_(* \(#,##0\);_(* &quot;-&quot;??_);_(@_)"/>
  </numFmts>
  <fonts count="72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732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13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7" fillId="0" borderId="0" xfId="0" applyFont="1" applyAlignment="1"/>
    <xf numFmtId="0" fontId="6" fillId="0" borderId="0" xfId="0" applyFont="1" applyFill="1" applyBorder="1" applyAlignment="1">
      <alignment vertical="center"/>
    </xf>
    <xf numFmtId="0" fontId="55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1" fillId="0" borderId="0" xfId="0" applyFont="1" applyAlignment="1">
      <alignment horizontal="right"/>
    </xf>
    <xf numFmtId="0" fontId="61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3" fillId="0" borderId="0" xfId="0" applyFont="1" applyAlignment="1">
      <alignment horizontal="center"/>
    </xf>
    <xf numFmtId="0" fontId="64" fillId="0" borderId="0" xfId="0" applyFont="1"/>
    <xf numFmtId="0" fontId="9" fillId="0" borderId="0" xfId="0" applyFont="1" applyAlignment="1">
      <alignment wrapText="1"/>
    </xf>
    <xf numFmtId="0" fontId="65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8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2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1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0" fontId="13" fillId="0" borderId="0" xfId="0" applyFont="1" applyFill="1"/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8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69" fillId="0" borderId="0" xfId="0" applyFont="1" applyFill="1" applyBorder="1" applyAlignment="1">
      <alignment horizontal="center" vertical="center" wrapText="1"/>
    </xf>
    <xf numFmtId="0" fontId="69" fillId="0" borderId="0" xfId="0" quotePrefix="1" applyFont="1" applyFill="1" applyBorder="1" applyAlignment="1">
      <alignment horizontal="center" vertical="center" wrapText="1"/>
    </xf>
    <xf numFmtId="2" fontId="69" fillId="0" borderId="0" xfId="0" applyNumberFormat="1" applyFont="1" applyFill="1" applyBorder="1" applyAlignment="1">
      <alignment horizontal="center" vertical="center" wrapText="1"/>
    </xf>
    <xf numFmtId="3" fontId="69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8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0" borderId="0" xfId="0" applyFont="1" applyFill="1"/>
    <xf numFmtId="0" fontId="13" fillId="0" borderId="0" xfId="0" applyFont="1" applyFill="1"/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172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13" fillId="20" borderId="30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6" fillId="0" borderId="0" xfId="0" applyFont="1" applyFill="1"/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0" fillId="20" borderId="33" xfId="0" applyFont="1" applyFill="1" applyBorder="1" applyAlignment="1">
      <alignment vertical="center" wrapText="1"/>
    </xf>
    <xf numFmtId="0" fontId="70" fillId="20" borderId="30" xfId="0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3" fontId="70" fillId="20" borderId="17" xfId="0" applyNumberFormat="1" applyFont="1" applyFill="1" applyBorder="1" applyAlignment="1">
      <alignment vertical="center" wrapText="1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5" fillId="20" borderId="0" xfId="0" applyFont="1" applyFill="1"/>
    <xf numFmtId="0" fontId="0" fillId="20" borderId="16" xfId="0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1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1" fillId="22" borderId="14" xfId="0" applyFont="1" applyFill="1" applyBorder="1" applyAlignment="1">
      <alignment vertical="center" wrapText="1"/>
    </xf>
    <xf numFmtId="0" fontId="68" fillId="22" borderId="16" xfId="0" applyFont="1" applyFill="1" applyBorder="1" applyAlignment="1">
      <alignment vertical="center"/>
    </xf>
    <xf numFmtId="0" fontId="13" fillId="22" borderId="16" xfId="0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1" fillId="22" borderId="14" xfId="0" applyFont="1" applyFill="1" applyBorder="1" applyAlignment="1">
      <alignment horizontal="left" vertical="center" wrapText="1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quotePrefix="1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 applyAlignment="1">
      <alignment horizontal="left" vertical="center" wrapText="1"/>
    </xf>
    <xf numFmtId="3" fontId="0" fillId="20" borderId="16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43" fillId="20" borderId="24" xfId="0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horizontal="center" vertical="center"/>
    </xf>
    <xf numFmtId="3" fontId="1" fillId="22" borderId="14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43" fillId="22" borderId="29" xfId="0" quotePrefix="1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5" fillId="0" borderId="0" xfId="0" applyFont="1" applyFill="1"/>
    <xf numFmtId="0" fontId="45" fillId="0" borderId="0" xfId="0" applyFont="1" applyFill="1" applyAlignment="1">
      <alignment horizontal="center"/>
    </xf>
    <xf numFmtId="3" fontId="5" fillId="0" borderId="0" xfId="0" applyNumberFormat="1" applyFont="1" applyFill="1"/>
    <xf numFmtId="0" fontId="4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3" fontId="66" fillId="0" borderId="40" xfId="0" applyNumberFormat="1" applyFont="1" applyFill="1" applyBorder="1" applyAlignment="1">
      <alignment horizontal="center" vertical="center" wrapText="1"/>
    </xf>
    <xf numFmtId="3" fontId="66" fillId="0" borderId="0" xfId="0" applyNumberFormat="1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3" fillId="0" borderId="0" xfId="0" applyFont="1"/>
    <xf numFmtId="0" fontId="41" fillId="0" borderId="0" xfId="0" applyFont="1" applyAlignment="1">
      <alignment wrapText="1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8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63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0" fillId="0" borderId="9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2" totalsRowCount="1" dataDxfId="52" tableBorderDxfId="51">
  <autoFilter ref="A13:AC81"/>
  <tableColumns count="29">
    <tableColumn id="1" name="Column1" dataDxfId="50" totalsRowDxfId="49"/>
    <tableColumn id="2" name="Column2" dataDxfId="48" totalsRowDxfId="47"/>
    <tableColumn id="3" name="Column3" dataDxfId="46" totalsRowDxfId="45"/>
    <tableColumn id="4" name="Column4" totalsRowDxfId="44"/>
    <tableColumn id="5" name="Column5" dataDxfId="43" totalsRowDxfId="42"/>
    <tableColumn id="6" name="Column6" dataDxfId="41" totalsRowDxfId="40"/>
    <tableColumn id="7" name="Column7" totalsRowDxfId="39"/>
    <tableColumn id="8" name="Column8" totalsRowDxfId="38"/>
    <tableColumn id="9" name="Column9" dataDxfId="37" totalsRowDxfId="36"/>
    <tableColumn id="10" name="Column10" dataDxfId="35" totalsRowDxfId="34"/>
    <tableColumn id="11" name="Column11" dataDxfId="33" totalsRowDxfId="32"/>
    <tableColumn id="12" name="Column12" dataDxfId="31" totalsRowDxfId="30"/>
    <tableColumn id="13" name="Column13" dataDxfId="29" totalsRowDxfId="28"/>
    <tableColumn id="14" name="Column14" dataDxfId="27" totalsRowDxfId="26"/>
    <tableColumn id="15" name="Column15" dataDxfId="25" totalsRowDxfId="24"/>
    <tableColumn id="16" name="Column16" dataDxfId="23" totalsRowDxfId="22"/>
    <tableColumn id="17" name="Column17" dataDxfId="21" totalsRowDxfId="20"/>
    <tableColumn id="18" name="Column18" dataDxfId="19" totalsRowDxfId="18"/>
    <tableColumn id="19" name="Column19" dataDxfId="17" totalsRowDxfId="16"/>
    <tableColumn id="20" name="Column20" dataDxfId="15" totalsRowDxfId="14"/>
    <tableColumn id="21" name="Column21" dataDxfId="13" totalsRowDxfId="12"/>
    <tableColumn id="22" name="Column22" dataDxfId="11" totalsRowDxfId="10"/>
    <tableColumn id="23" name="Column23" totalsRowDxfId="9"/>
    <tableColumn id="24" name="Column24" totalsRowDxfId="8"/>
    <tableColumn id="25" name="Column25" totalsRowDxfId="7"/>
    <tableColumn id="26" name="Column26" totalsRowDxfId="6"/>
    <tableColumn id="27" name="Column27" totalsRowFunction="custom" dataDxfId="5" totalsRowDxfId="4">
      <totalsRowFormula>SUBTOTAL(9,AA15:AA81)</totalsRowFormula>
    </tableColumn>
    <tableColumn id="28" name="Column28" dataDxfId="3" totalsRowDxfId="2"/>
    <tableColumn id="29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75" style="276" bestFit="1" customWidth="1"/>
    <col min="11" max="11" width="5.5" style="35" bestFit="1" customWidth="1"/>
    <col min="12" max="12" width="8.375" style="34" customWidth="1"/>
    <col min="13" max="13" width="8.125" style="34" customWidth="1"/>
    <col min="14" max="14" width="1.625" style="34" hidden="1" customWidth="1"/>
    <col min="15" max="15" width="7.5" style="34" customWidth="1"/>
    <col min="16" max="16" width="6.5" style="34" customWidth="1"/>
    <col min="17" max="17" width="9.25" style="34" customWidth="1"/>
    <col min="18" max="18" width="7.625" style="34" customWidth="1"/>
    <col min="19" max="19" width="6.75" style="34" customWidth="1"/>
    <col min="20" max="20" width="7.125" style="34" customWidth="1"/>
    <col min="21" max="21" width="5.875" style="34" customWidth="1"/>
    <col min="22" max="22" width="8" style="34" customWidth="1"/>
    <col min="23" max="23" width="4.25" style="34" customWidth="1"/>
    <col min="24" max="24" width="5.125" style="34" customWidth="1"/>
    <col min="25" max="25" width="4.375" style="34" customWidth="1"/>
    <col min="26" max="26" width="5.25" style="34" customWidth="1"/>
    <col min="27" max="27" width="7.625" style="286" bestFit="1" customWidth="1"/>
    <col min="28" max="28" width="11.75" style="34" customWidth="1"/>
    <col min="29" max="29" width="2.5" style="34" customWidth="1"/>
    <col min="30" max="30" width="16.75" style="5" customWidth="1"/>
    <col min="31" max="31" width="20.25" style="5" customWidth="1"/>
    <col min="32" max="37" width="9" style="15"/>
    <col min="38" max="38" width="9" style="45"/>
    <col min="39" max="16384" width="9" style="15"/>
  </cols>
  <sheetData>
    <row r="1" spans="1:39" ht="16.5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270"/>
      <c r="K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280"/>
      <c r="AB1" s="16"/>
      <c r="AC1" s="16"/>
      <c r="AD1" s="16"/>
      <c r="AE1" s="7"/>
      <c r="AF1" s="16"/>
      <c r="AG1" s="16"/>
      <c r="AH1" s="16"/>
      <c r="AI1" s="16"/>
      <c r="AJ1" s="14"/>
    </row>
    <row r="2" spans="1:39" ht="16.5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271"/>
      <c r="K2" s="20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281"/>
      <c r="AB2" s="17"/>
      <c r="AC2" s="17"/>
      <c r="AD2" s="17"/>
      <c r="AE2" s="20"/>
      <c r="AF2" s="17"/>
      <c r="AG2" s="17"/>
      <c r="AH2" s="17"/>
      <c r="AI2" s="17"/>
      <c r="AJ2" s="14"/>
    </row>
    <row r="3" spans="1:39" ht="3.75" customHeight="1">
      <c r="A3" s="3"/>
      <c r="B3" s="35"/>
      <c r="C3" s="647"/>
      <c r="D3" s="647"/>
      <c r="E3" s="3"/>
      <c r="F3" s="28"/>
      <c r="G3" s="3"/>
      <c r="H3" s="35"/>
      <c r="I3" s="35"/>
      <c r="J3" s="299"/>
      <c r="L3" s="35"/>
      <c r="M3" s="35"/>
      <c r="N3" s="35"/>
      <c r="O3" s="35"/>
      <c r="P3" s="35"/>
      <c r="Q3" s="35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35"/>
      <c r="AF3" s="3"/>
      <c r="AG3" s="647"/>
      <c r="AH3" s="647"/>
      <c r="AI3" s="692"/>
      <c r="AJ3" s="692"/>
    </row>
    <row r="4" spans="1:39" ht="22.5" customHeight="1">
      <c r="A4" s="693" t="s">
        <v>176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93"/>
      <c r="AD4" s="693"/>
      <c r="AE4" s="61"/>
      <c r="AF4" s="16"/>
      <c r="AG4" s="16"/>
      <c r="AH4" s="16">
        <f>2.67*1150000*0.65</f>
        <v>1995825</v>
      </c>
      <c r="AI4" s="16"/>
      <c r="AJ4" s="14"/>
    </row>
    <row r="5" spans="1:39" ht="22.5" customHeight="1">
      <c r="A5" s="693" t="s">
        <v>339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93"/>
      <c r="AE5" s="61"/>
      <c r="AF5" s="16"/>
      <c r="AG5" s="16"/>
      <c r="AH5" s="16"/>
      <c r="AI5" s="16"/>
      <c r="AJ5" s="14"/>
    </row>
    <row r="6" spans="1:39" ht="18" customHeight="1">
      <c r="A6" s="7"/>
      <c r="B6" s="40"/>
      <c r="C6" s="7" t="s">
        <v>74</v>
      </c>
      <c r="D6" s="659"/>
      <c r="E6" s="659"/>
      <c r="F6" s="659"/>
      <c r="G6" s="659"/>
      <c r="H6" s="659"/>
      <c r="R6" s="38" t="s">
        <v>214</v>
      </c>
      <c r="S6" s="38"/>
      <c r="T6" s="38"/>
      <c r="U6" s="38"/>
      <c r="V6" s="38"/>
      <c r="W6" s="38"/>
      <c r="X6" s="38"/>
      <c r="Y6" s="38"/>
      <c r="Z6" s="38"/>
      <c r="AA6" s="282"/>
      <c r="AB6" s="38"/>
      <c r="AC6" s="38"/>
      <c r="AD6" s="56"/>
      <c r="AE6" s="56"/>
      <c r="AF6" s="16" t="s">
        <v>17</v>
      </c>
      <c r="AG6" s="16"/>
      <c r="AH6" s="16">
        <f>3*1150000</f>
        <v>3450000</v>
      </c>
      <c r="AI6" s="16">
        <f>2.67*1150000</f>
        <v>3070500</v>
      </c>
      <c r="AJ6" s="16"/>
    </row>
    <row r="7" spans="1:39">
      <c r="A7" s="7"/>
      <c r="B7" s="127">
        <v>1490000</v>
      </c>
      <c r="C7" s="65">
        <v>1150000</v>
      </c>
      <c r="D7" s="659"/>
      <c r="E7" s="659"/>
      <c r="F7" s="659"/>
      <c r="G7" s="659"/>
      <c r="H7" s="659"/>
      <c r="I7" s="38"/>
      <c r="J7" s="272"/>
      <c r="K7" s="40"/>
      <c r="L7" s="38"/>
      <c r="M7" s="38"/>
      <c r="N7" s="38"/>
      <c r="O7" s="38"/>
      <c r="P7" s="38"/>
      <c r="Q7" s="38"/>
      <c r="R7" s="38" t="s">
        <v>16</v>
      </c>
      <c r="S7" s="38"/>
      <c r="T7" s="38"/>
      <c r="U7" s="38"/>
      <c r="V7" s="38"/>
      <c r="W7" s="38"/>
      <c r="X7" s="38"/>
      <c r="Y7" s="38"/>
      <c r="Z7" s="38"/>
      <c r="AA7" s="282"/>
      <c r="AB7" s="38"/>
      <c r="AC7" s="38"/>
      <c r="AF7" s="16"/>
      <c r="AG7" s="16"/>
      <c r="AH7" s="16">
        <f>AH6*10.5%</f>
        <v>362250</v>
      </c>
      <c r="AI7" s="16">
        <f>AI6*10.5%</f>
        <v>322402.5</v>
      </c>
      <c r="AJ7" s="16"/>
    </row>
    <row r="8" spans="1:39">
      <c r="A8" s="7"/>
      <c r="B8" s="40"/>
      <c r="C8" s="7"/>
      <c r="D8" s="686"/>
      <c r="E8" s="686"/>
      <c r="F8" s="686"/>
      <c r="G8" s="686"/>
      <c r="H8" s="686"/>
      <c r="I8" s="42"/>
      <c r="J8" s="273"/>
      <c r="K8" s="36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283"/>
      <c r="AB8" s="42"/>
      <c r="AC8" s="42"/>
      <c r="AD8" s="55"/>
      <c r="AE8" s="55"/>
      <c r="AF8" s="16"/>
      <c r="AG8" s="16"/>
      <c r="AH8" s="15">
        <f>AH6-AH7</f>
        <v>3087750</v>
      </c>
      <c r="AI8" s="15">
        <f>AI6-AI7</f>
        <v>2748097.5</v>
      </c>
      <c r="AL8" s="46"/>
    </row>
    <row r="9" spans="1:39" ht="4.5" customHeight="1">
      <c r="A9" s="7"/>
      <c r="B9" s="40"/>
      <c r="C9" s="7"/>
      <c r="D9" s="140"/>
      <c r="E9" s="140"/>
      <c r="F9" s="182"/>
      <c r="G9" s="36"/>
      <c r="H9" s="36"/>
      <c r="I9" s="42"/>
      <c r="J9" s="273"/>
      <c r="K9" s="36"/>
      <c r="L9" s="42"/>
      <c r="M9" s="42"/>
      <c r="N9" s="42"/>
      <c r="O9" s="42"/>
      <c r="P9" s="42"/>
      <c r="Q9" s="42"/>
      <c r="R9" s="38"/>
      <c r="S9" s="38"/>
      <c r="T9" s="38"/>
      <c r="U9" s="38"/>
      <c r="V9" s="38"/>
      <c r="W9" s="38"/>
      <c r="X9" s="38"/>
      <c r="Y9" s="38"/>
      <c r="Z9" s="38"/>
      <c r="AA9" s="282"/>
      <c r="AB9" s="38"/>
      <c r="AC9" s="43"/>
      <c r="AF9" s="16"/>
      <c r="AG9" s="16"/>
      <c r="AH9" s="15">
        <f>AH6*0.65</f>
        <v>2242500</v>
      </c>
      <c r="AI9" s="15">
        <f>AI6*0.65</f>
        <v>1995825</v>
      </c>
      <c r="AL9" s="46"/>
    </row>
    <row r="10" spans="1:39" s="33" customFormat="1" ht="27.75" customHeight="1">
      <c r="A10" s="687" t="s">
        <v>2</v>
      </c>
      <c r="B10" s="687" t="s">
        <v>3</v>
      </c>
      <c r="C10" s="687"/>
      <c r="D10" s="688" t="s">
        <v>43</v>
      </c>
      <c r="E10" s="684" t="s">
        <v>221</v>
      </c>
      <c r="F10" s="689" t="s">
        <v>15</v>
      </c>
      <c r="G10" s="671" t="s">
        <v>116</v>
      </c>
      <c r="H10" s="684" t="s">
        <v>256</v>
      </c>
      <c r="I10" s="680" t="s">
        <v>166</v>
      </c>
      <c r="J10" s="682" t="s">
        <v>342</v>
      </c>
      <c r="K10" s="680" t="s">
        <v>252</v>
      </c>
      <c r="L10" s="680" t="s">
        <v>253</v>
      </c>
      <c r="M10" s="680" t="s">
        <v>156</v>
      </c>
      <c r="N10" s="682"/>
      <c r="O10" s="684" t="s">
        <v>134</v>
      </c>
      <c r="P10" s="684" t="s">
        <v>135</v>
      </c>
      <c r="Q10" s="671" t="s">
        <v>136</v>
      </c>
      <c r="R10" s="664" t="s">
        <v>57</v>
      </c>
      <c r="S10" s="665"/>
      <c r="T10" s="665"/>
      <c r="U10" s="665"/>
      <c r="V10" s="666"/>
      <c r="W10" s="667" t="s">
        <v>154</v>
      </c>
      <c r="X10" s="668"/>
      <c r="Y10" s="667" t="s">
        <v>155</v>
      </c>
      <c r="Z10" s="668"/>
      <c r="AA10" s="669" t="s">
        <v>258</v>
      </c>
      <c r="AB10" s="671" t="s">
        <v>140</v>
      </c>
      <c r="AC10" s="673" t="s">
        <v>5</v>
      </c>
      <c r="AD10" s="674"/>
      <c r="AE10" s="71"/>
      <c r="AF10" s="72"/>
      <c r="AG10" s="73"/>
      <c r="AH10" s="73">
        <f>AH9+AH8</f>
        <v>5330250</v>
      </c>
      <c r="AI10" s="73">
        <f>AI9+AI8</f>
        <v>4743922.5</v>
      </c>
      <c r="AJ10" s="73"/>
      <c r="AK10" s="677"/>
      <c r="AL10" s="74"/>
      <c r="AM10" s="67"/>
    </row>
    <row r="11" spans="1:39" s="33" customFormat="1" ht="41.25" customHeight="1">
      <c r="A11" s="687"/>
      <c r="B11" s="687"/>
      <c r="C11" s="687"/>
      <c r="D11" s="688"/>
      <c r="E11" s="685"/>
      <c r="F11" s="690"/>
      <c r="G11" s="672"/>
      <c r="H11" s="685"/>
      <c r="I11" s="681"/>
      <c r="J11" s="683"/>
      <c r="K11" s="681"/>
      <c r="L11" s="681"/>
      <c r="M11" s="681"/>
      <c r="N11" s="683"/>
      <c r="O11" s="685"/>
      <c r="P11" s="685"/>
      <c r="Q11" s="672"/>
      <c r="R11" s="121" t="s">
        <v>101</v>
      </c>
      <c r="S11" s="121" t="s">
        <v>58</v>
      </c>
      <c r="T11" s="121" t="s">
        <v>52</v>
      </c>
      <c r="U11" s="119" t="s">
        <v>137</v>
      </c>
      <c r="V11" s="119" t="s">
        <v>138</v>
      </c>
      <c r="W11" s="119" t="s">
        <v>72</v>
      </c>
      <c r="X11" s="269" t="s">
        <v>156</v>
      </c>
      <c r="Y11" s="119" t="s">
        <v>72</v>
      </c>
      <c r="Z11" s="269" t="s">
        <v>156</v>
      </c>
      <c r="AA11" s="670"/>
      <c r="AB11" s="672"/>
      <c r="AC11" s="675"/>
      <c r="AD11" s="676"/>
      <c r="AE11" s="71"/>
      <c r="AF11" s="72"/>
      <c r="AG11" s="73"/>
      <c r="AH11" s="73">
        <f>AH10+750000</f>
        <v>6080250</v>
      </c>
      <c r="AI11" s="73">
        <f>AI10+750000</f>
        <v>5493922.5</v>
      </c>
      <c r="AJ11" s="73"/>
      <c r="AK11" s="677"/>
      <c r="AL11" s="74"/>
      <c r="AM11" s="67"/>
    </row>
    <row r="12" spans="1:39" s="33" customFormat="1" ht="27.75" customHeight="1">
      <c r="A12" s="69" t="s">
        <v>141</v>
      </c>
      <c r="B12" s="230" t="s">
        <v>142</v>
      </c>
      <c r="C12" s="231"/>
      <c r="D12" s="70" t="s">
        <v>143</v>
      </c>
      <c r="E12" s="70"/>
      <c r="F12" s="129"/>
      <c r="G12" s="141" t="s">
        <v>144</v>
      </c>
      <c r="H12" s="130" t="s">
        <v>39</v>
      </c>
      <c r="I12" s="232" t="s">
        <v>37</v>
      </c>
      <c r="J12" s="300"/>
      <c r="K12" s="232"/>
      <c r="L12" s="232" t="s">
        <v>38</v>
      </c>
      <c r="M12" s="232" t="s">
        <v>254</v>
      </c>
      <c r="N12" s="130"/>
      <c r="O12" s="130" t="s">
        <v>62</v>
      </c>
      <c r="P12" s="130" t="s">
        <v>40</v>
      </c>
      <c r="Q12" s="232" t="s">
        <v>162</v>
      </c>
      <c r="R12" s="130" t="s">
        <v>63</v>
      </c>
      <c r="S12" s="130" t="s">
        <v>64</v>
      </c>
      <c r="T12" s="130" t="s">
        <v>145</v>
      </c>
      <c r="U12" s="130" t="s">
        <v>146</v>
      </c>
      <c r="V12" s="232" t="s">
        <v>163</v>
      </c>
      <c r="W12" s="130" t="s">
        <v>147</v>
      </c>
      <c r="X12" s="130" t="s">
        <v>148</v>
      </c>
      <c r="Y12" s="130" t="s">
        <v>149</v>
      </c>
      <c r="Z12" s="130" t="s">
        <v>157</v>
      </c>
      <c r="AA12" s="291" t="s">
        <v>333</v>
      </c>
      <c r="AB12" s="232" t="s">
        <v>334</v>
      </c>
      <c r="AC12" s="678" t="s">
        <v>158</v>
      </c>
      <c r="AD12" s="679"/>
      <c r="AE12" s="71"/>
      <c r="AF12" s="128"/>
      <c r="AG12" s="73"/>
      <c r="AH12" s="73"/>
      <c r="AI12" s="73"/>
      <c r="AJ12" s="73"/>
      <c r="AK12" s="122"/>
      <c r="AL12" s="74"/>
      <c r="AM12" s="67"/>
    </row>
    <row r="13" spans="1:39" s="298" customFormat="1" ht="29.25" customHeight="1">
      <c r="A13" s="110" t="s">
        <v>27</v>
      </c>
      <c r="B13" s="246" t="s">
        <v>177</v>
      </c>
      <c r="C13" s="111"/>
      <c r="D13" s="207" t="s">
        <v>47</v>
      </c>
      <c r="E13" s="293" t="s">
        <v>224</v>
      </c>
      <c r="F13" s="247" t="s">
        <v>191</v>
      </c>
      <c r="G13" s="248" t="s">
        <v>232</v>
      </c>
      <c r="H13" s="249">
        <v>3</v>
      </c>
      <c r="I13" s="112">
        <v>4873050</v>
      </c>
      <c r="J13" s="301">
        <f>I13*6%</f>
        <v>292383</v>
      </c>
      <c r="K13" s="215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294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295"/>
      <c r="AE13" s="89" t="s">
        <v>217</v>
      </c>
      <c r="AF13" s="107"/>
      <c r="AG13" s="103"/>
      <c r="AL13" s="297"/>
    </row>
    <row r="14" spans="1:39" s="298" customFormat="1" ht="30.75" customHeight="1">
      <c r="A14" s="181" t="s">
        <v>28</v>
      </c>
      <c r="B14" s="81" t="s">
        <v>236</v>
      </c>
      <c r="C14" s="82"/>
      <c r="D14" s="99" t="s">
        <v>47</v>
      </c>
      <c r="E14" s="206"/>
      <c r="F14" s="202" t="str">
        <f>VLOOKUP(B14,[1]LuongBC_T01!$B$277:$C$292,2,FALSE)</f>
        <v>0016100006668008</v>
      </c>
      <c r="G14" s="84" t="s">
        <v>232</v>
      </c>
      <c r="H14" s="211">
        <v>9</v>
      </c>
      <c r="I14" s="85">
        <v>6530353</v>
      </c>
      <c r="J14" s="302">
        <f t="shared" ref="J14:J61" si="6">I14*6%</f>
        <v>391821.18</v>
      </c>
      <c r="K14" s="100"/>
      <c r="L14" s="85"/>
      <c r="M14" s="85">
        <f t="shared" si="0"/>
        <v>6530353</v>
      </c>
      <c r="N14" s="85"/>
      <c r="O14" s="85">
        <f t="shared" si="1"/>
        <v>0</v>
      </c>
      <c r="P14" s="85"/>
      <c r="Q14" s="85">
        <f t="shared" si="2"/>
        <v>6530353</v>
      </c>
      <c r="R14" s="85">
        <f>M14*8%</f>
        <v>522428.24</v>
      </c>
      <c r="S14" s="86">
        <f>M14*1.5%</f>
        <v>97955.294999999998</v>
      </c>
      <c r="T14" s="85">
        <f>M14*1%</f>
        <v>65303.53</v>
      </c>
      <c r="U14" s="86"/>
      <c r="V14" s="86">
        <f t="shared" si="3"/>
        <v>685687.06500000006</v>
      </c>
      <c r="W14" s="86"/>
      <c r="X14" s="86"/>
      <c r="Y14" s="132"/>
      <c r="Z14" s="86"/>
      <c r="AA14" s="86"/>
      <c r="AB14" s="86">
        <f t="shared" si="4"/>
        <v>5844665.9349999996</v>
      </c>
      <c r="AC14" s="88" t="str">
        <f t="shared" si="5"/>
        <v>02</v>
      </c>
      <c r="AD14" s="89"/>
      <c r="AE14" s="297"/>
      <c r="AF14" s="297"/>
      <c r="AL14" s="297"/>
    </row>
    <row r="15" spans="1:39" s="298" customFormat="1" ht="42.75" customHeight="1">
      <c r="A15" s="181" t="s">
        <v>29</v>
      </c>
      <c r="B15" s="81" t="s">
        <v>229</v>
      </c>
      <c r="C15" s="139"/>
      <c r="D15" s="99" t="s">
        <v>230</v>
      </c>
      <c r="E15" s="206"/>
      <c r="F15" s="202"/>
      <c r="G15" s="84" t="s">
        <v>228</v>
      </c>
      <c r="H15" s="211">
        <v>2</v>
      </c>
      <c r="I15" s="85">
        <v>5313481</v>
      </c>
      <c r="J15" s="302">
        <f t="shared" si="6"/>
        <v>318808.86</v>
      </c>
      <c r="K15" s="100"/>
      <c r="L15" s="85"/>
      <c r="M15" s="85">
        <f t="shared" si="0"/>
        <v>5313481</v>
      </c>
      <c r="N15" s="85"/>
      <c r="O15" s="85">
        <f t="shared" si="1"/>
        <v>0</v>
      </c>
      <c r="P15" s="85"/>
      <c r="Q15" s="85">
        <f t="shared" si="2"/>
        <v>5313481</v>
      </c>
      <c r="R15" s="85"/>
      <c r="S15" s="86"/>
      <c r="T15" s="85"/>
      <c r="U15" s="86"/>
      <c r="V15" s="86">
        <f t="shared" si="3"/>
        <v>0</v>
      </c>
      <c r="W15" s="86"/>
      <c r="X15" s="86"/>
      <c r="Y15" s="86"/>
      <c r="Z15" s="86"/>
      <c r="AA15" s="86"/>
      <c r="AB15" s="86">
        <f t="shared" si="4"/>
        <v>5313481</v>
      </c>
      <c r="AC15" s="88" t="str">
        <f t="shared" si="5"/>
        <v>03</v>
      </c>
      <c r="AD15" s="105"/>
      <c r="AE15" s="296"/>
      <c r="AF15" s="210"/>
      <c r="AG15" s="210"/>
      <c r="AH15" s="97"/>
      <c r="AI15" s="97"/>
      <c r="AL15" s="98"/>
    </row>
    <row r="16" spans="1:39" s="298" customFormat="1" ht="24.75" customHeight="1">
      <c r="A16" s="181" t="s">
        <v>30</v>
      </c>
      <c r="B16" s="81" t="s">
        <v>235</v>
      </c>
      <c r="C16" s="82"/>
      <c r="D16" s="99" t="s">
        <v>47</v>
      </c>
      <c r="E16" s="206"/>
      <c r="F16" s="202" t="str">
        <f>VLOOKUP(B16,[1]LuongBC_T01!$B$277:$C$292,2,FALSE)</f>
        <v>0016100006650001</v>
      </c>
      <c r="G16" s="84" t="s">
        <v>232</v>
      </c>
      <c r="H16" s="211">
        <v>9</v>
      </c>
      <c r="I16" s="85">
        <v>6856871</v>
      </c>
      <c r="J16" s="302">
        <f t="shared" si="6"/>
        <v>411412.26</v>
      </c>
      <c r="K16" s="100"/>
      <c r="L16" s="85"/>
      <c r="M16" s="85">
        <f t="shared" si="0"/>
        <v>6856871</v>
      </c>
      <c r="N16" s="85"/>
      <c r="O16" s="85">
        <f t="shared" si="1"/>
        <v>0</v>
      </c>
      <c r="P16" s="85"/>
      <c r="Q16" s="85">
        <f t="shared" si="2"/>
        <v>6856871</v>
      </c>
      <c r="R16" s="85">
        <f t="shared" ref="R16:R35" si="7">M16*8%</f>
        <v>548549.68000000005</v>
      </c>
      <c r="S16" s="86">
        <f t="shared" ref="S16:S60" si="8">M16*1.5%</f>
        <v>102853.065</v>
      </c>
      <c r="T16" s="85">
        <f t="shared" ref="T16:T60" si="9">M16*1%</f>
        <v>68568.710000000006</v>
      </c>
      <c r="U16" s="86"/>
      <c r="V16" s="86">
        <f t="shared" si="3"/>
        <v>719971.45500000007</v>
      </c>
      <c r="W16" s="86"/>
      <c r="X16" s="86"/>
      <c r="Y16" s="132"/>
      <c r="Z16" s="86"/>
      <c r="AA16" s="86"/>
      <c r="AB16" s="86">
        <f t="shared" si="4"/>
        <v>6136899.5449999999</v>
      </c>
      <c r="AC16" s="88" t="str">
        <f t="shared" si="5"/>
        <v>04</v>
      </c>
      <c r="AD16" s="89"/>
      <c r="AE16" s="297"/>
      <c r="AF16" s="297"/>
      <c r="AL16" s="297"/>
    </row>
    <row r="17" spans="1:38" s="298" customFormat="1" ht="39" customHeight="1">
      <c r="A17" s="181" t="s">
        <v>31</v>
      </c>
      <c r="B17" s="81" t="s">
        <v>285</v>
      </c>
      <c r="C17" s="82"/>
      <c r="D17" s="99" t="s">
        <v>286</v>
      </c>
      <c r="E17" s="206"/>
      <c r="F17" s="202"/>
      <c r="G17" s="84" t="s">
        <v>228</v>
      </c>
      <c r="H17" s="211">
        <v>1</v>
      </c>
      <c r="I17" s="85">
        <v>5060458</v>
      </c>
      <c r="J17" s="302">
        <f t="shared" si="6"/>
        <v>303627.48</v>
      </c>
      <c r="K17" s="100"/>
      <c r="L17" s="85"/>
      <c r="M17" s="85">
        <f t="shared" si="0"/>
        <v>5060458</v>
      </c>
      <c r="N17" s="85"/>
      <c r="O17" s="85">
        <f t="shared" si="1"/>
        <v>0</v>
      </c>
      <c r="P17" s="85"/>
      <c r="Q17" s="85">
        <f t="shared" si="2"/>
        <v>5060458</v>
      </c>
      <c r="R17" s="85">
        <f t="shared" si="7"/>
        <v>404836.64</v>
      </c>
      <c r="S17" s="86">
        <f t="shared" si="8"/>
        <v>75906.87</v>
      </c>
      <c r="T17" s="85">
        <f t="shared" si="9"/>
        <v>50604.58</v>
      </c>
      <c r="U17" s="86"/>
      <c r="V17" s="86">
        <f t="shared" si="3"/>
        <v>531348.09</v>
      </c>
      <c r="W17" s="86"/>
      <c r="X17" s="87"/>
      <c r="Y17" s="87"/>
      <c r="Z17" s="87"/>
      <c r="AA17" s="87"/>
      <c r="AB17" s="86">
        <f t="shared" si="4"/>
        <v>4529109.91</v>
      </c>
      <c r="AC17" s="88" t="str">
        <f t="shared" si="5"/>
        <v>05</v>
      </c>
      <c r="AD17" s="233"/>
      <c r="AE17" s="233" t="s">
        <v>287</v>
      </c>
      <c r="AF17" s="104"/>
      <c r="AG17" s="125"/>
      <c r="AL17" s="297"/>
    </row>
    <row r="18" spans="1:38" s="298" customFormat="1" ht="42.75" customHeight="1">
      <c r="A18" s="181" t="s">
        <v>32</v>
      </c>
      <c r="B18" s="81" t="s">
        <v>296</v>
      </c>
      <c r="C18" s="82"/>
      <c r="D18" s="99" t="s">
        <v>230</v>
      </c>
      <c r="E18" s="205" t="s">
        <v>313</v>
      </c>
      <c r="F18" s="266" t="s">
        <v>314</v>
      </c>
      <c r="G18" s="84" t="s">
        <v>228</v>
      </c>
      <c r="H18" s="211">
        <v>1</v>
      </c>
      <c r="I18" s="85">
        <v>5060458</v>
      </c>
      <c r="J18" s="302">
        <f t="shared" si="6"/>
        <v>303627.48</v>
      </c>
      <c r="K18" s="100"/>
      <c r="L18" s="85"/>
      <c r="M18" s="85">
        <f t="shared" si="0"/>
        <v>5060458</v>
      </c>
      <c r="N18" s="85"/>
      <c r="O18" s="85">
        <f t="shared" si="1"/>
        <v>0</v>
      </c>
      <c r="P18" s="85"/>
      <c r="Q18" s="85">
        <f t="shared" si="2"/>
        <v>5060458</v>
      </c>
      <c r="R18" s="85">
        <f t="shared" si="7"/>
        <v>404836.64</v>
      </c>
      <c r="S18" s="86">
        <f t="shared" si="8"/>
        <v>75906.87</v>
      </c>
      <c r="T18" s="85">
        <f t="shared" si="9"/>
        <v>50604.58</v>
      </c>
      <c r="U18" s="86"/>
      <c r="V18" s="86">
        <f t="shared" si="3"/>
        <v>531348.09</v>
      </c>
      <c r="W18" s="86"/>
      <c r="X18" s="87"/>
      <c r="Y18" s="87"/>
      <c r="Z18" s="87"/>
      <c r="AA18" s="87"/>
      <c r="AB18" s="86">
        <f t="shared" si="4"/>
        <v>4529109.91</v>
      </c>
      <c r="AC18" s="88" t="str">
        <f t="shared" si="5"/>
        <v>06</v>
      </c>
      <c r="AD18" s="233"/>
      <c r="AE18" s="233" t="s">
        <v>298</v>
      </c>
      <c r="AF18" s="104"/>
      <c r="AG18" s="125"/>
      <c r="AL18" s="297"/>
    </row>
    <row r="19" spans="1:38" s="298" customFormat="1" ht="31.5" customHeight="1">
      <c r="A19" s="181" t="s">
        <v>33</v>
      </c>
      <c r="B19" s="81" t="s">
        <v>316</v>
      </c>
      <c r="C19" s="82"/>
      <c r="D19" s="99" t="s">
        <v>47</v>
      </c>
      <c r="E19" s="206"/>
      <c r="F19" s="202"/>
      <c r="G19" s="84" t="s">
        <v>231</v>
      </c>
      <c r="H19" s="211">
        <v>12</v>
      </c>
      <c r="I19" s="85">
        <v>8088879</v>
      </c>
      <c r="J19" s="302">
        <f t="shared" si="6"/>
        <v>485332.74</v>
      </c>
      <c r="K19" s="100"/>
      <c r="L19" s="85"/>
      <c r="M19" s="85">
        <f t="shared" si="0"/>
        <v>8088879</v>
      </c>
      <c r="N19" s="85"/>
      <c r="O19" s="85">
        <f t="shared" si="1"/>
        <v>0</v>
      </c>
      <c r="P19" s="85"/>
      <c r="Q19" s="85">
        <f t="shared" si="2"/>
        <v>8088879</v>
      </c>
      <c r="R19" s="85">
        <f t="shared" si="7"/>
        <v>647110.32000000007</v>
      </c>
      <c r="S19" s="86">
        <f t="shared" si="8"/>
        <v>121333.185</v>
      </c>
      <c r="T19" s="85">
        <f t="shared" si="9"/>
        <v>80888.790000000008</v>
      </c>
      <c r="U19" s="86"/>
      <c r="V19" s="86">
        <f t="shared" si="3"/>
        <v>849332.29500000016</v>
      </c>
      <c r="W19" s="86"/>
      <c r="X19" s="86"/>
      <c r="Y19" s="132"/>
      <c r="Z19" s="86"/>
      <c r="AA19" s="86"/>
      <c r="AB19" s="86">
        <f t="shared" si="4"/>
        <v>7239546.7050000001</v>
      </c>
      <c r="AC19" s="88" t="str">
        <f t="shared" si="5"/>
        <v>07</v>
      </c>
      <c r="AD19" s="89"/>
      <c r="AE19" s="89"/>
      <c r="AF19" s="107"/>
      <c r="AG19" s="103"/>
      <c r="AL19" s="297"/>
    </row>
    <row r="20" spans="1:38" s="91" customFormat="1" ht="31.5" customHeight="1">
      <c r="A20" s="181" t="s">
        <v>34</v>
      </c>
      <c r="B20" s="81" t="s">
        <v>317</v>
      </c>
      <c r="C20" s="82"/>
      <c r="D20" s="99" t="s">
        <v>318</v>
      </c>
      <c r="E20" s="206"/>
      <c r="F20" s="188"/>
      <c r="G20" s="84" t="s">
        <v>228</v>
      </c>
      <c r="H20" s="211">
        <v>6</v>
      </c>
      <c r="I20" s="85">
        <v>6458569</v>
      </c>
      <c r="J20" s="302">
        <f t="shared" si="6"/>
        <v>387514.14</v>
      </c>
      <c r="K20" s="100"/>
      <c r="L20" s="85"/>
      <c r="M20" s="85">
        <f t="shared" si="0"/>
        <v>6458569</v>
      </c>
      <c r="N20" s="85"/>
      <c r="O20" s="85">
        <f t="shared" si="1"/>
        <v>0</v>
      </c>
      <c r="P20" s="85"/>
      <c r="Q20" s="85">
        <f t="shared" si="2"/>
        <v>6458569</v>
      </c>
      <c r="R20" s="85">
        <f t="shared" si="7"/>
        <v>516685.52</v>
      </c>
      <c r="S20" s="86">
        <f t="shared" si="8"/>
        <v>96878.535000000003</v>
      </c>
      <c r="T20" s="85">
        <f t="shared" si="9"/>
        <v>64585.69</v>
      </c>
      <c r="U20" s="86"/>
      <c r="V20" s="86">
        <f t="shared" si="3"/>
        <v>678149.74500000011</v>
      </c>
      <c r="W20" s="86"/>
      <c r="X20" s="86"/>
      <c r="Y20" s="132"/>
      <c r="Z20" s="86"/>
      <c r="AA20" s="86"/>
      <c r="AB20" s="86">
        <f t="shared" si="4"/>
        <v>5780419.2549999999</v>
      </c>
      <c r="AC20" s="88" t="str">
        <f t="shared" si="5"/>
        <v>08</v>
      </c>
      <c r="AD20" s="89"/>
      <c r="AE20" s="89"/>
      <c r="AF20" s="107"/>
      <c r="AG20" s="103"/>
      <c r="AH20" s="298"/>
      <c r="AL20" s="92"/>
    </row>
    <row r="21" spans="1:38" s="91" customFormat="1" ht="28.5" customHeight="1">
      <c r="A21" s="181" t="s">
        <v>35</v>
      </c>
      <c r="B21" s="81" t="s">
        <v>122</v>
      </c>
      <c r="C21" s="82" t="s">
        <v>97</v>
      </c>
      <c r="D21" s="99" t="s">
        <v>108</v>
      </c>
      <c r="E21" s="205" t="s">
        <v>222</v>
      </c>
      <c r="F21" s="188" t="s">
        <v>194</v>
      </c>
      <c r="G21" s="94" t="s">
        <v>228</v>
      </c>
      <c r="H21" s="211">
        <v>5</v>
      </c>
      <c r="I21" s="85">
        <v>6151018</v>
      </c>
      <c r="J21" s="302">
        <f t="shared" si="6"/>
        <v>369061.07999999996</v>
      </c>
      <c r="K21" s="100"/>
      <c r="L21" s="85"/>
      <c r="M21" s="85">
        <f t="shared" si="0"/>
        <v>6151018</v>
      </c>
      <c r="N21" s="85"/>
      <c r="O21" s="85">
        <f t="shared" si="1"/>
        <v>0</v>
      </c>
      <c r="P21" s="85"/>
      <c r="Q21" s="85">
        <f t="shared" si="2"/>
        <v>6151018</v>
      </c>
      <c r="R21" s="85">
        <f t="shared" si="7"/>
        <v>492081.44</v>
      </c>
      <c r="S21" s="86">
        <f t="shared" si="8"/>
        <v>92265.26999999999</v>
      </c>
      <c r="T21" s="85">
        <f t="shared" si="9"/>
        <v>61510.18</v>
      </c>
      <c r="U21" s="86"/>
      <c r="V21" s="86">
        <f t="shared" si="3"/>
        <v>645856.89</v>
      </c>
      <c r="W21" s="86"/>
      <c r="X21" s="86"/>
      <c r="Y21" s="86"/>
      <c r="Z21" s="86"/>
      <c r="AA21" s="86"/>
      <c r="AB21" s="86">
        <f t="shared" si="4"/>
        <v>5505161.1100000003</v>
      </c>
      <c r="AC21" s="88" t="str">
        <f t="shared" si="5"/>
        <v>09</v>
      </c>
      <c r="AD21" s="89"/>
      <c r="AE21" s="89" t="s">
        <v>98</v>
      </c>
      <c r="AF21" s="89" t="s">
        <v>100</v>
      </c>
      <c r="AG21" s="97" t="e">
        <f>#REF!*2</f>
        <v>#REF!</v>
      </c>
      <c r="AH21" s="97"/>
      <c r="AI21" s="97"/>
      <c r="AL21" s="98"/>
    </row>
    <row r="22" spans="1:38" s="298" customFormat="1" ht="26.25" customHeight="1">
      <c r="A22" s="181" t="s">
        <v>19</v>
      </c>
      <c r="B22" s="124" t="s">
        <v>119</v>
      </c>
      <c r="C22" s="82" t="s">
        <v>6</v>
      </c>
      <c r="D22" s="99" t="s">
        <v>153</v>
      </c>
      <c r="E22" s="267" t="s">
        <v>220</v>
      </c>
      <c r="F22" s="202" t="s">
        <v>188</v>
      </c>
      <c r="G22" s="94" t="s">
        <v>231</v>
      </c>
      <c r="H22" s="83">
        <v>5</v>
      </c>
      <c r="I22" s="85">
        <v>5748615</v>
      </c>
      <c r="J22" s="302">
        <f t="shared" si="6"/>
        <v>344916.89999999997</v>
      </c>
      <c r="K22" s="100"/>
      <c r="L22" s="85"/>
      <c r="M22" s="85">
        <f t="shared" si="0"/>
        <v>5748615</v>
      </c>
      <c r="N22" s="85"/>
      <c r="O22" s="85">
        <f t="shared" si="1"/>
        <v>0</v>
      </c>
      <c r="P22" s="85"/>
      <c r="Q22" s="85">
        <f t="shared" si="2"/>
        <v>5748615</v>
      </c>
      <c r="R22" s="85">
        <f t="shared" si="7"/>
        <v>459889.2</v>
      </c>
      <c r="S22" s="86">
        <f t="shared" si="8"/>
        <v>86229.224999999991</v>
      </c>
      <c r="T22" s="85">
        <f t="shared" si="9"/>
        <v>57486.15</v>
      </c>
      <c r="U22" s="86"/>
      <c r="V22" s="86">
        <f t="shared" si="3"/>
        <v>603604.57500000007</v>
      </c>
      <c r="W22" s="86"/>
      <c r="X22" s="86"/>
      <c r="Y22" s="86"/>
      <c r="Z22" s="86"/>
      <c r="AA22" s="86"/>
      <c r="AB22" s="86">
        <f t="shared" si="4"/>
        <v>5145010.4249999998</v>
      </c>
      <c r="AC22" s="88" t="str">
        <f t="shared" si="5"/>
        <v>10</v>
      </c>
      <c r="AD22" s="89" t="s">
        <v>331</v>
      </c>
      <c r="AE22" s="104">
        <f>3.33*1390000</f>
        <v>4628700</v>
      </c>
      <c r="AF22" s="652"/>
      <c r="AG22" s="653"/>
      <c r="AH22" s="653"/>
      <c r="AL22" s="106"/>
    </row>
    <row r="23" spans="1:38" s="298" customFormat="1" ht="23.25" customHeight="1">
      <c r="A23" s="181" t="s">
        <v>20</v>
      </c>
      <c r="B23" s="81" t="s">
        <v>126</v>
      </c>
      <c r="C23" s="82" t="s">
        <v>69</v>
      </c>
      <c r="D23" s="99" t="s">
        <v>59</v>
      </c>
      <c r="E23" s="206" t="str">
        <f>VLOOKUP(B23,[2]T3!$B$2:$D$328,3,FALSE)</f>
        <v>026050143</v>
      </c>
      <c r="F23" s="202" t="s">
        <v>203</v>
      </c>
      <c r="G23" s="94" t="s">
        <v>228</v>
      </c>
      <c r="H23" s="211">
        <v>6</v>
      </c>
      <c r="I23" s="85">
        <v>6458569</v>
      </c>
      <c r="J23" s="302">
        <f t="shared" si="6"/>
        <v>387514.14</v>
      </c>
      <c r="K23" s="100"/>
      <c r="L23" s="85"/>
      <c r="M23" s="85">
        <f t="shared" si="0"/>
        <v>6458569</v>
      </c>
      <c r="N23" s="85"/>
      <c r="O23" s="85">
        <f t="shared" si="1"/>
        <v>0</v>
      </c>
      <c r="P23" s="85"/>
      <c r="Q23" s="85">
        <f t="shared" si="2"/>
        <v>6458569</v>
      </c>
      <c r="R23" s="85">
        <f t="shared" si="7"/>
        <v>516685.52</v>
      </c>
      <c r="S23" s="86">
        <f t="shared" si="8"/>
        <v>96878.535000000003</v>
      </c>
      <c r="T23" s="85">
        <f t="shared" si="9"/>
        <v>64585.69</v>
      </c>
      <c r="U23" s="86"/>
      <c r="V23" s="86">
        <f t="shared" si="3"/>
        <v>678149.74500000011</v>
      </c>
      <c r="W23" s="86"/>
      <c r="X23" s="86"/>
      <c r="Y23" s="86"/>
      <c r="Z23" s="86"/>
      <c r="AA23" s="86"/>
      <c r="AB23" s="86">
        <f t="shared" si="4"/>
        <v>5780419.2549999999</v>
      </c>
      <c r="AC23" s="88" t="str">
        <f t="shared" si="5"/>
        <v>11</v>
      </c>
      <c r="AD23" s="89"/>
      <c r="AE23" s="115" t="s">
        <v>96</v>
      </c>
      <c r="AF23" s="104" t="e">
        <f>#REF!/24</f>
        <v>#REF!</v>
      </c>
      <c r="AL23" s="297"/>
    </row>
    <row r="24" spans="1:38" s="298" customFormat="1" ht="27" customHeight="1">
      <c r="A24" s="181" t="s">
        <v>21</v>
      </c>
      <c r="B24" s="124" t="s">
        <v>114</v>
      </c>
      <c r="C24" s="82" t="s">
        <v>111</v>
      </c>
      <c r="D24" s="99" t="s">
        <v>108</v>
      </c>
      <c r="E24" s="206" t="str">
        <f>VLOOKUP(B24,[2]T3!$B$2:$D$328,3,FALSE)</f>
        <v>025444854</v>
      </c>
      <c r="F24" s="202" t="s">
        <v>195</v>
      </c>
      <c r="G24" s="94" t="s">
        <v>231</v>
      </c>
      <c r="H24" s="211">
        <v>2</v>
      </c>
      <c r="I24" s="85">
        <v>4965870</v>
      </c>
      <c r="J24" s="302">
        <f t="shared" si="6"/>
        <v>297952.2</v>
      </c>
      <c r="K24" s="100"/>
      <c r="L24" s="85"/>
      <c r="M24" s="85">
        <f t="shared" si="0"/>
        <v>4965870</v>
      </c>
      <c r="N24" s="85"/>
      <c r="O24" s="85">
        <f t="shared" si="1"/>
        <v>0</v>
      </c>
      <c r="P24" s="85"/>
      <c r="Q24" s="85">
        <f t="shared" si="2"/>
        <v>4965870</v>
      </c>
      <c r="R24" s="85">
        <f t="shared" si="7"/>
        <v>397269.60000000003</v>
      </c>
      <c r="S24" s="86">
        <f t="shared" si="8"/>
        <v>74488.05</v>
      </c>
      <c r="T24" s="85">
        <f t="shared" si="9"/>
        <v>49658.700000000004</v>
      </c>
      <c r="U24" s="86"/>
      <c r="V24" s="86">
        <f t="shared" si="3"/>
        <v>521416.35000000003</v>
      </c>
      <c r="W24" s="86"/>
      <c r="X24" s="86"/>
      <c r="Y24" s="86"/>
      <c r="Z24" s="86"/>
      <c r="AA24" s="86"/>
      <c r="AB24" s="86">
        <f t="shared" si="4"/>
        <v>4444453.6500000004</v>
      </c>
      <c r="AC24" s="88" t="str">
        <f t="shared" si="5"/>
        <v>12</v>
      </c>
      <c r="AD24" s="89"/>
      <c r="AE24" s="89" t="s">
        <v>112</v>
      </c>
      <c r="AF24" s="125"/>
      <c r="AG24" s="97"/>
      <c r="AH24" s="97"/>
      <c r="AI24" s="97"/>
      <c r="AL24" s="98"/>
    </row>
    <row r="25" spans="1:38" s="298" customFormat="1" ht="30" customHeight="1">
      <c r="A25" s="181" t="s">
        <v>26</v>
      </c>
      <c r="B25" s="81" t="s">
        <v>242</v>
      </c>
      <c r="C25" s="82"/>
      <c r="D25" s="99" t="s">
        <v>243</v>
      </c>
      <c r="E25" s="206"/>
      <c r="F25" s="202" t="str">
        <f>VLOOKUP(B25,[1]LuongBC_T01!$B$277:$C$292,2,FALSE)</f>
        <v>0016100006675004</v>
      </c>
      <c r="G25" s="94" t="s">
        <v>231</v>
      </c>
      <c r="H25" s="83">
        <v>4</v>
      </c>
      <c r="I25" s="85">
        <v>5474872</v>
      </c>
      <c r="J25" s="302">
        <f t="shared" si="6"/>
        <v>328492.32</v>
      </c>
      <c r="K25" s="100"/>
      <c r="L25" s="85"/>
      <c r="M25" s="85">
        <f t="shared" si="0"/>
        <v>5474872</v>
      </c>
      <c r="N25" s="85"/>
      <c r="O25" s="85">
        <f t="shared" si="1"/>
        <v>0</v>
      </c>
      <c r="P25" s="85"/>
      <c r="Q25" s="85">
        <f t="shared" si="2"/>
        <v>5474872</v>
      </c>
      <c r="R25" s="85">
        <f t="shared" si="7"/>
        <v>437989.76</v>
      </c>
      <c r="S25" s="86">
        <f t="shared" si="8"/>
        <v>82123.08</v>
      </c>
      <c r="T25" s="85">
        <f t="shared" si="9"/>
        <v>54748.72</v>
      </c>
      <c r="U25" s="86"/>
      <c r="V25" s="86">
        <f t="shared" si="3"/>
        <v>574861.56000000006</v>
      </c>
      <c r="W25" s="86"/>
      <c r="X25" s="87"/>
      <c r="Y25" s="87"/>
      <c r="Z25" s="87"/>
      <c r="AA25" s="87"/>
      <c r="AB25" s="86">
        <f t="shared" si="4"/>
        <v>4900010.4399999995</v>
      </c>
      <c r="AC25" s="88" t="str">
        <f t="shared" si="5"/>
        <v>13</v>
      </c>
      <c r="AD25" s="89"/>
      <c r="AE25" s="89"/>
      <c r="AF25" s="96"/>
      <c r="AG25" s="97"/>
      <c r="AH25" s="97"/>
      <c r="AI25" s="97"/>
      <c r="AJ25" s="97"/>
      <c r="AK25" s="96"/>
      <c r="AL25" s="98"/>
    </row>
    <row r="26" spans="1:38" s="298" customFormat="1" ht="30.75" customHeight="1">
      <c r="A26" s="181" t="s">
        <v>22</v>
      </c>
      <c r="B26" s="81" t="s">
        <v>233</v>
      </c>
      <c r="C26" s="82"/>
      <c r="D26" s="99" t="s">
        <v>8</v>
      </c>
      <c r="E26" s="267"/>
      <c r="F26" s="202" t="str">
        <f>VLOOKUP(B26,[1]LuongBC_T01!$B$277:$C$292,2,FALSE)</f>
        <v>0016100006692006</v>
      </c>
      <c r="G26" s="94" t="s">
        <v>232</v>
      </c>
      <c r="H26" s="211">
        <v>11</v>
      </c>
      <c r="I26" s="85">
        <v>7559700</v>
      </c>
      <c r="J26" s="302">
        <f t="shared" si="6"/>
        <v>453582</v>
      </c>
      <c r="K26" s="100"/>
      <c r="L26" s="85"/>
      <c r="M26" s="85">
        <f t="shared" si="0"/>
        <v>7559700</v>
      </c>
      <c r="N26" s="85"/>
      <c r="O26" s="85">
        <f t="shared" si="1"/>
        <v>0</v>
      </c>
      <c r="P26" s="85"/>
      <c r="Q26" s="85">
        <f t="shared" si="2"/>
        <v>7559700</v>
      </c>
      <c r="R26" s="85">
        <f t="shared" si="7"/>
        <v>604776</v>
      </c>
      <c r="S26" s="86">
        <f t="shared" si="8"/>
        <v>113395.5</v>
      </c>
      <c r="T26" s="85">
        <f t="shared" si="9"/>
        <v>75597</v>
      </c>
      <c r="U26" s="86"/>
      <c r="V26" s="86">
        <f t="shared" si="3"/>
        <v>793768.5</v>
      </c>
      <c r="W26" s="132"/>
      <c r="X26" s="86"/>
      <c r="Y26" s="86"/>
      <c r="Z26" s="86"/>
      <c r="AA26" s="86"/>
      <c r="AB26" s="86">
        <f t="shared" si="4"/>
        <v>6765931.5</v>
      </c>
      <c r="AC26" s="88" t="str">
        <f t="shared" si="5"/>
        <v>14</v>
      </c>
      <c r="AD26" s="89"/>
      <c r="AE26" s="104"/>
      <c r="AF26" s="212"/>
      <c r="AG26" s="97"/>
      <c r="AH26" s="97"/>
      <c r="AJ26" s="125"/>
      <c r="AL26" s="98"/>
    </row>
    <row r="27" spans="1:38" s="298" customFormat="1" ht="29.25" customHeight="1">
      <c r="A27" s="181" t="s">
        <v>23</v>
      </c>
      <c r="B27" s="81" t="s">
        <v>234</v>
      </c>
      <c r="C27" s="82"/>
      <c r="D27" s="99" t="s">
        <v>8</v>
      </c>
      <c r="E27" s="267"/>
      <c r="F27" s="202" t="str">
        <f>VLOOKUP(B27,[1]LuongBC_T01!$B$277:$C$292,2,FALSE)</f>
        <v>0016100006677007</v>
      </c>
      <c r="G27" s="94" t="s">
        <v>232</v>
      </c>
      <c r="H27" s="211">
        <v>10</v>
      </c>
      <c r="I27" s="85">
        <v>7199714</v>
      </c>
      <c r="J27" s="302">
        <f t="shared" si="6"/>
        <v>431982.83999999997</v>
      </c>
      <c r="K27" s="100"/>
      <c r="L27" s="85"/>
      <c r="M27" s="85">
        <f t="shared" si="0"/>
        <v>7199714</v>
      </c>
      <c r="N27" s="85"/>
      <c r="O27" s="85">
        <f t="shared" si="1"/>
        <v>0</v>
      </c>
      <c r="P27" s="85"/>
      <c r="Q27" s="85">
        <f t="shared" si="2"/>
        <v>7199714</v>
      </c>
      <c r="R27" s="85">
        <f t="shared" si="7"/>
        <v>575977.12</v>
      </c>
      <c r="S27" s="86">
        <f t="shared" si="8"/>
        <v>107995.70999999999</v>
      </c>
      <c r="T27" s="85">
        <f t="shared" si="9"/>
        <v>71997.14</v>
      </c>
      <c r="U27" s="86"/>
      <c r="V27" s="86">
        <f t="shared" si="3"/>
        <v>755969.97</v>
      </c>
      <c r="W27" s="132"/>
      <c r="X27" s="86"/>
      <c r="Y27" s="86"/>
      <c r="Z27" s="86"/>
      <c r="AA27" s="86"/>
      <c r="AB27" s="86">
        <f t="shared" si="4"/>
        <v>6443744.0300000003</v>
      </c>
      <c r="AC27" s="88" t="str">
        <f t="shared" si="5"/>
        <v>15</v>
      </c>
      <c r="AD27" s="89"/>
      <c r="AE27" s="104"/>
      <c r="AF27" s="212"/>
      <c r="AG27" s="97"/>
      <c r="AH27" s="97"/>
      <c r="AJ27" s="125"/>
      <c r="AL27" s="98"/>
    </row>
    <row r="28" spans="1:38" s="298" customFormat="1" ht="29.25" customHeight="1">
      <c r="A28" s="181" t="s">
        <v>24</v>
      </c>
      <c r="B28" s="81" t="s">
        <v>239</v>
      </c>
      <c r="C28" s="82"/>
      <c r="D28" s="99" t="s">
        <v>8</v>
      </c>
      <c r="E28" s="206"/>
      <c r="F28" s="202"/>
      <c r="G28" s="84" t="s">
        <v>232</v>
      </c>
      <c r="H28" s="211">
        <v>2</v>
      </c>
      <c r="I28" s="85">
        <v>4641000</v>
      </c>
      <c r="J28" s="302">
        <f t="shared" si="6"/>
        <v>278460</v>
      </c>
      <c r="K28" s="100"/>
      <c r="L28" s="85"/>
      <c r="M28" s="85">
        <f t="shared" si="0"/>
        <v>4641000</v>
      </c>
      <c r="N28" s="85"/>
      <c r="O28" s="85">
        <f t="shared" si="1"/>
        <v>0</v>
      </c>
      <c r="P28" s="85"/>
      <c r="Q28" s="85">
        <f t="shared" si="2"/>
        <v>4641000</v>
      </c>
      <c r="R28" s="85">
        <f t="shared" si="7"/>
        <v>371280</v>
      </c>
      <c r="S28" s="86">
        <f t="shared" si="8"/>
        <v>69615</v>
      </c>
      <c r="T28" s="85">
        <f t="shared" si="9"/>
        <v>46410</v>
      </c>
      <c r="U28" s="86"/>
      <c r="V28" s="86">
        <f t="shared" si="3"/>
        <v>487305</v>
      </c>
      <c r="W28" s="86"/>
      <c r="X28" s="86"/>
      <c r="Y28" s="132"/>
      <c r="Z28" s="86"/>
      <c r="AA28" s="86"/>
      <c r="AB28" s="86">
        <f t="shared" si="4"/>
        <v>4153695</v>
      </c>
      <c r="AC28" s="88" t="str">
        <f t="shared" si="5"/>
        <v>16</v>
      </c>
      <c r="AD28" s="89"/>
      <c r="AE28" s="89"/>
      <c r="AF28" s="107"/>
      <c r="AG28" s="103"/>
      <c r="AL28" s="297"/>
    </row>
    <row r="29" spans="1:38" s="298" customFormat="1" ht="28.5" customHeight="1">
      <c r="A29" s="181" t="s">
        <v>25</v>
      </c>
      <c r="B29" s="81" t="s">
        <v>121</v>
      </c>
      <c r="C29" s="82" t="s">
        <v>48</v>
      </c>
      <c r="D29" s="99" t="s">
        <v>243</v>
      </c>
      <c r="E29" s="206" t="str">
        <f>VLOOKUP(B29,[2]T3!$B$2:$D$328,3,FALSE)</f>
        <v>025804258</v>
      </c>
      <c r="F29" s="202" t="s">
        <v>193</v>
      </c>
      <c r="G29" s="94" t="s">
        <v>231</v>
      </c>
      <c r="H29" s="83">
        <v>5</v>
      </c>
      <c r="I29" s="85">
        <v>5748615</v>
      </c>
      <c r="J29" s="302">
        <f t="shared" si="6"/>
        <v>344916.89999999997</v>
      </c>
      <c r="K29" s="100"/>
      <c r="L29" s="85"/>
      <c r="M29" s="85">
        <f t="shared" si="0"/>
        <v>5748615</v>
      </c>
      <c r="N29" s="85"/>
      <c r="O29" s="85">
        <f t="shared" si="1"/>
        <v>0</v>
      </c>
      <c r="P29" s="85"/>
      <c r="Q29" s="85">
        <f t="shared" si="2"/>
        <v>5748615</v>
      </c>
      <c r="R29" s="85">
        <f t="shared" si="7"/>
        <v>459889.2</v>
      </c>
      <c r="S29" s="86">
        <f t="shared" si="8"/>
        <v>86229.224999999991</v>
      </c>
      <c r="T29" s="85">
        <f t="shared" si="9"/>
        <v>57486.15</v>
      </c>
      <c r="U29" s="86"/>
      <c r="V29" s="86">
        <f t="shared" si="3"/>
        <v>603604.57500000007</v>
      </c>
      <c r="W29" s="86"/>
      <c r="X29" s="87"/>
      <c r="Y29" s="87"/>
      <c r="Z29" s="87"/>
      <c r="AA29" s="87"/>
      <c r="AB29" s="86">
        <f t="shared" si="4"/>
        <v>5145010.4249999998</v>
      </c>
      <c r="AC29" s="88" t="str">
        <f t="shared" si="5"/>
        <v>17</v>
      </c>
      <c r="AD29" s="89"/>
      <c r="AE29" s="89" t="s">
        <v>94</v>
      </c>
      <c r="AF29" s="96">
        <v>1786995</v>
      </c>
      <c r="AG29" s="97">
        <f>AF29/26</f>
        <v>68730.576923076922</v>
      </c>
      <c r="AH29" s="97"/>
      <c r="AI29" s="97" t="e">
        <f>#REF!+48000</f>
        <v>#REF!</v>
      </c>
      <c r="AJ29" s="97"/>
      <c r="AK29" s="96"/>
      <c r="AL29" s="98"/>
    </row>
    <row r="30" spans="1:38" s="91" customFormat="1" ht="28.5" customHeight="1">
      <c r="A30" s="181" t="s">
        <v>76</v>
      </c>
      <c r="B30" s="81" t="s">
        <v>127</v>
      </c>
      <c r="C30" s="82" t="s">
        <v>50</v>
      </c>
      <c r="D30" s="99" t="s">
        <v>260</v>
      </c>
      <c r="E30" s="206" t="str">
        <f>VLOOKUP(B30,[2]T3!$B$2:$D$328,3,FALSE)</f>
        <v>025177943</v>
      </c>
      <c r="F30" s="188" t="s">
        <v>201</v>
      </c>
      <c r="G30" s="94" t="s">
        <v>231</v>
      </c>
      <c r="H30" s="83">
        <v>4</v>
      </c>
      <c r="I30" s="85">
        <v>5474872</v>
      </c>
      <c r="J30" s="302">
        <f t="shared" si="6"/>
        <v>328492.32</v>
      </c>
      <c r="K30" s="100"/>
      <c r="L30" s="85"/>
      <c r="M30" s="85">
        <f t="shared" si="0"/>
        <v>5474872</v>
      </c>
      <c r="N30" s="85"/>
      <c r="O30" s="85">
        <f t="shared" si="1"/>
        <v>0</v>
      </c>
      <c r="P30" s="85"/>
      <c r="Q30" s="85">
        <f t="shared" si="2"/>
        <v>5474872</v>
      </c>
      <c r="R30" s="85">
        <f t="shared" si="7"/>
        <v>437989.76</v>
      </c>
      <c r="S30" s="86">
        <f t="shared" si="8"/>
        <v>82123.08</v>
      </c>
      <c r="T30" s="85">
        <f t="shared" si="9"/>
        <v>54748.72</v>
      </c>
      <c r="U30" s="86"/>
      <c r="V30" s="86">
        <f t="shared" si="3"/>
        <v>574861.56000000006</v>
      </c>
      <c r="W30" s="86"/>
      <c r="X30" s="86"/>
      <c r="Y30" s="86"/>
      <c r="Z30" s="86"/>
      <c r="AA30" s="86"/>
      <c r="AB30" s="86">
        <f t="shared" si="4"/>
        <v>4900010.4399999995</v>
      </c>
      <c r="AC30" s="88" t="str">
        <f t="shared" si="5"/>
        <v>18</v>
      </c>
      <c r="AD30" s="89"/>
      <c r="AE30" s="116">
        <f>2.67-2.41</f>
        <v>0.25999999999999979</v>
      </c>
      <c r="AF30" s="93" t="s">
        <v>51</v>
      </c>
      <c r="AG30" s="117"/>
      <c r="AH30" s="118"/>
      <c r="AL30" s="98"/>
    </row>
    <row r="31" spans="1:38" s="91" customFormat="1" ht="27.75" customHeight="1">
      <c r="A31" s="181" t="s">
        <v>77</v>
      </c>
      <c r="B31" s="81" t="s">
        <v>131</v>
      </c>
      <c r="C31" s="82" t="s">
        <v>18</v>
      </c>
      <c r="D31" s="99" t="s">
        <v>260</v>
      </c>
      <c r="E31" s="206" t="str">
        <f>VLOOKUP(B31,[2]T3!$B$2:$D$328,3,FALSE)</f>
        <v>025632449</v>
      </c>
      <c r="F31" s="188" t="s">
        <v>206</v>
      </c>
      <c r="G31" s="94" t="s">
        <v>231</v>
      </c>
      <c r="H31" s="211">
        <v>2</v>
      </c>
      <c r="I31" s="85">
        <v>4965870</v>
      </c>
      <c r="J31" s="302">
        <f t="shared" si="6"/>
        <v>297952.2</v>
      </c>
      <c r="K31" s="100"/>
      <c r="L31" s="85"/>
      <c r="M31" s="85">
        <f t="shared" si="0"/>
        <v>4965870</v>
      </c>
      <c r="N31" s="85"/>
      <c r="O31" s="85">
        <f t="shared" si="1"/>
        <v>0</v>
      </c>
      <c r="P31" s="85"/>
      <c r="Q31" s="85">
        <f t="shared" si="2"/>
        <v>4965870</v>
      </c>
      <c r="R31" s="85">
        <f t="shared" si="7"/>
        <v>397269.60000000003</v>
      </c>
      <c r="S31" s="86">
        <f t="shared" si="8"/>
        <v>74488.05</v>
      </c>
      <c r="T31" s="85">
        <f t="shared" si="9"/>
        <v>49658.700000000004</v>
      </c>
      <c r="U31" s="86"/>
      <c r="V31" s="86">
        <f t="shared" si="3"/>
        <v>521416.35000000003</v>
      </c>
      <c r="W31" s="86"/>
      <c r="X31" s="86"/>
      <c r="Y31" s="86"/>
      <c r="Z31" s="86"/>
      <c r="AA31" s="86"/>
      <c r="AB31" s="86">
        <f t="shared" si="4"/>
        <v>4444453.6500000004</v>
      </c>
      <c r="AC31" s="88" t="str">
        <f t="shared" si="5"/>
        <v>19</v>
      </c>
      <c r="AD31" s="89"/>
      <c r="AE31" s="107" t="s">
        <v>73</v>
      </c>
      <c r="AF31" s="96"/>
      <c r="AG31" s="107" t="s">
        <v>99</v>
      </c>
      <c r="AH31" s="97"/>
      <c r="AI31" s="97"/>
      <c r="AL31" s="98"/>
    </row>
    <row r="32" spans="1:38" s="91" customFormat="1" ht="25.5" customHeight="1">
      <c r="A32" s="181" t="s">
        <v>78</v>
      </c>
      <c r="B32" s="81" t="s">
        <v>262</v>
      </c>
      <c r="C32" s="82"/>
      <c r="D32" s="99" t="s">
        <v>263</v>
      </c>
      <c r="E32" s="206"/>
      <c r="F32" s="202"/>
      <c r="G32" s="84" t="s">
        <v>232</v>
      </c>
      <c r="H32" s="211">
        <v>1</v>
      </c>
      <c r="I32" s="85">
        <v>4420000</v>
      </c>
      <c r="J32" s="302">
        <f t="shared" si="6"/>
        <v>265200</v>
      </c>
      <c r="K32" s="100"/>
      <c r="L32" s="85"/>
      <c r="M32" s="85">
        <f t="shared" si="0"/>
        <v>4420000</v>
      </c>
      <c r="N32" s="85"/>
      <c r="O32" s="85">
        <f t="shared" si="1"/>
        <v>0</v>
      </c>
      <c r="P32" s="85"/>
      <c r="Q32" s="85">
        <f t="shared" si="2"/>
        <v>4420000</v>
      </c>
      <c r="R32" s="85">
        <f t="shared" si="7"/>
        <v>353600</v>
      </c>
      <c r="S32" s="86">
        <f t="shared" si="8"/>
        <v>66300</v>
      </c>
      <c r="T32" s="85">
        <f t="shared" si="9"/>
        <v>44200</v>
      </c>
      <c r="U32" s="86"/>
      <c r="V32" s="86">
        <f t="shared" si="3"/>
        <v>464100</v>
      </c>
      <c r="W32" s="86"/>
      <c r="X32" s="87"/>
      <c r="Y32" s="87"/>
      <c r="Z32" s="87"/>
      <c r="AA32" s="87"/>
      <c r="AB32" s="86">
        <f t="shared" si="4"/>
        <v>3955900</v>
      </c>
      <c r="AC32" s="88" t="str">
        <f t="shared" si="5"/>
        <v>20</v>
      </c>
      <c r="AD32" s="233"/>
      <c r="AE32" s="233" t="s">
        <v>264</v>
      </c>
      <c r="AF32" s="104"/>
      <c r="AG32" s="125"/>
      <c r="AH32" s="298"/>
      <c r="AL32" s="92"/>
    </row>
    <row r="33" spans="1:38" s="91" customFormat="1" ht="38.25" customHeight="1">
      <c r="A33" s="181" t="s">
        <v>79</v>
      </c>
      <c r="B33" s="81" t="s">
        <v>282</v>
      </c>
      <c r="C33" s="82"/>
      <c r="D33" s="99" t="s">
        <v>283</v>
      </c>
      <c r="E33" s="206"/>
      <c r="F33" s="202"/>
      <c r="G33" s="84" t="s">
        <v>232</v>
      </c>
      <c r="H33" s="211">
        <v>1</v>
      </c>
      <c r="I33" s="85">
        <v>4420000</v>
      </c>
      <c r="J33" s="302">
        <f t="shared" si="6"/>
        <v>265200</v>
      </c>
      <c r="K33" s="100"/>
      <c r="L33" s="85"/>
      <c r="M33" s="85">
        <f t="shared" si="0"/>
        <v>4420000</v>
      </c>
      <c r="N33" s="85"/>
      <c r="O33" s="85">
        <f t="shared" si="1"/>
        <v>0</v>
      </c>
      <c r="P33" s="85"/>
      <c r="Q33" s="85">
        <f t="shared" si="2"/>
        <v>4420000</v>
      </c>
      <c r="R33" s="85">
        <f t="shared" si="7"/>
        <v>353600</v>
      </c>
      <c r="S33" s="86">
        <f t="shared" si="8"/>
        <v>66300</v>
      </c>
      <c r="T33" s="85">
        <f t="shared" si="9"/>
        <v>44200</v>
      </c>
      <c r="U33" s="86"/>
      <c r="V33" s="86">
        <f t="shared" si="3"/>
        <v>464100</v>
      </c>
      <c r="W33" s="86"/>
      <c r="X33" s="87"/>
      <c r="Y33" s="87"/>
      <c r="Z33" s="87"/>
      <c r="AA33" s="87"/>
      <c r="AB33" s="86">
        <f t="shared" si="4"/>
        <v>3955900</v>
      </c>
      <c r="AC33" s="88" t="str">
        <f t="shared" si="5"/>
        <v>21</v>
      </c>
      <c r="AD33" s="233"/>
      <c r="AE33" s="233" t="s">
        <v>293</v>
      </c>
      <c r="AF33" s="104"/>
      <c r="AG33" s="125"/>
      <c r="AH33" s="298"/>
      <c r="AL33" s="92"/>
    </row>
    <row r="34" spans="1:38" s="91" customFormat="1" ht="31.5" customHeight="1">
      <c r="A34" s="181" t="s">
        <v>80</v>
      </c>
      <c r="B34" s="81" t="s">
        <v>323</v>
      </c>
      <c r="C34" s="82"/>
      <c r="D34" s="99" t="s">
        <v>225</v>
      </c>
      <c r="E34" s="206"/>
      <c r="F34" s="188"/>
      <c r="G34" s="84" t="s">
        <v>232</v>
      </c>
      <c r="H34" s="211">
        <v>12</v>
      </c>
      <c r="I34" s="85">
        <v>7559700</v>
      </c>
      <c r="J34" s="302">
        <f t="shared" si="6"/>
        <v>453582</v>
      </c>
      <c r="K34" s="268">
        <v>0.55000000000000004</v>
      </c>
      <c r="L34" s="100">
        <f>I34*K34</f>
        <v>4157835.0000000005</v>
      </c>
      <c r="M34" s="85">
        <f t="shared" si="0"/>
        <v>11717535</v>
      </c>
      <c r="N34" s="85"/>
      <c r="O34" s="85">
        <f t="shared" si="1"/>
        <v>0</v>
      </c>
      <c r="P34" s="85"/>
      <c r="Q34" s="85">
        <f t="shared" si="2"/>
        <v>11717535</v>
      </c>
      <c r="R34" s="85">
        <f t="shared" si="7"/>
        <v>937402.8</v>
      </c>
      <c r="S34" s="86">
        <f t="shared" si="8"/>
        <v>175763.02499999999</v>
      </c>
      <c r="T34" s="85">
        <f t="shared" si="9"/>
        <v>117175.35</v>
      </c>
      <c r="U34" s="86"/>
      <c r="V34" s="86">
        <f t="shared" si="3"/>
        <v>1230341.175</v>
      </c>
      <c r="W34" s="86"/>
      <c r="X34" s="86"/>
      <c r="Y34" s="132"/>
      <c r="Z34" s="86"/>
      <c r="AA34" s="86"/>
      <c r="AB34" s="86">
        <f t="shared" si="4"/>
        <v>10487193.824999999</v>
      </c>
      <c r="AC34" s="88" t="str">
        <f t="shared" si="5"/>
        <v>22</v>
      </c>
      <c r="AD34" s="89"/>
      <c r="AE34" s="89"/>
      <c r="AF34" s="107"/>
      <c r="AG34" s="103"/>
      <c r="AH34" s="298"/>
      <c r="AL34" s="92"/>
    </row>
    <row r="35" spans="1:38" s="91" customFormat="1" ht="39.75" customHeight="1">
      <c r="A35" s="181" t="s">
        <v>81</v>
      </c>
      <c r="B35" s="81" t="s">
        <v>284</v>
      </c>
      <c r="C35" s="82"/>
      <c r="D35" s="99" t="s">
        <v>283</v>
      </c>
      <c r="E35" s="206"/>
      <c r="F35" s="202"/>
      <c r="G35" s="84" t="s">
        <v>232</v>
      </c>
      <c r="H35" s="211">
        <v>1</v>
      </c>
      <c r="I35" s="85">
        <v>4420000</v>
      </c>
      <c r="J35" s="302">
        <f t="shared" si="6"/>
        <v>265200</v>
      </c>
      <c r="K35" s="100"/>
      <c r="L35" s="85"/>
      <c r="M35" s="85">
        <f t="shared" si="0"/>
        <v>4420000</v>
      </c>
      <c r="N35" s="85"/>
      <c r="O35" s="85">
        <f t="shared" si="1"/>
        <v>0</v>
      </c>
      <c r="P35" s="85"/>
      <c r="Q35" s="85">
        <f t="shared" si="2"/>
        <v>4420000</v>
      </c>
      <c r="R35" s="85">
        <f t="shared" si="7"/>
        <v>353600</v>
      </c>
      <c r="S35" s="86">
        <f t="shared" si="8"/>
        <v>66300</v>
      </c>
      <c r="T35" s="85">
        <f t="shared" si="9"/>
        <v>44200</v>
      </c>
      <c r="U35" s="86"/>
      <c r="V35" s="86">
        <f t="shared" si="3"/>
        <v>464100</v>
      </c>
      <c r="W35" s="86"/>
      <c r="X35" s="87"/>
      <c r="Y35" s="87"/>
      <c r="Z35" s="87"/>
      <c r="AA35" s="87"/>
      <c r="AB35" s="86">
        <f t="shared" si="4"/>
        <v>3955900</v>
      </c>
      <c r="AC35" s="88" t="str">
        <f t="shared" si="5"/>
        <v>23</v>
      </c>
      <c r="AD35" s="233"/>
      <c r="AE35" s="233" t="s">
        <v>294</v>
      </c>
      <c r="AF35" s="104"/>
      <c r="AG35" s="125"/>
      <c r="AH35" s="298"/>
      <c r="AL35" s="92"/>
    </row>
    <row r="36" spans="1:38" s="298" customFormat="1" ht="30" customHeight="1">
      <c r="A36" s="181" t="s">
        <v>82</v>
      </c>
      <c r="B36" s="81" t="s">
        <v>240</v>
      </c>
      <c r="C36" s="82"/>
      <c r="D36" s="99" t="s">
        <v>241</v>
      </c>
      <c r="E36" s="206"/>
      <c r="F36" s="202"/>
      <c r="G36" s="94" t="s">
        <v>231</v>
      </c>
      <c r="H36" s="83">
        <v>7</v>
      </c>
      <c r="I36" s="85">
        <v>6337848</v>
      </c>
      <c r="J36" s="302">
        <f t="shared" si="6"/>
        <v>380270.88</v>
      </c>
      <c r="K36" s="100"/>
      <c r="L36" s="85"/>
      <c r="M36" s="85">
        <f t="shared" si="0"/>
        <v>6337848</v>
      </c>
      <c r="N36" s="85"/>
      <c r="O36" s="85">
        <f t="shared" si="1"/>
        <v>0</v>
      </c>
      <c r="P36" s="85"/>
      <c r="Q36" s="85">
        <f t="shared" si="2"/>
        <v>6337848</v>
      </c>
      <c r="R36" s="85">
        <f>M36*8%+1</f>
        <v>507028.84</v>
      </c>
      <c r="S36" s="86">
        <f t="shared" si="8"/>
        <v>95067.72</v>
      </c>
      <c r="T36" s="85">
        <f t="shared" si="9"/>
        <v>63378.48</v>
      </c>
      <c r="U36" s="86"/>
      <c r="V36" s="86">
        <f t="shared" si="3"/>
        <v>665475.04</v>
      </c>
      <c r="W36" s="86"/>
      <c r="X36" s="87"/>
      <c r="Y36" s="87"/>
      <c r="Z36" s="87"/>
      <c r="AA36" s="87">
        <v>852000</v>
      </c>
      <c r="AB36" s="86">
        <f t="shared" si="4"/>
        <v>6524372.96</v>
      </c>
      <c r="AC36" s="88"/>
      <c r="AD36" s="89"/>
      <c r="AE36" s="89"/>
      <c r="AF36" s="96"/>
      <c r="AG36" s="97"/>
      <c r="AH36" s="97"/>
      <c r="AI36" s="97"/>
      <c r="AJ36" s="97"/>
      <c r="AK36" s="96"/>
      <c r="AL36" s="98"/>
    </row>
    <row r="37" spans="1:38" s="298" customFormat="1" ht="24.75" customHeight="1">
      <c r="A37" s="181" t="s">
        <v>83</v>
      </c>
      <c r="B37" s="81" t="s">
        <v>120</v>
      </c>
      <c r="C37" s="82" t="s">
        <v>55</v>
      </c>
      <c r="D37" s="99" t="s">
        <v>61</v>
      </c>
      <c r="E37" s="206" t="str">
        <f>VLOOKUP(B37,[2]T3!$B$2:$D$328,3,FALSE)</f>
        <v>230718298</v>
      </c>
      <c r="F37" s="188" t="s">
        <v>192</v>
      </c>
      <c r="G37" s="94" t="s">
        <v>228</v>
      </c>
      <c r="H37" s="211">
        <v>5</v>
      </c>
      <c r="I37" s="85">
        <v>6151018</v>
      </c>
      <c r="J37" s="302">
        <f t="shared" si="6"/>
        <v>369061.07999999996</v>
      </c>
      <c r="K37" s="100"/>
      <c r="L37" s="85"/>
      <c r="M37" s="85">
        <f t="shared" si="0"/>
        <v>6151018</v>
      </c>
      <c r="N37" s="85">
        <v>0</v>
      </c>
      <c r="O37" s="85">
        <f t="shared" si="1"/>
        <v>0</v>
      </c>
      <c r="P37" s="85"/>
      <c r="Q37" s="85">
        <f t="shared" si="2"/>
        <v>6151018</v>
      </c>
      <c r="R37" s="85">
        <f t="shared" ref="R37:R60" si="10">M37*8%</f>
        <v>492081.44</v>
      </c>
      <c r="S37" s="86">
        <f t="shared" si="8"/>
        <v>92265.26999999999</v>
      </c>
      <c r="T37" s="85">
        <f t="shared" si="9"/>
        <v>61510.18</v>
      </c>
      <c r="U37" s="86"/>
      <c r="V37" s="86">
        <f t="shared" si="3"/>
        <v>645856.89</v>
      </c>
      <c r="W37" s="86"/>
      <c r="X37" s="87"/>
      <c r="Y37" s="87"/>
      <c r="Z37" s="87"/>
      <c r="AA37" s="87"/>
      <c r="AB37" s="86">
        <f t="shared" si="4"/>
        <v>5505161.1100000003</v>
      </c>
      <c r="AC37" s="88" t="str">
        <f t="shared" ref="AC37:AC61" si="11">A37</f>
        <v>25</v>
      </c>
      <c r="AD37" s="89"/>
      <c r="AE37" s="89" t="s">
        <v>93</v>
      </c>
      <c r="AF37" s="95"/>
      <c r="AH37" s="298" t="e">
        <f>#REF!-#REF!</f>
        <v>#REF!</v>
      </c>
      <c r="AI37" s="103"/>
      <c r="AL37" s="297"/>
    </row>
    <row r="38" spans="1:38" s="91" customFormat="1" ht="24.75" customHeight="1">
      <c r="A38" s="181" t="s">
        <v>84</v>
      </c>
      <c r="B38" s="81" t="s">
        <v>275</v>
      </c>
      <c r="C38" s="82"/>
      <c r="D38" s="99" t="s">
        <v>276</v>
      </c>
      <c r="E38" s="206"/>
      <c r="F38" s="202"/>
      <c r="G38" s="84" t="s">
        <v>228</v>
      </c>
      <c r="H38" s="211">
        <v>1</v>
      </c>
      <c r="I38" s="85">
        <v>5060458</v>
      </c>
      <c r="J38" s="302">
        <f t="shared" si="6"/>
        <v>303627.48</v>
      </c>
      <c r="K38" s="100"/>
      <c r="L38" s="85"/>
      <c r="M38" s="85">
        <f t="shared" si="0"/>
        <v>5060458</v>
      </c>
      <c r="N38" s="85"/>
      <c r="O38" s="85">
        <f t="shared" si="1"/>
        <v>0</v>
      </c>
      <c r="P38" s="85"/>
      <c r="Q38" s="85">
        <f t="shared" si="2"/>
        <v>5060458</v>
      </c>
      <c r="R38" s="85">
        <f t="shared" si="10"/>
        <v>404836.64</v>
      </c>
      <c r="S38" s="86">
        <f t="shared" si="8"/>
        <v>75906.87</v>
      </c>
      <c r="T38" s="85">
        <f t="shared" si="9"/>
        <v>50604.58</v>
      </c>
      <c r="U38" s="86"/>
      <c r="V38" s="86">
        <f t="shared" si="3"/>
        <v>531348.09</v>
      </c>
      <c r="W38" s="86"/>
      <c r="X38" s="87"/>
      <c r="Y38" s="87"/>
      <c r="Z38" s="87"/>
      <c r="AA38" s="87"/>
      <c r="AB38" s="86">
        <f t="shared" si="4"/>
        <v>4529109.91</v>
      </c>
      <c r="AC38" s="88" t="str">
        <f t="shared" si="11"/>
        <v>26</v>
      </c>
      <c r="AD38" s="233"/>
      <c r="AE38" s="233" t="s">
        <v>279</v>
      </c>
      <c r="AF38" s="104"/>
      <c r="AG38" s="125"/>
      <c r="AH38" s="298"/>
      <c r="AL38" s="92"/>
    </row>
    <row r="39" spans="1:38" s="91" customFormat="1" ht="33" customHeight="1">
      <c r="A39" s="181" t="s">
        <v>85</v>
      </c>
      <c r="B39" s="81" t="s">
        <v>305</v>
      </c>
      <c r="C39" s="82"/>
      <c r="D39" s="99" t="s">
        <v>304</v>
      </c>
      <c r="E39" s="206"/>
      <c r="F39" s="266" t="s">
        <v>315</v>
      </c>
      <c r="G39" s="84" t="s">
        <v>228</v>
      </c>
      <c r="H39" s="211">
        <v>1</v>
      </c>
      <c r="I39" s="85">
        <v>5060458</v>
      </c>
      <c r="J39" s="302">
        <f t="shared" si="6"/>
        <v>303627.48</v>
      </c>
      <c r="K39" s="100"/>
      <c r="L39" s="85"/>
      <c r="M39" s="85">
        <f t="shared" si="0"/>
        <v>5060458</v>
      </c>
      <c r="N39" s="85"/>
      <c r="O39" s="85">
        <f t="shared" si="1"/>
        <v>0</v>
      </c>
      <c r="P39" s="85"/>
      <c r="Q39" s="85">
        <f t="shared" si="2"/>
        <v>5060458</v>
      </c>
      <c r="R39" s="85">
        <f t="shared" si="10"/>
        <v>404836.64</v>
      </c>
      <c r="S39" s="86">
        <f t="shared" si="8"/>
        <v>75906.87</v>
      </c>
      <c r="T39" s="85">
        <f t="shared" si="9"/>
        <v>50604.58</v>
      </c>
      <c r="U39" s="86"/>
      <c r="V39" s="86">
        <f t="shared" si="3"/>
        <v>531348.09</v>
      </c>
      <c r="W39" s="86"/>
      <c r="X39" s="87"/>
      <c r="Y39" s="87"/>
      <c r="Z39" s="87"/>
      <c r="AA39" s="87"/>
      <c r="AB39" s="86">
        <f t="shared" si="4"/>
        <v>4529109.91</v>
      </c>
      <c r="AC39" s="88" t="str">
        <f t="shared" si="11"/>
        <v>27</v>
      </c>
      <c r="AD39" s="233"/>
      <c r="AE39" s="265" t="s">
        <v>306</v>
      </c>
      <c r="AF39" s="104"/>
      <c r="AG39" s="125"/>
      <c r="AH39" s="298"/>
      <c r="AL39" s="92"/>
    </row>
    <row r="40" spans="1:38" s="91" customFormat="1" ht="36.75" customHeight="1">
      <c r="A40" s="181" t="s">
        <v>86</v>
      </c>
      <c r="B40" s="81" t="s">
        <v>125</v>
      </c>
      <c r="C40" s="82" t="s">
        <v>56</v>
      </c>
      <c r="D40" s="99" t="s">
        <v>159</v>
      </c>
      <c r="E40" s="205" t="s">
        <v>223</v>
      </c>
      <c r="F40" s="188" t="s">
        <v>200</v>
      </c>
      <c r="G40" s="94" t="s">
        <v>228</v>
      </c>
      <c r="H40" s="213">
        <v>7</v>
      </c>
      <c r="I40" s="85">
        <v>6781498</v>
      </c>
      <c r="J40" s="302">
        <f t="shared" si="6"/>
        <v>406889.88</v>
      </c>
      <c r="K40" s="100"/>
      <c r="L40" s="85"/>
      <c r="M40" s="85">
        <f t="shared" si="0"/>
        <v>6781498</v>
      </c>
      <c r="N40" s="85"/>
      <c r="O40" s="85">
        <f t="shared" si="1"/>
        <v>0</v>
      </c>
      <c r="P40" s="85"/>
      <c r="Q40" s="85">
        <f t="shared" si="2"/>
        <v>6781498</v>
      </c>
      <c r="R40" s="85">
        <f t="shared" si="10"/>
        <v>542519.84</v>
      </c>
      <c r="S40" s="86">
        <f t="shared" si="8"/>
        <v>101722.47</v>
      </c>
      <c r="T40" s="85">
        <f t="shared" si="9"/>
        <v>67814.98</v>
      </c>
      <c r="U40" s="86"/>
      <c r="V40" s="86">
        <f t="shared" si="3"/>
        <v>712057.28999999992</v>
      </c>
      <c r="W40" s="86"/>
      <c r="X40" s="86"/>
      <c r="Y40" s="86"/>
      <c r="Z40" s="86"/>
      <c r="AA40" s="86"/>
      <c r="AB40" s="86">
        <f t="shared" si="4"/>
        <v>6069440.71</v>
      </c>
      <c r="AC40" s="88" t="str">
        <f t="shared" si="11"/>
        <v>28</v>
      </c>
      <c r="AD40" s="89"/>
      <c r="AE40" s="90" t="s">
        <v>60</v>
      </c>
      <c r="AF40" s="133"/>
      <c r="AG40" s="91" t="e">
        <f>AG51*15</f>
        <v>#REF!</v>
      </c>
      <c r="AH40" s="298"/>
      <c r="AL40" s="92"/>
    </row>
    <row r="41" spans="1:38" s="91" customFormat="1" ht="42.75" customHeight="1">
      <c r="A41" s="181" t="s">
        <v>87</v>
      </c>
      <c r="B41" s="81" t="s">
        <v>268</v>
      </c>
      <c r="C41" s="82"/>
      <c r="D41" s="99" t="s">
        <v>272</v>
      </c>
      <c r="E41" s="206"/>
      <c r="F41" s="202" t="s">
        <v>302</v>
      </c>
      <c r="G41" s="84" t="s">
        <v>228</v>
      </c>
      <c r="H41" s="211">
        <v>1</v>
      </c>
      <c r="I41" s="85">
        <v>5060458</v>
      </c>
      <c r="J41" s="302">
        <f t="shared" si="6"/>
        <v>303627.48</v>
      </c>
      <c r="K41" s="100"/>
      <c r="L41" s="85"/>
      <c r="M41" s="85">
        <f t="shared" si="0"/>
        <v>5060458</v>
      </c>
      <c r="N41" s="85"/>
      <c r="O41" s="85">
        <f t="shared" si="1"/>
        <v>0</v>
      </c>
      <c r="P41" s="85"/>
      <c r="Q41" s="85">
        <f t="shared" si="2"/>
        <v>5060458</v>
      </c>
      <c r="R41" s="85">
        <f t="shared" si="10"/>
        <v>404836.64</v>
      </c>
      <c r="S41" s="86">
        <f t="shared" si="8"/>
        <v>75906.87</v>
      </c>
      <c r="T41" s="85">
        <f t="shared" si="9"/>
        <v>50604.58</v>
      </c>
      <c r="U41" s="86"/>
      <c r="V41" s="86">
        <f t="shared" si="3"/>
        <v>531348.09</v>
      </c>
      <c r="W41" s="86"/>
      <c r="X41" s="87"/>
      <c r="Y41" s="87"/>
      <c r="Z41" s="87"/>
      <c r="AA41" s="87"/>
      <c r="AB41" s="86">
        <f t="shared" si="4"/>
        <v>4529109.91</v>
      </c>
      <c r="AC41" s="88" t="str">
        <f t="shared" si="11"/>
        <v>29</v>
      </c>
      <c r="AD41" s="233"/>
      <c r="AE41" s="233" t="s">
        <v>269</v>
      </c>
      <c r="AF41" s="104"/>
      <c r="AG41" s="125"/>
      <c r="AH41" s="298"/>
      <c r="AL41" s="92"/>
    </row>
    <row r="42" spans="1:38" s="298" customFormat="1" ht="33" customHeight="1">
      <c r="A42" s="181" t="s">
        <v>88</v>
      </c>
      <c r="B42" s="124" t="s">
        <v>117</v>
      </c>
      <c r="C42" s="82" t="s">
        <v>7</v>
      </c>
      <c r="D42" s="99" t="s">
        <v>225</v>
      </c>
      <c r="E42" s="204" t="s">
        <v>219</v>
      </c>
      <c r="F42" s="202" t="s">
        <v>189</v>
      </c>
      <c r="G42" s="94" t="s">
        <v>231</v>
      </c>
      <c r="H42" s="211">
        <v>4</v>
      </c>
      <c r="I42" s="85">
        <v>5474872</v>
      </c>
      <c r="J42" s="302">
        <f t="shared" si="6"/>
        <v>328492.32</v>
      </c>
      <c r="K42" s="100"/>
      <c r="L42" s="85"/>
      <c r="M42" s="85">
        <f t="shared" si="0"/>
        <v>5474872</v>
      </c>
      <c r="N42" s="85"/>
      <c r="O42" s="85">
        <f t="shared" si="1"/>
        <v>0</v>
      </c>
      <c r="P42" s="85"/>
      <c r="Q42" s="85">
        <f t="shared" si="2"/>
        <v>5474872</v>
      </c>
      <c r="R42" s="85">
        <f t="shared" si="10"/>
        <v>437989.76</v>
      </c>
      <c r="S42" s="86">
        <f t="shared" si="8"/>
        <v>82123.08</v>
      </c>
      <c r="T42" s="85">
        <f t="shared" si="9"/>
        <v>54748.72</v>
      </c>
      <c r="U42" s="86"/>
      <c r="V42" s="86">
        <f t="shared" si="3"/>
        <v>574861.56000000006</v>
      </c>
      <c r="W42" s="132"/>
      <c r="X42" s="86"/>
      <c r="Y42" s="132"/>
      <c r="Z42" s="86"/>
      <c r="AA42" s="86"/>
      <c r="AB42" s="86">
        <f t="shared" si="4"/>
        <v>4900010.4399999995</v>
      </c>
      <c r="AC42" s="88" t="str">
        <f t="shared" si="11"/>
        <v>30</v>
      </c>
      <c r="AD42" s="89" t="s">
        <v>332</v>
      </c>
      <c r="AE42" s="104">
        <f>AE22*10.5%</f>
        <v>486013.5</v>
      </c>
      <c r="AF42" s="652"/>
      <c r="AG42" s="653"/>
      <c r="AH42" s="653"/>
      <c r="AI42" s="653"/>
      <c r="AL42" s="106"/>
    </row>
    <row r="43" spans="1:38" s="91" customFormat="1" ht="37.5" customHeight="1">
      <c r="A43" s="181" t="s">
        <v>89</v>
      </c>
      <c r="B43" s="81" t="s">
        <v>132</v>
      </c>
      <c r="C43" s="82" t="s">
        <v>105</v>
      </c>
      <c r="D43" s="99" t="s">
        <v>272</v>
      </c>
      <c r="E43" s="204" t="s">
        <v>218</v>
      </c>
      <c r="F43" s="188" t="s">
        <v>196</v>
      </c>
      <c r="G43" s="94" t="s">
        <v>228</v>
      </c>
      <c r="H43" s="211">
        <v>1</v>
      </c>
      <c r="I43" s="85">
        <v>5060458</v>
      </c>
      <c r="J43" s="302">
        <f t="shared" si="6"/>
        <v>303627.48</v>
      </c>
      <c r="K43" s="100"/>
      <c r="L43" s="85"/>
      <c r="M43" s="85">
        <f t="shared" si="0"/>
        <v>5060458</v>
      </c>
      <c r="N43" s="85"/>
      <c r="O43" s="85">
        <f t="shared" si="1"/>
        <v>0</v>
      </c>
      <c r="P43" s="85"/>
      <c r="Q43" s="85">
        <f t="shared" si="2"/>
        <v>5060458</v>
      </c>
      <c r="R43" s="85">
        <f t="shared" si="10"/>
        <v>404836.64</v>
      </c>
      <c r="S43" s="86">
        <f t="shared" si="8"/>
        <v>75906.87</v>
      </c>
      <c r="T43" s="85">
        <f t="shared" si="9"/>
        <v>50604.58</v>
      </c>
      <c r="U43" s="86"/>
      <c r="V43" s="86">
        <f t="shared" si="3"/>
        <v>531348.09</v>
      </c>
      <c r="W43" s="86"/>
      <c r="X43" s="86"/>
      <c r="Y43" s="86"/>
      <c r="Z43" s="86"/>
      <c r="AA43" s="86"/>
      <c r="AB43" s="86">
        <f t="shared" si="4"/>
        <v>4529109.91</v>
      </c>
      <c r="AC43" s="88" t="str">
        <f t="shared" si="11"/>
        <v>31</v>
      </c>
      <c r="AD43" s="105"/>
      <c r="AE43" s="120" t="s">
        <v>106</v>
      </c>
      <c r="AF43" s="135"/>
      <c r="AG43" s="109"/>
      <c r="AH43" s="97"/>
      <c r="AI43" s="97"/>
      <c r="AL43" s="98"/>
    </row>
    <row r="44" spans="1:38" s="91" customFormat="1" ht="42.75" customHeight="1">
      <c r="A44" s="181" t="s">
        <v>90</v>
      </c>
      <c r="B44" s="81" t="s">
        <v>290</v>
      </c>
      <c r="C44" s="82"/>
      <c r="D44" s="99" t="s">
        <v>272</v>
      </c>
      <c r="E44" s="206"/>
      <c r="F44" s="202"/>
      <c r="G44" s="84" t="s">
        <v>228</v>
      </c>
      <c r="H44" s="211">
        <v>1</v>
      </c>
      <c r="I44" s="85">
        <v>5060458</v>
      </c>
      <c r="J44" s="302">
        <f t="shared" si="6"/>
        <v>303627.48</v>
      </c>
      <c r="K44" s="100"/>
      <c r="L44" s="85"/>
      <c r="M44" s="85">
        <f t="shared" si="0"/>
        <v>5060458</v>
      </c>
      <c r="N44" s="85"/>
      <c r="O44" s="85">
        <f t="shared" si="1"/>
        <v>0</v>
      </c>
      <c r="P44" s="85"/>
      <c r="Q44" s="85">
        <f t="shared" si="2"/>
        <v>5060458</v>
      </c>
      <c r="R44" s="85">
        <f t="shared" si="10"/>
        <v>404836.64</v>
      </c>
      <c r="S44" s="86">
        <f t="shared" si="8"/>
        <v>75906.87</v>
      </c>
      <c r="T44" s="85">
        <f t="shared" si="9"/>
        <v>50604.58</v>
      </c>
      <c r="U44" s="86"/>
      <c r="V44" s="86">
        <f t="shared" si="3"/>
        <v>531348.09</v>
      </c>
      <c r="W44" s="86"/>
      <c r="X44" s="87"/>
      <c r="Y44" s="87"/>
      <c r="Z44" s="87"/>
      <c r="AA44" s="87"/>
      <c r="AB44" s="86">
        <f t="shared" si="4"/>
        <v>4529109.91</v>
      </c>
      <c r="AC44" s="88" t="str">
        <f t="shared" si="11"/>
        <v>32</v>
      </c>
      <c r="AD44" s="233"/>
      <c r="AE44" s="233" t="s">
        <v>291</v>
      </c>
      <c r="AF44" s="104"/>
      <c r="AG44" s="125"/>
      <c r="AH44" s="298"/>
      <c r="AL44" s="92"/>
    </row>
    <row r="45" spans="1:38" s="298" customFormat="1" ht="39" customHeight="1">
      <c r="A45" s="181" t="s">
        <v>91</v>
      </c>
      <c r="B45" s="81" t="s">
        <v>319</v>
      </c>
      <c r="C45" s="82"/>
      <c r="D45" s="99" t="s">
        <v>320</v>
      </c>
      <c r="E45" s="206"/>
      <c r="F45" s="202"/>
      <c r="G45" s="84" t="s">
        <v>231</v>
      </c>
      <c r="H45" s="211">
        <v>4</v>
      </c>
      <c r="I45" s="85">
        <v>5474872</v>
      </c>
      <c r="J45" s="302">
        <f t="shared" si="6"/>
        <v>328492.32</v>
      </c>
      <c r="K45" s="100"/>
      <c r="L45" s="85"/>
      <c r="M45" s="85">
        <f t="shared" si="0"/>
        <v>5474872</v>
      </c>
      <c r="N45" s="85"/>
      <c r="O45" s="85">
        <f t="shared" si="1"/>
        <v>0</v>
      </c>
      <c r="P45" s="85"/>
      <c r="Q45" s="85">
        <f t="shared" si="2"/>
        <v>5474872</v>
      </c>
      <c r="R45" s="85">
        <f t="shared" si="10"/>
        <v>437989.76</v>
      </c>
      <c r="S45" s="86">
        <f t="shared" si="8"/>
        <v>82123.08</v>
      </c>
      <c r="T45" s="85">
        <f t="shared" si="9"/>
        <v>54748.72</v>
      </c>
      <c r="U45" s="86"/>
      <c r="V45" s="86">
        <f t="shared" si="3"/>
        <v>574861.56000000006</v>
      </c>
      <c r="W45" s="86"/>
      <c r="X45" s="86"/>
      <c r="Y45" s="132"/>
      <c r="Z45" s="86"/>
      <c r="AA45" s="86"/>
      <c r="AB45" s="86">
        <f t="shared" si="4"/>
        <v>4900010.4399999995</v>
      </c>
      <c r="AC45" s="88" t="str">
        <f t="shared" si="11"/>
        <v>33</v>
      </c>
      <c r="AD45" s="89"/>
      <c r="AE45" s="89"/>
      <c r="AF45" s="107"/>
      <c r="AG45" s="103"/>
      <c r="AL45" s="297"/>
    </row>
    <row r="46" spans="1:38" s="91" customFormat="1" ht="33" customHeight="1">
      <c r="A46" s="181" t="s">
        <v>92</v>
      </c>
      <c r="B46" s="81" t="s">
        <v>115</v>
      </c>
      <c r="C46" s="82" t="s">
        <v>110</v>
      </c>
      <c r="D46" s="99" t="s">
        <v>173</v>
      </c>
      <c r="E46" s="206" t="str">
        <f>VLOOKUP(B46,[2]T3!$B$2:$D$328,3,FALSE)</f>
        <v>024759058</v>
      </c>
      <c r="F46" s="188" t="s">
        <v>210</v>
      </c>
      <c r="G46" s="94" t="s">
        <v>228</v>
      </c>
      <c r="H46" s="263">
        <v>1</v>
      </c>
      <c r="I46" s="85">
        <v>5060458</v>
      </c>
      <c r="J46" s="302">
        <f t="shared" si="6"/>
        <v>303627.48</v>
      </c>
      <c r="K46" s="100"/>
      <c r="L46" s="85"/>
      <c r="M46" s="85">
        <f t="shared" si="0"/>
        <v>5060458</v>
      </c>
      <c r="N46" s="85"/>
      <c r="O46" s="85">
        <f t="shared" si="1"/>
        <v>0</v>
      </c>
      <c r="P46" s="85"/>
      <c r="Q46" s="85">
        <f t="shared" si="2"/>
        <v>5060458</v>
      </c>
      <c r="R46" s="85">
        <f t="shared" si="10"/>
        <v>404836.64</v>
      </c>
      <c r="S46" s="86">
        <f t="shared" si="8"/>
        <v>75906.87</v>
      </c>
      <c r="T46" s="85">
        <f t="shared" si="9"/>
        <v>50604.58</v>
      </c>
      <c r="U46" s="86"/>
      <c r="V46" s="86">
        <f t="shared" si="3"/>
        <v>531348.09</v>
      </c>
      <c r="W46" s="86"/>
      <c r="X46" s="264"/>
      <c r="Y46" s="264"/>
      <c r="Z46" s="264"/>
      <c r="AA46" s="264"/>
      <c r="AB46" s="86">
        <f t="shared" si="4"/>
        <v>4529109.91</v>
      </c>
      <c r="AC46" s="88" t="str">
        <f t="shared" si="11"/>
        <v>34</v>
      </c>
      <c r="AD46" s="89"/>
      <c r="AE46" s="126" t="s">
        <v>113</v>
      </c>
      <c r="AF46" s="298"/>
      <c r="AG46" s="298"/>
      <c r="AK46" s="92"/>
    </row>
    <row r="47" spans="1:38" s="91" customFormat="1" ht="28.5" customHeight="1">
      <c r="A47" s="181" t="s">
        <v>244</v>
      </c>
      <c r="B47" s="81" t="s">
        <v>128</v>
      </c>
      <c r="C47" s="82" t="s">
        <v>75</v>
      </c>
      <c r="D47" s="99" t="s">
        <v>173</v>
      </c>
      <c r="E47" s="206" t="str">
        <f>VLOOKUP(B47,[2]T3!$B$2:$D$328,3,FALSE)</f>
        <v>025128010</v>
      </c>
      <c r="F47" s="188" t="s">
        <v>202</v>
      </c>
      <c r="G47" s="94" t="s">
        <v>228</v>
      </c>
      <c r="H47" s="83">
        <v>3</v>
      </c>
      <c r="I47" s="85">
        <v>5579155</v>
      </c>
      <c r="J47" s="302">
        <f t="shared" si="6"/>
        <v>334749.3</v>
      </c>
      <c r="K47" s="100"/>
      <c r="L47" s="85"/>
      <c r="M47" s="85">
        <f t="shared" si="0"/>
        <v>5579155</v>
      </c>
      <c r="N47" s="85"/>
      <c r="O47" s="85">
        <f t="shared" si="1"/>
        <v>0</v>
      </c>
      <c r="P47" s="85"/>
      <c r="Q47" s="85">
        <f t="shared" si="2"/>
        <v>5579155</v>
      </c>
      <c r="R47" s="85">
        <f t="shared" si="10"/>
        <v>446332.4</v>
      </c>
      <c r="S47" s="86">
        <f t="shared" si="8"/>
        <v>83687.324999999997</v>
      </c>
      <c r="T47" s="85">
        <f t="shared" si="9"/>
        <v>55791.55</v>
      </c>
      <c r="U47" s="86"/>
      <c r="V47" s="86">
        <f t="shared" si="3"/>
        <v>585811.27500000002</v>
      </c>
      <c r="W47" s="86"/>
      <c r="X47" s="86"/>
      <c r="Y47" s="86"/>
      <c r="Z47" s="86"/>
      <c r="AA47" s="86"/>
      <c r="AB47" s="86">
        <f t="shared" si="4"/>
        <v>4993343.7249999996</v>
      </c>
      <c r="AC47" s="88" t="str">
        <f t="shared" si="11"/>
        <v>35</v>
      </c>
      <c r="AD47" s="89"/>
      <c r="AE47" s="108" t="s">
        <v>103</v>
      </c>
      <c r="AF47" s="96" t="e">
        <f>AF23*4</f>
        <v>#REF!</v>
      </c>
      <c r="AG47" s="107"/>
      <c r="AH47" s="97"/>
      <c r="AI47" s="97"/>
      <c r="AL47" s="98"/>
    </row>
    <row r="48" spans="1:38" s="91" customFormat="1" ht="28.5" customHeight="1">
      <c r="A48" s="181" t="s">
        <v>245</v>
      </c>
      <c r="B48" s="81" t="s">
        <v>150</v>
      </c>
      <c r="C48" s="82"/>
      <c r="D48" s="99" t="s">
        <v>173</v>
      </c>
      <c r="E48" s="206" t="str">
        <f>VLOOKUP(B48,[2]T3!$B$2:$D$328,3,FALSE)</f>
        <v>290936998</v>
      </c>
      <c r="F48" s="188" t="s">
        <v>207</v>
      </c>
      <c r="G48" s="84" t="s">
        <v>228</v>
      </c>
      <c r="H48" s="211">
        <v>5</v>
      </c>
      <c r="I48" s="85">
        <v>6151018</v>
      </c>
      <c r="J48" s="302">
        <f t="shared" si="6"/>
        <v>369061.07999999996</v>
      </c>
      <c r="K48" s="100"/>
      <c r="L48" s="85"/>
      <c r="M48" s="85">
        <f t="shared" si="0"/>
        <v>6151018</v>
      </c>
      <c r="N48" s="85"/>
      <c r="O48" s="85">
        <f t="shared" si="1"/>
        <v>0</v>
      </c>
      <c r="P48" s="85"/>
      <c r="Q48" s="85">
        <f t="shared" si="2"/>
        <v>6151018</v>
      </c>
      <c r="R48" s="85">
        <f t="shared" si="10"/>
        <v>492081.44</v>
      </c>
      <c r="S48" s="86">
        <f t="shared" si="8"/>
        <v>92265.26999999999</v>
      </c>
      <c r="T48" s="85">
        <f t="shared" si="9"/>
        <v>61510.18</v>
      </c>
      <c r="U48" s="86"/>
      <c r="V48" s="86">
        <f t="shared" si="3"/>
        <v>645856.89</v>
      </c>
      <c r="W48" s="86"/>
      <c r="X48" s="86"/>
      <c r="Y48" s="86"/>
      <c r="Z48" s="86"/>
      <c r="AA48" s="86"/>
      <c r="AB48" s="86">
        <f t="shared" si="4"/>
        <v>5505161.1100000003</v>
      </c>
      <c r="AC48" s="88" t="str">
        <f t="shared" si="11"/>
        <v>36</v>
      </c>
      <c r="AD48" s="105"/>
      <c r="AE48" s="135"/>
      <c r="AF48" s="135"/>
      <c r="AG48" s="109"/>
      <c r="AH48" s="97"/>
      <c r="AI48" s="97"/>
      <c r="AL48" s="98"/>
    </row>
    <row r="49" spans="1:39" s="91" customFormat="1" ht="28.5" customHeight="1">
      <c r="A49" s="181" t="s">
        <v>246</v>
      </c>
      <c r="B49" s="81" t="s">
        <v>133</v>
      </c>
      <c r="C49" s="82" t="s">
        <v>53</v>
      </c>
      <c r="D49" s="99" t="s">
        <v>173</v>
      </c>
      <c r="E49" s="206" t="str">
        <f>VLOOKUP(B49,[2]T3!$B$2:$D$328,3,FALSE)</f>
        <v>001186011890</v>
      </c>
      <c r="F49" s="188" t="s">
        <v>208</v>
      </c>
      <c r="G49" s="84" t="s">
        <v>228</v>
      </c>
      <c r="H49" s="211">
        <v>6</v>
      </c>
      <c r="I49" s="85">
        <v>6458569</v>
      </c>
      <c r="J49" s="302">
        <f t="shared" si="6"/>
        <v>387514.14</v>
      </c>
      <c r="K49" s="100"/>
      <c r="L49" s="85"/>
      <c r="M49" s="85">
        <f t="shared" si="0"/>
        <v>6458569</v>
      </c>
      <c r="N49" s="85"/>
      <c r="O49" s="85">
        <f t="shared" si="1"/>
        <v>0</v>
      </c>
      <c r="P49" s="85"/>
      <c r="Q49" s="85">
        <f t="shared" si="2"/>
        <v>6458569</v>
      </c>
      <c r="R49" s="85">
        <f t="shared" si="10"/>
        <v>516685.52</v>
      </c>
      <c r="S49" s="86">
        <f t="shared" si="8"/>
        <v>96878.535000000003</v>
      </c>
      <c r="T49" s="85">
        <f t="shared" si="9"/>
        <v>64585.69</v>
      </c>
      <c r="U49" s="86"/>
      <c r="V49" s="86">
        <f t="shared" si="3"/>
        <v>678149.74500000011</v>
      </c>
      <c r="W49" s="86"/>
      <c r="X49" s="87"/>
      <c r="Y49" s="87"/>
      <c r="Z49" s="87"/>
      <c r="AA49" s="87"/>
      <c r="AB49" s="86">
        <f t="shared" si="4"/>
        <v>5780419.2549999999</v>
      </c>
      <c r="AC49" s="88" t="str">
        <f t="shared" si="11"/>
        <v>37</v>
      </c>
      <c r="AD49" s="233"/>
      <c r="AE49" s="90"/>
      <c r="AF49" s="90" t="s">
        <v>54</v>
      </c>
      <c r="AG49" s="89"/>
      <c r="AH49" s="298"/>
      <c r="AL49" s="92"/>
    </row>
    <row r="50" spans="1:39" s="91" customFormat="1" ht="28.5" customHeight="1">
      <c r="A50" s="181" t="s">
        <v>247</v>
      </c>
      <c r="B50" s="81" t="s">
        <v>335</v>
      </c>
      <c r="C50" s="82"/>
      <c r="D50" s="99" t="s">
        <v>173</v>
      </c>
      <c r="E50" s="206"/>
      <c r="F50" s="188"/>
      <c r="G50" s="84" t="s">
        <v>228</v>
      </c>
      <c r="H50" s="211">
        <v>1</v>
      </c>
      <c r="I50" s="85">
        <v>5060458</v>
      </c>
      <c r="J50" s="302">
        <f t="shared" si="6"/>
        <v>303627.48</v>
      </c>
      <c r="K50" s="100"/>
      <c r="L50" s="85"/>
      <c r="M50" s="85">
        <f t="shared" si="0"/>
        <v>5060458</v>
      </c>
      <c r="N50" s="85"/>
      <c r="O50" s="85">
        <f t="shared" si="1"/>
        <v>0</v>
      </c>
      <c r="P50" s="85"/>
      <c r="Q50" s="85">
        <f t="shared" si="2"/>
        <v>5060458</v>
      </c>
      <c r="R50" s="85">
        <f t="shared" si="10"/>
        <v>404836.64</v>
      </c>
      <c r="S50" s="86">
        <f t="shared" si="8"/>
        <v>75906.87</v>
      </c>
      <c r="T50" s="85">
        <f t="shared" si="9"/>
        <v>50604.58</v>
      </c>
      <c r="U50" s="86"/>
      <c r="V50" s="86">
        <f t="shared" si="3"/>
        <v>531348.09</v>
      </c>
      <c r="W50" s="86"/>
      <c r="X50" s="87"/>
      <c r="Y50" s="87"/>
      <c r="Z50" s="87"/>
      <c r="AA50" s="87"/>
      <c r="AB50" s="86">
        <f t="shared" si="4"/>
        <v>4529109.91</v>
      </c>
      <c r="AC50" s="88" t="str">
        <f t="shared" si="11"/>
        <v>38</v>
      </c>
      <c r="AD50" s="233"/>
      <c r="AE50" s="233" t="s">
        <v>340</v>
      </c>
      <c r="AF50" s="90"/>
      <c r="AG50" s="125"/>
      <c r="AH50" s="298"/>
      <c r="AL50" s="92"/>
    </row>
    <row r="51" spans="1:39" s="91" customFormat="1" ht="36.75" customHeight="1">
      <c r="A51" s="181" t="s">
        <v>248</v>
      </c>
      <c r="B51" s="124" t="s">
        <v>124</v>
      </c>
      <c r="C51" s="82" t="s">
        <v>70</v>
      </c>
      <c r="D51" s="99" t="s">
        <v>174</v>
      </c>
      <c r="E51" s="206" t="str">
        <f>VLOOKUP(B51,[2]T3!$B$2:$D$328,3,FALSE)</f>
        <v>095189000070</v>
      </c>
      <c r="F51" s="188" t="s">
        <v>199</v>
      </c>
      <c r="G51" s="84" t="s">
        <v>228</v>
      </c>
      <c r="H51" s="213">
        <v>5</v>
      </c>
      <c r="I51" s="85">
        <v>6151018</v>
      </c>
      <c r="J51" s="302">
        <f t="shared" si="6"/>
        <v>369061.07999999996</v>
      </c>
      <c r="K51" s="100"/>
      <c r="L51" s="85"/>
      <c r="M51" s="85">
        <f t="shared" si="0"/>
        <v>6151018</v>
      </c>
      <c r="N51" s="85"/>
      <c r="O51" s="85">
        <f t="shared" si="1"/>
        <v>0</v>
      </c>
      <c r="P51" s="85"/>
      <c r="Q51" s="85">
        <f t="shared" si="2"/>
        <v>6151018</v>
      </c>
      <c r="R51" s="85">
        <f t="shared" si="10"/>
        <v>492081.44</v>
      </c>
      <c r="S51" s="86">
        <f t="shared" si="8"/>
        <v>92265.26999999999</v>
      </c>
      <c r="T51" s="85">
        <f t="shared" si="9"/>
        <v>61510.18</v>
      </c>
      <c r="U51" s="86"/>
      <c r="V51" s="86">
        <f t="shared" si="3"/>
        <v>645856.89</v>
      </c>
      <c r="W51" s="86"/>
      <c r="X51" s="86"/>
      <c r="Y51" s="86"/>
      <c r="Z51" s="86"/>
      <c r="AA51" s="86"/>
      <c r="AB51" s="86">
        <f t="shared" si="4"/>
        <v>5505161.1100000003</v>
      </c>
      <c r="AC51" s="88" t="str">
        <f t="shared" si="11"/>
        <v>39</v>
      </c>
      <c r="AD51" s="115"/>
      <c r="AE51" s="89" t="s">
        <v>71</v>
      </c>
      <c r="AF51" s="89" t="s">
        <v>100</v>
      </c>
      <c r="AG51" s="91" t="e">
        <f>#REF!/24</f>
        <v>#REF!</v>
      </c>
      <c r="AH51" s="298"/>
      <c r="AL51" s="92"/>
    </row>
    <row r="52" spans="1:39" s="91" customFormat="1" ht="27" customHeight="1">
      <c r="A52" s="181" t="s">
        <v>249</v>
      </c>
      <c r="B52" s="81" t="s">
        <v>123</v>
      </c>
      <c r="C52" s="261" t="s">
        <v>7</v>
      </c>
      <c r="D52" s="99" t="s">
        <v>175</v>
      </c>
      <c r="E52" s="206" t="str">
        <f>VLOOKUP(B52,[2]T3!$B$2:$D$328,3,FALSE)</f>
        <v>023680986</v>
      </c>
      <c r="F52" s="188" t="s">
        <v>198</v>
      </c>
      <c r="G52" s="84" t="s">
        <v>228</v>
      </c>
      <c r="H52" s="211">
        <v>5</v>
      </c>
      <c r="I52" s="85">
        <v>6151018</v>
      </c>
      <c r="J52" s="302">
        <f t="shared" si="6"/>
        <v>369061.07999999996</v>
      </c>
      <c r="K52" s="100"/>
      <c r="L52" s="85"/>
      <c r="M52" s="85">
        <f t="shared" si="0"/>
        <v>6151018</v>
      </c>
      <c r="N52" s="85"/>
      <c r="O52" s="85">
        <f t="shared" si="1"/>
        <v>0</v>
      </c>
      <c r="P52" s="85"/>
      <c r="Q52" s="85">
        <f t="shared" si="2"/>
        <v>6151018</v>
      </c>
      <c r="R52" s="85">
        <f t="shared" si="10"/>
        <v>492081.44</v>
      </c>
      <c r="S52" s="86">
        <f t="shared" si="8"/>
        <v>92265.26999999999</v>
      </c>
      <c r="T52" s="85">
        <f t="shared" si="9"/>
        <v>61510.18</v>
      </c>
      <c r="U52" s="86"/>
      <c r="V52" s="86">
        <f t="shared" si="3"/>
        <v>645856.89</v>
      </c>
      <c r="W52" s="86"/>
      <c r="X52" s="262"/>
      <c r="Y52" s="262"/>
      <c r="Z52" s="262"/>
      <c r="AA52" s="262"/>
      <c r="AB52" s="86">
        <f t="shared" si="4"/>
        <v>5505161.1100000003</v>
      </c>
      <c r="AC52" s="88" t="str">
        <f t="shared" si="11"/>
        <v>40</v>
      </c>
      <c r="AD52" s="105"/>
      <c r="AE52" s="101" t="s">
        <v>95</v>
      </c>
      <c r="AF52" s="102"/>
      <c r="AG52" s="102" t="e">
        <f>#REF!*2</f>
        <v>#REF!</v>
      </c>
      <c r="AH52" s="102"/>
      <c r="AI52" s="102"/>
      <c r="AL52" s="92"/>
    </row>
    <row r="53" spans="1:39" s="91" customFormat="1" ht="33" customHeight="1">
      <c r="A53" s="181" t="s">
        <v>250</v>
      </c>
      <c r="B53" s="81" t="s">
        <v>280</v>
      </c>
      <c r="C53" s="82"/>
      <c r="D53" s="99" t="s">
        <v>175</v>
      </c>
      <c r="E53" s="206"/>
      <c r="F53" s="202" t="s">
        <v>303</v>
      </c>
      <c r="G53" s="84" t="s">
        <v>228</v>
      </c>
      <c r="H53" s="211">
        <v>1</v>
      </c>
      <c r="I53" s="85">
        <v>5060458</v>
      </c>
      <c r="J53" s="302">
        <f t="shared" si="6"/>
        <v>303627.48</v>
      </c>
      <c r="K53" s="100"/>
      <c r="L53" s="85"/>
      <c r="M53" s="85">
        <f>ROUND(I53+L53,0)</f>
        <v>5060458</v>
      </c>
      <c r="N53" s="85"/>
      <c r="O53" s="85">
        <f>M53/24*N53</f>
        <v>0</v>
      </c>
      <c r="P53" s="85"/>
      <c r="Q53" s="85">
        <f>M53-O53+P53</f>
        <v>5060458</v>
      </c>
      <c r="R53" s="85">
        <f>M53*8%</f>
        <v>404836.64</v>
      </c>
      <c r="S53" s="86">
        <f>M53*1.5%</f>
        <v>75906.87</v>
      </c>
      <c r="T53" s="85">
        <f>M53*1%</f>
        <v>50604.58</v>
      </c>
      <c r="U53" s="86"/>
      <c r="V53" s="86">
        <f>SUM(R53:U53)</f>
        <v>531348.09</v>
      </c>
      <c r="W53" s="86"/>
      <c r="X53" s="87"/>
      <c r="Y53" s="87"/>
      <c r="Z53" s="87"/>
      <c r="AA53" s="87"/>
      <c r="AB53" s="86">
        <f>Q53-V53+X53+Z53+AA53</f>
        <v>4529109.91</v>
      </c>
      <c r="AC53" s="88" t="str">
        <f>A53</f>
        <v>41</v>
      </c>
      <c r="AD53" s="233"/>
      <c r="AE53" s="233" t="s">
        <v>281</v>
      </c>
      <c r="AF53" s="104"/>
      <c r="AG53" s="125"/>
      <c r="AH53" s="298"/>
      <c r="AL53" s="92"/>
    </row>
    <row r="54" spans="1:39" s="91" customFormat="1" ht="35.25" customHeight="1">
      <c r="A54" s="181" t="s">
        <v>251</v>
      </c>
      <c r="B54" s="81" t="s">
        <v>168</v>
      </c>
      <c r="C54" s="82"/>
      <c r="D54" s="99" t="s">
        <v>337</v>
      </c>
      <c r="E54" s="206" t="str">
        <f>VLOOKUP(B54,[2]T3!$B$2:$D$328,3,FALSE)</f>
        <v>025273555</v>
      </c>
      <c r="F54" s="202" t="s">
        <v>209</v>
      </c>
      <c r="G54" s="84" t="s">
        <v>232</v>
      </c>
      <c r="H54" s="211">
        <v>3</v>
      </c>
      <c r="I54" s="85">
        <v>4873050</v>
      </c>
      <c r="J54" s="302">
        <f t="shared" si="6"/>
        <v>292383</v>
      </c>
      <c r="K54" s="100"/>
      <c r="L54" s="85"/>
      <c r="M54" s="85">
        <f t="shared" si="0"/>
        <v>4873050</v>
      </c>
      <c r="N54" s="85"/>
      <c r="O54" s="85">
        <f t="shared" si="1"/>
        <v>0</v>
      </c>
      <c r="P54" s="85"/>
      <c r="Q54" s="85">
        <f t="shared" si="2"/>
        <v>4873050</v>
      </c>
      <c r="R54" s="85">
        <f t="shared" si="10"/>
        <v>389844</v>
      </c>
      <c r="S54" s="86">
        <f t="shared" si="8"/>
        <v>73095.75</v>
      </c>
      <c r="T54" s="85">
        <f t="shared" si="9"/>
        <v>48730.5</v>
      </c>
      <c r="U54" s="86"/>
      <c r="V54" s="86">
        <f t="shared" si="3"/>
        <v>511670.25</v>
      </c>
      <c r="W54" s="86"/>
      <c r="X54" s="87"/>
      <c r="Y54" s="87"/>
      <c r="Z54" s="87"/>
      <c r="AA54" s="87"/>
      <c r="AB54" s="86">
        <f t="shared" si="4"/>
        <v>4361379.75</v>
      </c>
      <c r="AC54" s="88" t="str">
        <f t="shared" si="11"/>
        <v>42</v>
      </c>
      <c r="AD54" s="233"/>
      <c r="AE54" s="126" t="s">
        <v>170</v>
      </c>
      <c r="AF54" s="104"/>
      <c r="AG54" s="125"/>
      <c r="AH54" s="298"/>
      <c r="AL54" s="92"/>
    </row>
    <row r="55" spans="1:39" s="91" customFormat="1" ht="33.75" customHeight="1">
      <c r="A55" s="181" t="s">
        <v>265</v>
      </c>
      <c r="B55" s="81" t="s">
        <v>160</v>
      </c>
      <c r="C55" s="82"/>
      <c r="D55" s="99" t="s">
        <v>337</v>
      </c>
      <c r="E55" s="206" t="str">
        <f>VLOOKUP(B55,[2]T3!$B$2:$D$328,3,FALSE)</f>
        <v>025947357</v>
      </c>
      <c r="F55" s="188" t="s">
        <v>197</v>
      </c>
      <c r="G55" s="84" t="s">
        <v>228</v>
      </c>
      <c r="H55" s="211">
        <v>3</v>
      </c>
      <c r="I55" s="85">
        <v>5579155</v>
      </c>
      <c r="J55" s="302">
        <f t="shared" si="6"/>
        <v>334749.3</v>
      </c>
      <c r="K55" s="100"/>
      <c r="L55" s="85"/>
      <c r="M55" s="85">
        <f t="shared" si="0"/>
        <v>5579155</v>
      </c>
      <c r="N55" s="85"/>
      <c r="O55" s="85">
        <f t="shared" si="1"/>
        <v>0</v>
      </c>
      <c r="P55" s="85"/>
      <c r="Q55" s="85">
        <f t="shared" si="2"/>
        <v>5579155</v>
      </c>
      <c r="R55" s="85">
        <f t="shared" si="10"/>
        <v>446332.4</v>
      </c>
      <c r="S55" s="86">
        <f t="shared" si="8"/>
        <v>83687.324999999997</v>
      </c>
      <c r="T55" s="85">
        <f t="shared" si="9"/>
        <v>55791.55</v>
      </c>
      <c r="U55" s="86"/>
      <c r="V55" s="86">
        <f t="shared" si="3"/>
        <v>585811.27500000002</v>
      </c>
      <c r="W55" s="86"/>
      <c r="X55" s="86"/>
      <c r="Y55" s="86"/>
      <c r="Z55" s="86"/>
      <c r="AA55" s="86"/>
      <c r="AB55" s="86">
        <f t="shared" si="4"/>
        <v>4993343.7249999996</v>
      </c>
      <c r="AC55" s="88" t="str">
        <f t="shared" si="11"/>
        <v>43</v>
      </c>
      <c r="AD55" s="105"/>
      <c r="AE55" s="120" t="s">
        <v>161</v>
      </c>
      <c r="AF55" s="135"/>
      <c r="AG55" s="109"/>
      <c r="AH55" s="97"/>
      <c r="AI55" s="97"/>
      <c r="AL55" s="98"/>
    </row>
    <row r="56" spans="1:39" s="298" customFormat="1" ht="24" customHeight="1">
      <c r="A56" s="181" t="s">
        <v>270</v>
      </c>
      <c r="B56" s="81" t="s">
        <v>130</v>
      </c>
      <c r="C56" s="82" t="s">
        <v>9</v>
      </c>
      <c r="D56" s="99" t="s">
        <v>10</v>
      </c>
      <c r="E56" s="206" t="str">
        <f>VLOOKUP(B56,[2]T3!$B$2:$D$328,3,FALSE)</f>
        <v>273417648</v>
      </c>
      <c r="F56" s="202" t="s">
        <v>205</v>
      </c>
      <c r="G56" s="94" t="s">
        <v>228</v>
      </c>
      <c r="H56" s="83">
        <v>3</v>
      </c>
      <c r="I56" s="85">
        <v>5579155</v>
      </c>
      <c r="J56" s="302">
        <f t="shared" si="6"/>
        <v>334749.3</v>
      </c>
      <c r="K56" s="100"/>
      <c r="L56" s="85"/>
      <c r="M56" s="85">
        <f t="shared" si="0"/>
        <v>5579155</v>
      </c>
      <c r="N56" s="85"/>
      <c r="O56" s="85">
        <f t="shared" si="1"/>
        <v>0</v>
      </c>
      <c r="P56" s="85"/>
      <c r="Q56" s="85">
        <f t="shared" si="2"/>
        <v>5579155</v>
      </c>
      <c r="R56" s="85">
        <f t="shared" si="10"/>
        <v>446332.4</v>
      </c>
      <c r="S56" s="86">
        <f t="shared" si="8"/>
        <v>83687.324999999997</v>
      </c>
      <c r="T56" s="85">
        <f t="shared" si="9"/>
        <v>55791.55</v>
      </c>
      <c r="U56" s="86"/>
      <c r="V56" s="86">
        <f t="shared" si="3"/>
        <v>585811.27500000002</v>
      </c>
      <c r="W56" s="86"/>
      <c r="X56" s="86"/>
      <c r="Y56" s="86"/>
      <c r="Z56" s="86"/>
      <c r="AA56" s="86"/>
      <c r="AB56" s="86">
        <f t="shared" si="4"/>
        <v>4993343.7249999996</v>
      </c>
      <c r="AC56" s="88" t="str">
        <f t="shared" si="11"/>
        <v>44</v>
      </c>
      <c r="AD56" s="89"/>
      <c r="AE56" s="104" t="s">
        <v>104</v>
      </c>
      <c r="AF56" s="96"/>
      <c r="AG56" s="107"/>
      <c r="AH56" s="97" t="e">
        <f>AH58*12</f>
        <v>#REF!</v>
      </c>
      <c r="AI56" s="97"/>
      <c r="AL56" s="98"/>
    </row>
    <row r="57" spans="1:39" s="91" customFormat="1" ht="31.5" customHeight="1">
      <c r="A57" s="181" t="s">
        <v>273</v>
      </c>
      <c r="B57" s="81" t="s">
        <v>288</v>
      </c>
      <c r="C57" s="82"/>
      <c r="D57" s="99" t="s">
        <v>289</v>
      </c>
      <c r="E57" s="206"/>
      <c r="F57" s="202"/>
      <c r="G57" s="84" t="s">
        <v>231</v>
      </c>
      <c r="H57" s="211">
        <v>1</v>
      </c>
      <c r="I57" s="85">
        <v>4729400</v>
      </c>
      <c r="J57" s="302">
        <f t="shared" si="6"/>
        <v>283764</v>
      </c>
      <c r="K57" s="100"/>
      <c r="L57" s="85"/>
      <c r="M57" s="85">
        <f t="shared" si="0"/>
        <v>4729400</v>
      </c>
      <c r="N57" s="85"/>
      <c r="O57" s="85">
        <f t="shared" si="1"/>
        <v>0</v>
      </c>
      <c r="P57" s="85"/>
      <c r="Q57" s="85">
        <f t="shared" si="2"/>
        <v>4729400</v>
      </c>
      <c r="R57" s="85">
        <f t="shared" si="10"/>
        <v>378352</v>
      </c>
      <c r="S57" s="86">
        <f t="shared" si="8"/>
        <v>70941</v>
      </c>
      <c r="T57" s="85">
        <f t="shared" si="9"/>
        <v>47294</v>
      </c>
      <c r="U57" s="86"/>
      <c r="V57" s="86">
        <f t="shared" si="3"/>
        <v>496587</v>
      </c>
      <c r="W57" s="86"/>
      <c r="X57" s="87"/>
      <c r="Y57" s="87"/>
      <c r="Z57" s="87"/>
      <c r="AA57" s="87"/>
      <c r="AB57" s="86">
        <f t="shared" si="4"/>
        <v>4232813</v>
      </c>
      <c r="AC57" s="88" t="str">
        <f t="shared" si="11"/>
        <v>45</v>
      </c>
      <c r="AD57" s="233"/>
      <c r="AE57" s="233" t="s">
        <v>287</v>
      </c>
      <c r="AF57" s="104"/>
      <c r="AG57" s="125"/>
      <c r="AH57" s="298"/>
      <c r="AL57" s="92"/>
    </row>
    <row r="58" spans="1:39" s="91" customFormat="1" ht="30" customHeight="1">
      <c r="A58" s="181" t="s">
        <v>277</v>
      </c>
      <c r="B58" s="81" t="s">
        <v>129</v>
      </c>
      <c r="C58" s="82" t="s">
        <v>102</v>
      </c>
      <c r="D58" s="99" t="s">
        <v>10</v>
      </c>
      <c r="E58" s="206" t="str">
        <f>VLOOKUP(B58,[2]T3!$B$2:$D$328,3,FALSE)</f>
        <v>250835904</v>
      </c>
      <c r="F58" s="202" t="s">
        <v>204</v>
      </c>
      <c r="G58" s="94" t="s">
        <v>228</v>
      </c>
      <c r="H58" s="83">
        <v>3</v>
      </c>
      <c r="I58" s="85">
        <v>5579155</v>
      </c>
      <c r="J58" s="302">
        <f t="shared" si="6"/>
        <v>334749.3</v>
      </c>
      <c r="K58" s="100"/>
      <c r="L58" s="85"/>
      <c r="M58" s="85">
        <f t="shared" si="0"/>
        <v>5579155</v>
      </c>
      <c r="N58" s="85"/>
      <c r="O58" s="85">
        <f t="shared" si="1"/>
        <v>0</v>
      </c>
      <c r="P58" s="85"/>
      <c r="Q58" s="85">
        <f t="shared" si="2"/>
        <v>5579155</v>
      </c>
      <c r="R58" s="85">
        <f t="shared" si="10"/>
        <v>446332.4</v>
      </c>
      <c r="S58" s="86">
        <f t="shared" si="8"/>
        <v>83687.324999999997</v>
      </c>
      <c r="T58" s="85">
        <f t="shared" si="9"/>
        <v>55791.55</v>
      </c>
      <c r="U58" s="86"/>
      <c r="V58" s="86">
        <f t="shared" si="3"/>
        <v>585811.27500000002</v>
      </c>
      <c r="W58" s="86"/>
      <c r="X58" s="86"/>
      <c r="Y58" s="86"/>
      <c r="Z58" s="86"/>
      <c r="AA58" s="86"/>
      <c r="AB58" s="86">
        <f t="shared" si="4"/>
        <v>4993343.7249999996</v>
      </c>
      <c r="AC58" s="88" t="str">
        <f t="shared" si="11"/>
        <v>46</v>
      </c>
      <c r="AD58" s="89"/>
      <c r="AE58" s="108" t="s">
        <v>103</v>
      </c>
      <c r="AF58" s="96"/>
      <c r="AG58" s="107"/>
      <c r="AH58" s="97" t="e">
        <f>#REF!/26</f>
        <v>#REF!</v>
      </c>
      <c r="AI58" s="97"/>
      <c r="AL58" s="98"/>
    </row>
    <row r="59" spans="1:39" s="91" customFormat="1" ht="30" customHeight="1">
      <c r="A59" s="181" t="s">
        <v>278</v>
      </c>
      <c r="B59" s="81" t="s">
        <v>152</v>
      </c>
      <c r="C59" s="139"/>
      <c r="D59" s="99" t="s">
        <v>255</v>
      </c>
      <c r="E59" s="204"/>
      <c r="F59" s="188"/>
      <c r="G59" s="94" t="s">
        <v>228</v>
      </c>
      <c r="H59" s="211">
        <v>12</v>
      </c>
      <c r="I59" s="85">
        <v>8655100</v>
      </c>
      <c r="J59" s="302">
        <f t="shared" si="6"/>
        <v>519306</v>
      </c>
      <c r="K59" s="268">
        <v>0.09</v>
      </c>
      <c r="L59" s="100">
        <f>I59*K59</f>
        <v>778959</v>
      </c>
      <c r="M59" s="85">
        <f t="shared" si="0"/>
        <v>9434059</v>
      </c>
      <c r="N59" s="85"/>
      <c r="O59" s="85">
        <f t="shared" si="1"/>
        <v>0</v>
      </c>
      <c r="P59" s="85"/>
      <c r="Q59" s="85">
        <f t="shared" si="2"/>
        <v>9434059</v>
      </c>
      <c r="R59" s="85">
        <f t="shared" si="10"/>
        <v>754724.72</v>
      </c>
      <c r="S59" s="86">
        <f t="shared" si="8"/>
        <v>141510.88500000001</v>
      </c>
      <c r="T59" s="85">
        <f t="shared" si="9"/>
        <v>94340.59</v>
      </c>
      <c r="U59" s="86"/>
      <c r="V59" s="86">
        <f t="shared" si="3"/>
        <v>990576.19499999995</v>
      </c>
      <c r="W59" s="86"/>
      <c r="X59" s="86"/>
      <c r="Y59" s="86"/>
      <c r="Z59" s="86"/>
      <c r="AA59" s="86"/>
      <c r="AB59" s="86">
        <f t="shared" si="4"/>
        <v>8443482.8049999997</v>
      </c>
      <c r="AC59" s="88" t="str">
        <f t="shared" si="11"/>
        <v>47</v>
      </c>
      <c r="AD59" s="89"/>
      <c r="AE59" s="104"/>
      <c r="AF59" s="297"/>
      <c r="AG59" s="298"/>
      <c r="AH59" s="298"/>
      <c r="AL59" s="92"/>
    </row>
    <row r="60" spans="1:39" s="298" customFormat="1" ht="39" customHeight="1">
      <c r="A60" s="181" t="s">
        <v>292</v>
      </c>
      <c r="B60" s="81" t="s">
        <v>321</v>
      </c>
      <c r="C60" s="82"/>
      <c r="D60" s="99" t="s">
        <v>322</v>
      </c>
      <c r="E60" s="206"/>
      <c r="F60" s="188"/>
      <c r="G60" s="84" t="s">
        <v>231</v>
      </c>
      <c r="H60" s="211">
        <v>4</v>
      </c>
      <c r="I60" s="85">
        <v>5474872</v>
      </c>
      <c r="J60" s="302">
        <f t="shared" si="6"/>
        <v>328492.32</v>
      </c>
      <c r="K60" s="100"/>
      <c r="L60" s="85"/>
      <c r="M60" s="85">
        <f t="shared" si="0"/>
        <v>5474872</v>
      </c>
      <c r="N60" s="85"/>
      <c r="O60" s="85">
        <f t="shared" si="1"/>
        <v>0</v>
      </c>
      <c r="P60" s="85"/>
      <c r="Q60" s="85">
        <f t="shared" si="2"/>
        <v>5474872</v>
      </c>
      <c r="R60" s="85">
        <f t="shared" si="10"/>
        <v>437989.76</v>
      </c>
      <c r="S60" s="86">
        <f t="shared" si="8"/>
        <v>82123.08</v>
      </c>
      <c r="T60" s="85">
        <f t="shared" si="9"/>
        <v>54748.72</v>
      </c>
      <c r="U60" s="86"/>
      <c r="V60" s="86">
        <f t="shared" si="3"/>
        <v>574861.56000000006</v>
      </c>
      <c r="W60" s="86"/>
      <c r="X60" s="86"/>
      <c r="Y60" s="132"/>
      <c r="Z60" s="86"/>
      <c r="AA60" s="86"/>
      <c r="AB60" s="86">
        <f t="shared" si="4"/>
        <v>4900010.4399999995</v>
      </c>
      <c r="AC60" s="88" t="str">
        <f t="shared" si="11"/>
        <v>48</v>
      </c>
      <c r="AD60" s="89"/>
      <c r="AE60" s="89"/>
      <c r="AF60" s="107"/>
      <c r="AG60" s="103"/>
      <c r="AL60" s="297"/>
    </row>
    <row r="61" spans="1:39" s="91" customFormat="1" ht="28.5" customHeight="1">
      <c r="A61" s="181" t="s">
        <v>336</v>
      </c>
      <c r="B61" s="250" t="s">
        <v>266</v>
      </c>
      <c r="C61" s="251"/>
      <c r="D61" s="252" t="s">
        <v>267</v>
      </c>
      <c r="E61" s="208"/>
      <c r="F61" s="253"/>
      <c r="G61" s="254" t="s">
        <v>228</v>
      </c>
      <c r="H61" s="255">
        <v>10</v>
      </c>
      <c r="I61" s="214">
        <v>7850431</v>
      </c>
      <c r="J61" s="303">
        <f t="shared" si="6"/>
        <v>471025.86</v>
      </c>
      <c r="K61" s="256"/>
      <c r="L61" s="214"/>
      <c r="M61" s="214">
        <f t="shared" si="0"/>
        <v>7850431</v>
      </c>
      <c r="N61" s="214"/>
      <c r="O61" s="214">
        <f t="shared" si="1"/>
        <v>0</v>
      </c>
      <c r="P61" s="214"/>
      <c r="Q61" s="214">
        <f t="shared" si="2"/>
        <v>7850431</v>
      </c>
      <c r="R61" s="214">
        <v>0</v>
      </c>
      <c r="S61" s="257">
        <v>0</v>
      </c>
      <c r="T61" s="214">
        <v>0</v>
      </c>
      <c r="U61" s="257"/>
      <c r="V61" s="257">
        <f t="shared" si="3"/>
        <v>0</v>
      </c>
      <c r="W61" s="257"/>
      <c r="X61" s="258"/>
      <c r="Y61" s="258"/>
      <c r="Z61" s="258"/>
      <c r="AA61" s="258"/>
      <c r="AB61" s="257">
        <f t="shared" si="4"/>
        <v>7850431</v>
      </c>
      <c r="AC61" s="259" t="str">
        <f t="shared" si="11"/>
        <v>49</v>
      </c>
      <c r="AD61" s="260"/>
      <c r="AE61" s="233" t="s">
        <v>264</v>
      </c>
      <c r="AF61" s="654" t="s">
        <v>308</v>
      </c>
      <c r="AG61" s="655"/>
      <c r="AH61" s="655"/>
      <c r="AL61" s="92"/>
    </row>
    <row r="62" spans="1:39" ht="33" customHeight="1">
      <c r="A62" s="75"/>
      <c r="B62" s="656" t="s">
        <v>11</v>
      </c>
      <c r="C62" s="657"/>
      <c r="D62" s="141"/>
      <c r="E62" s="141"/>
      <c r="F62" s="69"/>
      <c r="G62" s="69"/>
      <c r="H62" s="292">
        <f>SUM(H13:H61)</f>
        <v>212</v>
      </c>
      <c r="I62" s="68">
        <f>SUM(I13:I61)</f>
        <v>282965402</v>
      </c>
      <c r="J62" s="274"/>
      <c r="K62" s="134">
        <f>SUM(K22:K60)</f>
        <v>0.64</v>
      </c>
      <c r="L62" s="68">
        <f>SUM(L13:L61)</f>
        <v>4936794</v>
      </c>
      <c r="M62" s="68">
        <f>SUM(M13:M61)</f>
        <v>287902196</v>
      </c>
      <c r="N62" s="68"/>
      <c r="O62" s="68">
        <f t="shared" ref="O62:AA62" si="12">SUM(O13:O61)</f>
        <v>0</v>
      </c>
      <c r="P62" s="68">
        <f t="shared" si="12"/>
        <v>0</v>
      </c>
      <c r="Q62" s="68">
        <f>SUM(Q13:Q61)</f>
        <v>287902196</v>
      </c>
      <c r="R62" s="68">
        <f>SUM(R13:R61)-1</f>
        <v>21979062.720000003</v>
      </c>
      <c r="S62" s="68">
        <f t="shared" si="12"/>
        <v>4121074.2600000026</v>
      </c>
      <c r="T62" s="68">
        <f t="shared" si="12"/>
        <v>2747382.8400000003</v>
      </c>
      <c r="U62" s="134">
        <f t="shared" si="12"/>
        <v>0</v>
      </c>
      <c r="V62" s="68">
        <f>SUM(V13:V61)-1</f>
        <v>28847519.819999993</v>
      </c>
      <c r="W62" s="80">
        <f t="shared" si="12"/>
        <v>0</v>
      </c>
      <c r="X62" s="68">
        <f t="shared" si="12"/>
        <v>0</v>
      </c>
      <c r="Y62" s="80">
        <f t="shared" si="12"/>
        <v>0</v>
      </c>
      <c r="Z62" s="68">
        <f t="shared" si="12"/>
        <v>0</v>
      </c>
      <c r="AA62" s="284">
        <f t="shared" si="12"/>
        <v>852000</v>
      </c>
      <c r="AB62" s="68">
        <f>SUM(AB13:AB61)+1</f>
        <v>259906676.18000001</v>
      </c>
      <c r="AC62" s="77"/>
      <c r="AD62" s="78"/>
      <c r="AE62" s="79"/>
      <c r="AF62" s="60" t="s">
        <v>65</v>
      </c>
      <c r="AG62" s="49"/>
      <c r="AH62" s="49"/>
      <c r="AI62" s="32"/>
      <c r="AJ62" s="32"/>
      <c r="AK62" s="32"/>
      <c r="AL62" s="48"/>
      <c r="AM62" s="32"/>
    </row>
    <row r="63" spans="1:39" ht="44.25" hidden="1" customHeight="1">
      <c r="A63" s="5"/>
      <c r="B63" s="123"/>
      <c r="C63" s="53"/>
      <c r="D63" s="142"/>
      <c r="E63" s="142"/>
      <c r="F63" s="183"/>
      <c r="G63" s="37"/>
      <c r="H63" s="36"/>
      <c r="I63" s="42"/>
      <c r="J63" s="273"/>
      <c r="K63" s="36"/>
      <c r="L63" s="42"/>
      <c r="M63" s="42"/>
      <c r="N63" s="42"/>
      <c r="O63" s="42"/>
      <c r="P63" s="42"/>
      <c r="Q63" s="42"/>
      <c r="R63" s="274">
        <v>21574227</v>
      </c>
      <c r="S63" s="274">
        <v>4045167</v>
      </c>
      <c r="T63" s="274">
        <v>2696778</v>
      </c>
      <c r="U63" s="273"/>
      <c r="V63" s="274">
        <v>28316172</v>
      </c>
      <c r="W63" s="273"/>
      <c r="X63" s="273"/>
      <c r="Y63" s="273"/>
      <c r="Z63" s="273"/>
      <c r="AA63" s="273"/>
      <c r="AB63" s="274">
        <v>255377566</v>
      </c>
      <c r="AC63" s="44"/>
      <c r="AD63" s="57"/>
      <c r="AE63" s="57"/>
      <c r="AF63" s="54"/>
      <c r="AG63" s="54"/>
      <c r="AH63" s="54"/>
    </row>
    <row r="64" spans="1:39" ht="18.75" customHeight="1">
      <c r="A64" s="4"/>
      <c r="B64" s="658" t="s">
        <v>12</v>
      </c>
      <c r="C64" s="658"/>
      <c r="D64" s="16" t="s">
        <v>341</v>
      </c>
      <c r="E64" s="16"/>
      <c r="T64" s="17"/>
      <c r="U64" s="17"/>
      <c r="V64" s="17"/>
      <c r="W64" s="17"/>
      <c r="X64" s="17"/>
      <c r="Y64" s="17"/>
      <c r="Z64" s="17"/>
      <c r="AA64" s="281"/>
      <c r="AB64" s="17"/>
      <c r="AC64" s="16"/>
      <c r="AD64" s="56"/>
      <c r="AE64" s="56"/>
      <c r="AF64" s="58"/>
      <c r="AG64" s="49"/>
      <c r="AH64" s="49"/>
    </row>
    <row r="65" spans="1:40" ht="7.5" customHeight="1">
      <c r="A65" s="4"/>
      <c r="B65" s="658"/>
      <c r="C65" s="658"/>
      <c r="D65" s="143"/>
      <c r="E65" s="143"/>
      <c r="F65" s="185"/>
      <c r="G65" s="39"/>
      <c r="H65" s="39"/>
      <c r="I65" s="40"/>
      <c r="J65" s="275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285"/>
      <c r="AB65" s="40"/>
      <c r="AC65" s="659"/>
      <c r="AD65" s="659"/>
      <c r="AE65" s="40"/>
      <c r="AF65" s="648" t="e">
        <f>1000000-#REF!</f>
        <v>#REF!</v>
      </c>
      <c r="AG65" s="645"/>
      <c r="AH65" s="645"/>
    </row>
    <row r="66" spans="1:40" ht="21" customHeight="1">
      <c r="A66" s="4"/>
      <c r="B66" s="645"/>
      <c r="C66" s="645"/>
      <c r="D66" s="6"/>
      <c r="E66" s="6"/>
      <c r="F66" s="186"/>
      <c r="G66" s="4"/>
      <c r="H66" s="4"/>
      <c r="T66" s="660" t="s">
        <v>338</v>
      </c>
      <c r="U66" s="660"/>
      <c r="V66" s="660"/>
      <c r="W66" s="660"/>
      <c r="X66" s="660"/>
      <c r="Y66" s="660"/>
      <c r="Z66" s="660"/>
      <c r="AA66" s="660"/>
      <c r="AB66" s="660"/>
      <c r="AC66" s="660"/>
      <c r="AD66" s="660"/>
      <c r="AE66" s="661"/>
      <c r="AF66" s="645"/>
      <c r="AG66" s="645"/>
      <c r="AH66" s="645"/>
    </row>
    <row r="67" spans="1:40" ht="15.75" customHeight="1">
      <c r="A67" s="649" t="s">
        <v>13</v>
      </c>
      <c r="B67" s="649"/>
      <c r="C67" s="649"/>
      <c r="D67" s="649"/>
      <c r="E67" s="649"/>
      <c r="F67" s="649"/>
      <c r="G67" s="649"/>
      <c r="H67" s="649"/>
      <c r="I67" s="649" t="s">
        <v>169</v>
      </c>
      <c r="J67" s="649"/>
      <c r="K67" s="649"/>
      <c r="L67" s="649"/>
      <c r="M67" s="649"/>
      <c r="N67" s="649"/>
      <c r="O67" s="649"/>
      <c r="P67" s="649"/>
      <c r="Q67" s="649"/>
      <c r="R67" s="649"/>
      <c r="S67" s="649"/>
      <c r="T67" s="663" t="s">
        <v>14</v>
      </c>
      <c r="U67" s="663"/>
      <c r="V67" s="663"/>
      <c r="W67" s="663"/>
      <c r="X67" s="663"/>
      <c r="Y67" s="663"/>
      <c r="Z67" s="663"/>
      <c r="AA67" s="663"/>
      <c r="AB67" s="663"/>
      <c r="AC67" s="663"/>
      <c r="AD67" s="663"/>
      <c r="AE67" s="662"/>
      <c r="AF67" s="650"/>
      <c r="AG67" s="650"/>
      <c r="AH67" s="650"/>
    </row>
    <row r="68" spans="1:40" ht="15.75" customHeight="1">
      <c r="A68" s="4"/>
      <c r="B68" s="647"/>
      <c r="C68" s="647"/>
      <c r="D68" s="6"/>
      <c r="E68" s="6"/>
      <c r="F68" s="186"/>
      <c r="G68" s="4"/>
      <c r="H68" s="4"/>
      <c r="I68" s="3"/>
      <c r="J68" s="304"/>
      <c r="K68" s="3"/>
      <c r="L68" s="3"/>
      <c r="M68" s="3"/>
      <c r="N68" s="3"/>
      <c r="O68" s="3"/>
      <c r="P68" s="3"/>
      <c r="Q68" s="3"/>
      <c r="R68" s="59"/>
      <c r="S68" s="3"/>
      <c r="T68" s="3"/>
      <c r="U68" s="3"/>
      <c r="V68" s="3"/>
      <c r="W68" s="3"/>
      <c r="AC68" s="647"/>
      <c r="AD68" s="647"/>
      <c r="AE68" s="3"/>
      <c r="AF68" s="645"/>
      <c r="AG68" s="645"/>
      <c r="AH68" s="645"/>
    </row>
    <row r="69" spans="1:40" ht="15.75" customHeight="1">
      <c r="A69" s="4"/>
      <c r="B69" s="645"/>
      <c r="C69" s="645"/>
      <c r="D69" s="6"/>
      <c r="E69" s="6"/>
      <c r="F69" s="186"/>
      <c r="G69" s="4"/>
      <c r="H69" s="4"/>
      <c r="I69" s="3"/>
      <c r="J69" s="304"/>
      <c r="K69" s="3"/>
      <c r="L69" s="3"/>
      <c r="M69" s="3"/>
      <c r="N69" s="3"/>
      <c r="O69" s="3"/>
      <c r="P69" s="3"/>
      <c r="Q69" s="3"/>
      <c r="R69" s="3"/>
      <c r="T69" s="137"/>
      <c r="U69" s="137"/>
      <c r="V69" s="137"/>
      <c r="W69" s="137"/>
      <c r="X69" s="137"/>
      <c r="Y69" s="137"/>
      <c r="Z69" s="137"/>
      <c r="AA69" s="287"/>
      <c r="AB69" s="137"/>
      <c r="AC69" s="137"/>
      <c r="AD69" s="137"/>
      <c r="AE69" s="137"/>
      <c r="AF69" s="137"/>
      <c r="AG69" s="64"/>
      <c r="AH69" s="64"/>
      <c r="AI69" s="64"/>
      <c r="AJ69" s="64"/>
      <c r="AK69" s="64"/>
      <c r="AL69" s="64"/>
      <c r="AM69" s="64"/>
      <c r="AN69" s="64"/>
    </row>
    <row r="70" spans="1:40" ht="15.75" customHeight="1">
      <c r="A70" s="4"/>
      <c r="C70" s="4"/>
      <c r="D70" s="6"/>
      <c r="E70" s="6"/>
      <c r="F70" s="186"/>
      <c r="G70" s="4"/>
      <c r="H70" s="4"/>
      <c r="I70" s="3"/>
      <c r="J70" s="304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</row>
    <row r="71" spans="1:40" ht="9.75" customHeight="1">
      <c r="A71" s="4"/>
      <c r="B71" s="645"/>
      <c r="C71" s="645"/>
      <c r="D71" s="6"/>
      <c r="E71" s="6"/>
      <c r="F71" s="186"/>
      <c r="G71" s="4"/>
      <c r="H71" s="4"/>
      <c r="I71" s="3"/>
      <c r="J71" s="304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AC71" s="647"/>
      <c r="AD71" s="647"/>
      <c r="AE71" s="3"/>
      <c r="AF71" s="648"/>
      <c r="AG71" s="645"/>
      <c r="AH71" s="645"/>
    </row>
    <row r="72" spans="1:40" ht="15.75" customHeight="1">
      <c r="A72" s="4"/>
      <c r="B72" s="645"/>
      <c r="C72" s="645"/>
      <c r="D72" s="6"/>
      <c r="E72" s="6"/>
      <c r="F72" s="186"/>
      <c r="G72" s="4"/>
      <c r="H72" s="4"/>
      <c r="I72" s="3"/>
      <c r="J72" s="304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AC72" s="647"/>
      <c r="AD72" s="647"/>
      <c r="AE72" s="3"/>
      <c r="AF72" s="648"/>
      <c r="AG72" s="645"/>
      <c r="AH72" s="645"/>
    </row>
    <row r="73" spans="1:40" ht="15.75" customHeight="1">
      <c r="A73" s="4"/>
      <c r="B73" s="645"/>
      <c r="C73" s="645"/>
      <c r="D73" s="6"/>
      <c r="E73" s="6"/>
      <c r="F73" s="186"/>
      <c r="G73" s="4"/>
      <c r="H73" s="4"/>
      <c r="I73" s="3"/>
      <c r="J73" s="304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AC73" s="647"/>
      <c r="AD73" s="647"/>
      <c r="AE73" s="3"/>
      <c r="AF73" s="648"/>
      <c r="AG73" s="645"/>
      <c r="AH73" s="645"/>
    </row>
    <row r="74" spans="1:40" ht="15.75" customHeight="1">
      <c r="A74" s="649" t="s">
        <v>211</v>
      </c>
      <c r="B74" s="649"/>
      <c r="C74" s="649"/>
      <c r="D74" s="649"/>
      <c r="E74" s="649"/>
      <c r="F74" s="649"/>
      <c r="G74" s="649"/>
      <c r="H74" s="649"/>
      <c r="I74" s="649" t="s">
        <v>109</v>
      </c>
      <c r="J74" s="649"/>
      <c r="K74" s="649"/>
      <c r="L74" s="649"/>
      <c r="M74" s="649"/>
      <c r="N74" s="649"/>
      <c r="O74" s="649"/>
      <c r="P74" s="649"/>
      <c r="Q74" s="649"/>
      <c r="R74" s="649"/>
      <c r="S74" s="649"/>
      <c r="T74" s="649" t="s">
        <v>107</v>
      </c>
      <c r="U74" s="649"/>
      <c r="V74" s="649"/>
      <c r="W74" s="649"/>
      <c r="X74" s="649"/>
      <c r="Y74" s="649"/>
      <c r="Z74" s="649"/>
      <c r="AA74" s="649"/>
      <c r="AB74" s="649"/>
      <c r="AC74" s="649"/>
      <c r="AD74" s="649"/>
      <c r="AE74" s="7"/>
      <c r="AF74" s="650"/>
      <c r="AG74" s="650"/>
      <c r="AH74" s="650"/>
    </row>
    <row r="75" spans="1:40">
      <c r="A75" s="50"/>
      <c r="B75" s="52"/>
      <c r="C75" s="51"/>
      <c r="D75" s="144"/>
      <c r="E75" s="144"/>
      <c r="F75" s="187"/>
      <c r="G75" s="52"/>
      <c r="H75" s="52"/>
      <c r="I75" s="52"/>
      <c r="J75" s="278"/>
      <c r="K75" s="41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288"/>
      <c r="AB75" s="52"/>
      <c r="AC75" s="651"/>
      <c r="AD75" s="651"/>
      <c r="AE75" s="41"/>
      <c r="AF75" s="648"/>
      <c r="AG75" s="645"/>
      <c r="AH75" s="645"/>
    </row>
    <row r="76" spans="1:40">
      <c r="B76" s="26"/>
      <c r="C76" s="18"/>
      <c r="G76" s="26"/>
      <c r="H76" s="26"/>
      <c r="AC76" s="646"/>
      <c r="AD76" s="646"/>
      <c r="AE76" s="35"/>
      <c r="AF76" s="645"/>
      <c r="AG76" s="645"/>
      <c r="AH76" s="645"/>
    </row>
    <row r="77" spans="1:40">
      <c r="A77" s="4"/>
      <c r="B77" s="645"/>
      <c r="C77" s="645"/>
      <c r="AC77" s="646"/>
      <c r="AD77" s="646"/>
      <c r="AE77" s="35"/>
      <c r="AF77" s="645"/>
      <c r="AG77" s="645"/>
      <c r="AH77" s="645"/>
    </row>
    <row r="78" spans="1:40">
      <c r="A78" s="4"/>
      <c r="B78" s="645"/>
      <c r="C78" s="645"/>
      <c r="AC78" s="646"/>
      <c r="AD78" s="646"/>
      <c r="AE78" s="35"/>
      <c r="AF78" s="645"/>
      <c r="AG78" s="645"/>
      <c r="AH78" s="645"/>
    </row>
    <row r="79" spans="1:40">
      <c r="A79" s="4"/>
      <c r="B79" s="645"/>
      <c r="C79" s="645"/>
      <c r="AC79" s="646"/>
      <c r="AD79" s="646"/>
      <c r="AE79" s="35"/>
      <c r="AF79" s="645"/>
      <c r="AG79" s="645"/>
      <c r="AH79" s="645"/>
    </row>
    <row r="80" spans="1:40">
      <c r="A80" s="4"/>
      <c r="B80" s="645"/>
      <c r="C80" s="645"/>
      <c r="AC80" s="646"/>
      <c r="AD80" s="646"/>
      <c r="AE80" s="35"/>
      <c r="AF80" s="645"/>
      <c r="AG80" s="645"/>
      <c r="AH80" s="645"/>
    </row>
    <row r="81" spans="1:34">
      <c r="A81" s="4"/>
      <c r="B81" s="645"/>
      <c r="C81" s="645"/>
      <c r="AC81" s="646"/>
      <c r="AD81" s="646"/>
      <c r="AE81" s="35"/>
      <c r="AF81" s="645"/>
      <c r="AG81" s="645"/>
      <c r="AH81" s="645"/>
    </row>
    <row r="82" spans="1:34">
      <c r="A82" s="4"/>
      <c r="B82" s="645"/>
      <c r="C82" s="645"/>
      <c r="AC82" s="646"/>
      <c r="AD82" s="646"/>
      <c r="AE82" s="35"/>
      <c r="AF82" s="645"/>
      <c r="AG82" s="645"/>
      <c r="AH82" s="645"/>
    </row>
    <row r="83" spans="1:34">
      <c r="A83" s="4"/>
      <c r="B83" s="645"/>
      <c r="C83" s="645"/>
      <c r="AC83" s="646"/>
      <c r="AD83" s="646"/>
      <c r="AE83" s="35"/>
      <c r="AF83" s="645"/>
      <c r="AG83" s="645"/>
      <c r="AH83" s="645"/>
    </row>
    <row r="84" spans="1:34">
      <c r="A84" s="4"/>
      <c r="B84" s="645"/>
      <c r="C84" s="645"/>
      <c r="AC84" s="646"/>
      <c r="AD84" s="646"/>
      <c r="AE84" s="35"/>
      <c r="AF84" s="645"/>
      <c r="AG84" s="645"/>
      <c r="AH84" s="645"/>
    </row>
    <row r="85" spans="1:34">
      <c r="A85" s="4"/>
      <c r="B85" s="645"/>
      <c r="C85" s="645"/>
      <c r="AC85" s="646"/>
      <c r="AD85" s="646"/>
      <c r="AE85" s="35"/>
      <c r="AF85" s="645"/>
      <c r="AG85" s="645"/>
      <c r="AH85" s="645"/>
    </row>
    <row r="86" spans="1:34">
      <c r="A86" s="4"/>
      <c r="B86" s="645"/>
      <c r="C86" s="645"/>
      <c r="AC86" s="646"/>
      <c r="AD86" s="646"/>
      <c r="AE86" s="35"/>
      <c r="AF86" s="645"/>
      <c r="AG86" s="645"/>
      <c r="AH86" s="645"/>
    </row>
    <row r="87" spans="1:34">
      <c r="A87" s="4"/>
      <c r="B87" s="645"/>
      <c r="C87" s="645"/>
      <c r="AC87" s="646"/>
      <c r="AD87" s="646"/>
      <c r="AE87" s="35"/>
      <c r="AF87" s="645"/>
      <c r="AG87" s="645"/>
      <c r="AH87" s="645"/>
    </row>
    <row r="88" spans="1:34">
      <c r="A88" s="4"/>
      <c r="B88" s="645"/>
      <c r="C88" s="645"/>
      <c r="AC88" s="646"/>
      <c r="AD88" s="646"/>
      <c r="AE88" s="35"/>
      <c r="AF88" s="645"/>
      <c r="AG88" s="645"/>
      <c r="AH88" s="645"/>
    </row>
    <row r="89" spans="1:34">
      <c r="A89" s="4"/>
      <c r="B89" s="645"/>
      <c r="C89" s="645"/>
      <c r="AC89" s="646"/>
      <c r="AD89" s="646"/>
      <c r="AE89" s="35"/>
      <c r="AF89" s="645"/>
      <c r="AG89" s="645"/>
      <c r="AH89" s="645"/>
    </row>
    <row r="90" spans="1:34">
      <c r="A90" s="4"/>
      <c r="B90" s="645"/>
      <c r="C90" s="645"/>
      <c r="AC90" s="646"/>
      <c r="AD90" s="646"/>
      <c r="AE90" s="35"/>
      <c r="AF90" s="645"/>
      <c r="AG90" s="645"/>
      <c r="AH90" s="645"/>
    </row>
    <row r="91" spans="1:34">
      <c r="A91" s="4"/>
      <c r="B91" s="645"/>
      <c r="C91" s="645"/>
      <c r="AC91" s="646"/>
      <c r="AD91" s="646"/>
      <c r="AE91" s="35"/>
      <c r="AF91" s="645"/>
      <c r="AG91" s="645"/>
      <c r="AH91" s="645"/>
    </row>
    <row r="92" spans="1:34">
      <c r="A92" s="4"/>
      <c r="B92" s="645"/>
      <c r="C92" s="645"/>
      <c r="AC92" s="646"/>
      <c r="AD92" s="646"/>
      <c r="AE92" s="35"/>
      <c r="AF92" s="645"/>
      <c r="AG92" s="645"/>
      <c r="AH92" s="645"/>
    </row>
    <row r="93" spans="1:34">
      <c r="A93" s="4"/>
      <c r="B93" s="645"/>
      <c r="C93" s="645"/>
      <c r="AC93" s="646"/>
      <c r="AD93" s="646"/>
      <c r="AE93" s="35"/>
      <c r="AF93" s="645"/>
      <c r="AG93" s="645"/>
      <c r="AH93" s="645"/>
    </row>
  </sheetData>
  <mergeCells count="124">
    <mergeCell ref="A1:H1"/>
    <mergeCell ref="A2:H2"/>
    <mergeCell ref="C3:D3"/>
    <mergeCell ref="R3:AB3"/>
    <mergeCell ref="AC3:AD3"/>
    <mergeCell ref="AG3:AH3"/>
    <mergeCell ref="AI3:AJ3"/>
    <mergeCell ref="A4:AD4"/>
    <mergeCell ref="A5:AD5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5" style="35" hidden="1" customWidth="1"/>
    <col min="11" max="11" width="8.375" style="34" customWidth="1"/>
    <col min="12" max="12" width="8.125" style="34" customWidth="1"/>
    <col min="13" max="13" width="1.6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7.625" style="286" bestFit="1" customWidth="1"/>
    <col min="27" max="27" width="11.75" style="34" customWidth="1"/>
    <col min="28" max="28" width="2.5" style="34" customWidth="1"/>
    <col min="29" max="29" width="16.75" style="5" customWidth="1"/>
    <col min="30" max="30" width="20.25" style="5" customWidth="1"/>
    <col min="31" max="36" width="9" style="15"/>
    <col min="37" max="37" width="9" style="45"/>
    <col min="38" max="16384" width="9" style="15"/>
  </cols>
  <sheetData>
    <row r="1" spans="1:38" ht="16.5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280"/>
      <c r="AA1" s="16"/>
      <c r="AB1" s="16"/>
      <c r="AC1" s="16"/>
      <c r="AD1" s="7"/>
      <c r="AE1" s="16"/>
      <c r="AF1" s="16"/>
      <c r="AG1" s="16"/>
      <c r="AH1" s="16"/>
      <c r="AI1" s="14"/>
    </row>
    <row r="2" spans="1:38" ht="16.5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281"/>
      <c r="AA2" s="17"/>
      <c r="AB2" s="17"/>
      <c r="AC2" s="17"/>
      <c r="AD2" s="20"/>
      <c r="AE2" s="17"/>
      <c r="AF2" s="17"/>
      <c r="AG2" s="17"/>
      <c r="AH2" s="17"/>
      <c r="AI2" s="14"/>
    </row>
    <row r="3" spans="1:38" ht="3.75" customHeight="1">
      <c r="A3" s="3"/>
      <c r="B3" s="35"/>
      <c r="C3" s="647"/>
      <c r="D3" s="647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35"/>
      <c r="AE3" s="3"/>
      <c r="AF3" s="647"/>
      <c r="AG3" s="647"/>
      <c r="AH3" s="692"/>
      <c r="AI3" s="692"/>
    </row>
    <row r="4" spans="1:38" ht="22.5" customHeight="1">
      <c r="A4" s="693" t="s">
        <v>367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93"/>
      <c r="AD4" s="61"/>
      <c r="AE4" s="16"/>
      <c r="AF4" s="16"/>
      <c r="AG4" s="16">
        <f>2.67*1150000*0.65</f>
        <v>1995825</v>
      </c>
      <c r="AH4" s="16"/>
      <c r="AI4" s="14"/>
    </row>
    <row r="5" spans="1:38" ht="22.5" customHeight="1">
      <c r="A5" s="693" t="s">
        <v>346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1"/>
      <c r="AE5" s="16"/>
      <c r="AF5" s="16"/>
      <c r="AG5" s="16"/>
      <c r="AH5" s="16"/>
      <c r="AI5" s="14"/>
    </row>
    <row r="6" spans="1:38" ht="18" customHeight="1">
      <c r="A6" s="7"/>
      <c r="B6" s="40"/>
      <c r="C6" s="7" t="s">
        <v>74</v>
      </c>
      <c r="D6" s="659"/>
      <c r="E6" s="659"/>
      <c r="F6" s="659"/>
      <c r="G6" s="659"/>
      <c r="H6" s="659"/>
      <c r="Q6" s="38" t="s">
        <v>214</v>
      </c>
      <c r="R6" s="38"/>
      <c r="S6" s="38"/>
      <c r="T6" s="38"/>
      <c r="U6" s="38"/>
      <c r="V6" s="38"/>
      <c r="W6" s="38"/>
      <c r="X6" s="38"/>
      <c r="Y6" s="38"/>
      <c r="Z6" s="282"/>
      <c r="AA6" s="38"/>
      <c r="AB6" s="38"/>
      <c r="AC6" s="56"/>
      <c r="AD6" s="56"/>
      <c r="AE6" s="16" t="s">
        <v>17</v>
      </c>
      <c r="AF6" s="16"/>
      <c r="AG6" s="16">
        <f>3*1150000</f>
        <v>3450000</v>
      </c>
      <c r="AH6" s="16">
        <f>2.67*1150000</f>
        <v>3070500</v>
      </c>
      <c r="AI6" s="16"/>
    </row>
    <row r="7" spans="1:38">
      <c r="A7" s="7"/>
      <c r="B7" s="127">
        <v>1490000</v>
      </c>
      <c r="C7" s="65">
        <v>1150000</v>
      </c>
      <c r="D7" s="659"/>
      <c r="E7" s="659"/>
      <c r="F7" s="659"/>
      <c r="G7" s="659"/>
      <c r="H7" s="65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282"/>
      <c r="AA7" s="38"/>
      <c r="AB7" s="38"/>
      <c r="AE7" s="16"/>
      <c r="AF7" s="16"/>
      <c r="AG7" s="16">
        <f>AG6*10.5%</f>
        <v>362250</v>
      </c>
      <c r="AH7" s="16">
        <f>AH6*10.5%</f>
        <v>322402.5</v>
      </c>
      <c r="AI7" s="16"/>
    </row>
    <row r="8" spans="1:38">
      <c r="A8" s="7"/>
      <c r="B8" s="40"/>
      <c r="C8" s="7"/>
      <c r="D8" s="686"/>
      <c r="E8" s="686"/>
      <c r="F8" s="686"/>
      <c r="G8" s="686"/>
      <c r="H8" s="68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283"/>
      <c r="AA8" s="42"/>
      <c r="AB8" s="42"/>
      <c r="AC8" s="55"/>
      <c r="AD8" s="55"/>
      <c r="AE8" s="16"/>
      <c r="AF8" s="16"/>
      <c r="AG8" s="15">
        <f>AG6-AG7</f>
        <v>3087750</v>
      </c>
      <c r="AH8" s="15">
        <f>AH6-AH7</f>
        <v>2748097.5</v>
      </c>
      <c r="AK8" s="46"/>
    </row>
    <row r="9" spans="1:38" ht="4.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282"/>
      <c r="AA9" s="38"/>
      <c r="AB9" s="43"/>
      <c r="AE9" s="16"/>
      <c r="AF9" s="16"/>
      <c r="AG9" s="15">
        <f>AG6*0.65</f>
        <v>2242500</v>
      </c>
      <c r="AH9" s="15">
        <f>AH6*0.65</f>
        <v>1995825</v>
      </c>
      <c r="AK9" s="46"/>
    </row>
    <row r="10" spans="1:38" s="33" customFormat="1" ht="27.75" customHeight="1">
      <c r="A10" s="687" t="s">
        <v>2</v>
      </c>
      <c r="B10" s="687" t="s">
        <v>3</v>
      </c>
      <c r="C10" s="687"/>
      <c r="D10" s="688" t="s">
        <v>43</v>
      </c>
      <c r="E10" s="684" t="s">
        <v>221</v>
      </c>
      <c r="F10" s="689" t="s">
        <v>15</v>
      </c>
      <c r="G10" s="671" t="s">
        <v>116</v>
      </c>
      <c r="H10" s="684" t="s">
        <v>256</v>
      </c>
      <c r="I10" s="680" t="s">
        <v>166</v>
      </c>
      <c r="J10" s="680" t="s">
        <v>252</v>
      </c>
      <c r="K10" s="680" t="s">
        <v>253</v>
      </c>
      <c r="L10" s="680" t="s">
        <v>156</v>
      </c>
      <c r="M10" s="682"/>
      <c r="N10" s="684" t="s">
        <v>134</v>
      </c>
      <c r="O10" s="684" t="s">
        <v>135</v>
      </c>
      <c r="P10" s="671" t="s">
        <v>136</v>
      </c>
      <c r="Q10" s="664" t="s">
        <v>57</v>
      </c>
      <c r="R10" s="665"/>
      <c r="S10" s="665"/>
      <c r="T10" s="665"/>
      <c r="U10" s="666"/>
      <c r="V10" s="667" t="s">
        <v>154</v>
      </c>
      <c r="W10" s="668"/>
      <c r="X10" s="667" t="s">
        <v>155</v>
      </c>
      <c r="Y10" s="668"/>
      <c r="Z10" s="669" t="s">
        <v>258</v>
      </c>
      <c r="AA10" s="671" t="s">
        <v>140</v>
      </c>
      <c r="AB10" s="673" t="s">
        <v>5</v>
      </c>
      <c r="AC10" s="674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677"/>
      <c r="AK10" s="74"/>
      <c r="AL10" s="67"/>
    </row>
    <row r="11" spans="1:38" s="33" customFormat="1" ht="41.25" customHeight="1">
      <c r="A11" s="687"/>
      <c r="B11" s="687"/>
      <c r="C11" s="687"/>
      <c r="D11" s="688"/>
      <c r="E11" s="685"/>
      <c r="F11" s="690"/>
      <c r="G11" s="672"/>
      <c r="H11" s="685"/>
      <c r="I11" s="681"/>
      <c r="J11" s="681"/>
      <c r="K11" s="681"/>
      <c r="L11" s="681"/>
      <c r="M11" s="683"/>
      <c r="N11" s="685"/>
      <c r="O11" s="685"/>
      <c r="P11" s="672"/>
      <c r="Q11" s="121" t="s">
        <v>101</v>
      </c>
      <c r="R11" s="121" t="s">
        <v>58</v>
      </c>
      <c r="S11" s="121" t="s">
        <v>52</v>
      </c>
      <c r="T11" s="119" t="s">
        <v>137</v>
      </c>
      <c r="U11" s="119" t="s">
        <v>138</v>
      </c>
      <c r="V11" s="119" t="s">
        <v>72</v>
      </c>
      <c r="W11" s="269" t="s">
        <v>156</v>
      </c>
      <c r="X11" s="119" t="s">
        <v>72</v>
      </c>
      <c r="Y11" s="269" t="s">
        <v>156</v>
      </c>
      <c r="Z11" s="670"/>
      <c r="AA11" s="672"/>
      <c r="AB11" s="675"/>
      <c r="AC11" s="676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677"/>
      <c r="AK11" s="74"/>
      <c r="AL11" s="67"/>
    </row>
    <row r="12" spans="1:38" s="33" customFormat="1" ht="27.75" customHeight="1">
      <c r="A12" s="69" t="s">
        <v>141</v>
      </c>
      <c r="B12" s="230" t="s">
        <v>142</v>
      </c>
      <c r="C12" s="231"/>
      <c r="D12" s="70" t="s">
        <v>143</v>
      </c>
      <c r="E12" s="70"/>
      <c r="F12" s="129"/>
      <c r="G12" s="141" t="s">
        <v>144</v>
      </c>
      <c r="H12" s="130" t="s">
        <v>39</v>
      </c>
      <c r="I12" s="232" t="s">
        <v>37</v>
      </c>
      <c r="J12" s="232"/>
      <c r="K12" s="232" t="s">
        <v>38</v>
      </c>
      <c r="L12" s="232" t="s">
        <v>254</v>
      </c>
      <c r="M12" s="130"/>
      <c r="N12" s="130" t="s">
        <v>62</v>
      </c>
      <c r="O12" s="130" t="s">
        <v>40</v>
      </c>
      <c r="P12" s="232" t="s">
        <v>162</v>
      </c>
      <c r="Q12" s="130" t="s">
        <v>63</v>
      </c>
      <c r="R12" s="130" t="s">
        <v>64</v>
      </c>
      <c r="S12" s="130" t="s">
        <v>145</v>
      </c>
      <c r="T12" s="130" t="s">
        <v>146</v>
      </c>
      <c r="U12" s="232" t="s">
        <v>163</v>
      </c>
      <c r="V12" s="130" t="s">
        <v>147</v>
      </c>
      <c r="W12" s="130" t="s">
        <v>148</v>
      </c>
      <c r="X12" s="130" t="s">
        <v>149</v>
      </c>
      <c r="Y12" s="130" t="s">
        <v>157</v>
      </c>
      <c r="Z12" s="291" t="s">
        <v>333</v>
      </c>
      <c r="AA12" s="232" t="s">
        <v>334</v>
      </c>
      <c r="AB12" s="678" t="s">
        <v>158</v>
      </c>
      <c r="AC12" s="679"/>
      <c r="AD12" s="71"/>
      <c r="AE12" s="128"/>
      <c r="AF12" s="73"/>
      <c r="AG12" s="73"/>
      <c r="AH12" s="73"/>
      <c r="AI12" s="73"/>
      <c r="AJ12" s="122"/>
      <c r="AK12" s="74"/>
      <c r="AL12" s="67"/>
    </row>
    <row r="13" spans="1:38" s="334" customFormat="1" ht="29.25" customHeight="1">
      <c r="A13" s="110" t="s">
        <v>27</v>
      </c>
      <c r="B13" s="246" t="s">
        <v>177</v>
      </c>
      <c r="C13" s="111"/>
      <c r="D13" s="207" t="s">
        <v>47</v>
      </c>
      <c r="E13" s="293" t="s">
        <v>224</v>
      </c>
      <c r="F13" s="247" t="s">
        <v>191</v>
      </c>
      <c r="G13" s="248" t="s">
        <v>232</v>
      </c>
      <c r="H13" s="249">
        <v>3</v>
      </c>
      <c r="I13" s="112">
        <v>4873050</v>
      </c>
      <c r="J13" s="215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294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295"/>
      <c r="AD13" s="89" t="s">
        <v>217</v>
      </c>
      <c r="AE13" s="107"/>
      <c r="AF13" s="103"/>
      <c r="AK13" s="333"/>
    </row>
    <row r="14" spans="1:38" s="334" customFormat="1" ht="30.75" customHeight="1">
      <c r="A14" s="181" t="s">
        <v>28</v>
      </c>
      <c r="B14" s="81" t="s">
        <v>236</v>
      </c>
      <c r="C14" s="82"/>
      <c r="D14" s="99" t="s">
        <v>47</v>
      </c>
      <c r="E14" s="206"/>
      <c r="F14" s="202" t="str">
        <f>VLOOKUP(B14,[1]LuongBC_T01!$B$277:$C$292,2,FALSE)</f>
        <v>0016100006668008</v>
      </c>
      <c r="G14" s="84" t="s">
        <v>232</v>
      </c>
      <c r="H14" s="211">
        <v>9</v>
      </c>
      <c r="I14" s="85">
        <v>6530353</v>
      </c>
      <c r="J14" s="100"/>
      <c r="K14" s="85"/>
      <c r="L14" s="85">
        <f t="shared" si="0"/>
        <v>6530353</v>
      </c>
      <c r="M14" s="85"/>
      <c r="N14" s="85">
        <f t="shared" si="1"/>
        <v>0</v>
      </c>
      <c r="O14" s="85"/>
      <c r="P14" s="85">
        <f t="shared" si="2"/>
        <v>6530353</v>
      </c>
      <c r="Q14" s="85">
        <f>L14*8%</f>
        <v>522428.24</v>
      </c>
      <c r="R14" s="86">
        <f>L14*1.5%</f>
        <v>97955.294999999998</v>
      </c>
      <c r="S14" s="85">
        <f>L14*1%</f>
        <v>65303.53</v>
      </c>
      <c r="T14" s="86"/>
      <c r="U14" s="86">
        <f t="shared" si="3"/>
        <v>685687.06500000006</v>
      </c>
      <c r="V14" s="86"/>
      <c r="W14" s="86"/>
      <c r="X14" s="132"/>
      <c r="Y14" s="86"/>
      <c r="Z14" s="86"/>
      <c r="AA14" s="86">
        <f t="shared" si="4"/>
        <v>5844665.9349999996</v>
      </c>
      <c r="AB14" s="88" t="str">
        <f t="shared" si="5"/>
        <v>02</v>
      </c>
      <c r="AC14" s="89"/>
      <c r="AD14" s="333"/>
      <c r="AE14" s="333"/>
      <c r="AK14" s="333"/>
    </row>
    <row r="15" spans="1:38" s="334" customFormat="1" ht="42.75" customHeight="1">
      <c r="A15" s="181" t="s">
        <v>29</v>
      </c>
      <c r="B15" s="318" t="s">
        <v>229</v>
      </c>
      <c r="C15" s="319"/>
      <c r="D15" s="320" t="s">
        <v>230</v>
      </c>
      <c r="E15" s="321"/>
      <c r="F15" s="322"/>
      <c r="G15" s="323" t="s">
        <v>228</v>
      </c>
      <c r="H15" s="324">
        <v>3</v>
      </c>
      <c r="I15" s="325">
        <v>5579155</v>
      </c>
      <c r="J15" s="326"/>
      <c r="K15" s="325"/>
      <c r="L15" s="325">
        <f t="shared" si="0"/>
        <v>5579155</v>
      </c>
      <c r="M15" s="325"/>
      <c r="N15" s="325">
        <f t="shared" si="1"/>
        <v>0</v>
      </c>
      <c r="O15" s="325"/>
      <c r="P15" s="325">
        <f t="shared" si="2"/>
        <v>5579155</v>
      </c>
      <c r="Q15" s="325"/>
      <c r="R15" s="327"/>
      <c r="S15" s="325"/>
      <c r="T15" s="327"/>
      <c r="U15" s="327">
        <f t="shared" si="3"/>
        <v>0</v>
      </c>
      <c r="V15" s="327"/>
      <c r="W15" s="327"/>
      <c r="X15" s="327"/>
      <c r="Y15" s="327"/>
      <c r="Z15" s="327"/>
      <c r="AA15" s="327">
        <f t="shared" si="4"/>
        <v>5579155</v>
      </c>
      <c r="AB15" s="328" t="str">
        <f t="shared" si="5"/>
        <v>03</v>
      </c>
      <c r="AC15" s="329" t="s">
        <v>349</v>
      </c>
      <c r="AD15" s="296"/>
      <c r="AE15" s="210"/>
      <c r="AF15" s="210"/>
      <c r="AG15" s="97"/>
      <c r="AH15" s="97"/>
      <c r="AK15" s="98"/>
    </row>
    <row r="16" spans="1:38" s="334" customFormat="1" ht="24.75" customHeight="1">
      <c r="A16" s="181" t="s">
        <v>30</v>
      </c>
      <c r="B16" s="81" t="s">
        <v>235</v>
      </c>
      <c r="C16" s="82"/>
      <c r="D16" s="99" t="s">
        <v>47</v>
      </c>
      <c r="E16" s="206"/>
      <c r="F16" s="202" t="str">
        <f>VLOOKUP(B16,[1]LuongBC_T01!$B$277:$C$292,2,FALSE)</f>
        <v>0016100006650001</v>
      </c>
      <c r="G16" s="84" t="s">
        <v>232</v>
      </c>
      <c r="H16" s="211">
        <v>9</v>
      </c>
      <c r="I16" s="85">
        <v>6856871</v>
      </c>
      <c r="J16" s="100"/>
      <c r="K16" s="85"/>
      <c r="L16" s="85">
        <f t="shared" si="0"/>
        <v>6856871</v>
      </c>
      <c r="M16" s="85"/>
      <c r="N16" s="85">
        <f t="shared" si="1"/>
        <v>0</v>
      </c>
      <c r="O16" s="85"/>
      <c r="P16" s="85">
        <f t="shared" si="2"/>
        <v>6856871</v>
      </c>
      <c r="Q16" s="85">
        <f t="shared" ref="Q16:Q34" si="6">L16*8%</f>
        <v>548549.68000000005</v>
      </c>
      <c r="R16" s="86">
        <f t="shared" ref="R16:R59" si="7">L16*1.5%</f>
        <v>102853.065</v>
      </c>
      <c r="S16" s="85">
        <f t="shared" ref="S16:S59" si="8">L16*1%</f>
        <v>68568.710000000006</v>
      </c>
      <c r="T16" s="86"/>
      <c r="U16" s="86">
        <f t="shared" si="3"/>
        <v>719971.45500000007</v>
      </c>
      <c r="V16" s="86"/>
      <c r="W16" s="86"/>
      <c r="X16" s="132"/>
      <c r="Y16" s="86"/>
      <c r="Z16" s="86"/>
      <c r="AA16" s="86">
        <f t="shared" si="4"/>
        <v>6136899.5449999999</v>
      </c>
      <c r="AB16" s="88" t="str">
        <f t="shared" si="5"/>
        <v>04</v>
      </c>
      <c r="AC16" s="89"/>
      <c r="AD16" s="333"/>
      <c r="AE16" s="333"/>
      <c r="AK16" s="333"/>
    </row>
    <row r="17" spans="1:37" s="334" customFormat="1" ht="42.75" customHeight="1">
      <c r="A17" s="181" t="s">
        <v>31</v>
      </c>
      <c r="B17" s="81" t="s">
        <v>296</v>
      </c>
      <c r="C17" s="82"/>
      <c r="D17" s="99" t="s">
        <v>230</v>
      </c>
      <c r="E17" s="205" t="s">
        <v>313</v>
      </c>
      <c r="F17" s="266" t="s">
        <v>314</v>
      </c>
      <c r="G17" s="84" t="s">
        <v>228</v>
      </c>
      <c r="H17" s="211">
        <v>1</v>
      </c>
      <c r="I17" s="85">
        <v>5060458</v>
      </c>
      <c r="J17" s="100"/>
      <c r="K17" s="85"/>
      <c r="L17" s="85">
        <f t="shared" si="0"/>
        <v>5060458</v>
      </c>
      <c r="M17" s="85"/>
      <c r="N17" s="85">
        <f t="shared" si="1"/>
        <v>0</v>
      </c>
      <c r="O17" s="85"/>
      <c r="P17" s="85">
        <f t="shared" si="2"/>
        <v>5060458</v>
      </c>
      <c r="Q17" s="85">
        <f t="shared" si="6"/>
        <v>404836.64</v>
      </c>
      <c r="R17" s="86">
        <f t="shared" si="7"/>
        <v>75906.87</v>
      </c>
      <c r="S17" s="85">
        <f t="shared" si="8"/>
        <v>50604.58</v>
      </c>
      <c r="T17" s="86"/>
      <c r="U17" s="86">
        <f t="shared" si="3"/>
        <v>531348.09</v>
      </c>
      <c r="V17" s="86"/>
      <c r="W17" s="87"/>
      <c r="X17" s="87"/>
      <c r="Y17" s="87"/>
      <c r="Z17" s="87"/>
      <c r="AA17" s="86">
        <f t="shared" si="4"/>
        <v>4529109.91</v>
      </c>
      <c r="AB17" s="88" t="str">
        <f t="shared" si="5"/>
        <v>05</v>
      </c>
      <c r="AC17" s="233"/>
      <c r="AD17" s="233" t="s">
        <v>298</v>
      </c>
      <c r="AE17" s="104"/>
      <c r="AF17" s="125"/>
      <c r="AK17" s="333"/>
    </row>
    <row r="18" spans="1:37" s="334" customFormat="1" ht="31.5" customHeight="1">
      <c r="A18" s="181" t="s">
        <v>32</v>
      </c>
      <c r="B18" s="81" t="s">
        <v>316</v>
      </c>
      <c r="C18" s="82"/>
      <c r="D18" s="99" t="s">
        <v>47</v>
      </c>
      <c r="E18" s="206"/>
      <c r="F18" s="202"/>
      <c r="G18" s="84" t="s">
        <v>231</v>
      </c>
      <c r="H18" s="211">
        <v>12</v>
      </c>
      <c r="I18" s="85">
        <v>8088879</v>
      </c>
      <c r="J18" s="100"/>
      <c r="K18" s="85"/>
      <c r="L18" s="85">
        <f t="shared" si="0"/>
        <v>8088879</v>
      </c>
      <c r="M18" s="85"/>
      <c r="N18" s="85">
        <f t="shared" si="1"/>
        <v>0</v>
      </c>
      <c r="O18" s="85"/>
      <c r="P18" s="85">
        <f t="shared" si="2"/>
        <v>8088879</v>
      </c>
      <c r="Q18" s="85">
        <f t="shared" si="6"/>
        <v>647110.32000000007</v>
      </c>
      <c r="R18" s="86">
        <f t="shared" si="7"/>
        <v>121333.185</v>
      </c>
      <c r="S18" s="85">
        <f t="shared" si="8"/>
        <v>80888.790000000008</v>
      </c>
      <c r="T18" s="86"/>
      <c r="U18" s="86">
        <f t="shared" si="3"/>
        <v>849332.29500000016</v>
      </c>
      <c r="V18" s="86"/>
      <c r="W18" s="86"/>
      <c r="X18" s="132"/>
      <c r="Y18" s="86"/>
      <c r="Z18" s="86"/>
      <c r="AA18" s="86">
        <f t="shared" si="4"/>
        <v>7239546.7050000001</v>
      </c>
      <c r="AB18" s="88" t="str">
        <f t="shared" si="5"/>
        <v>06</v>
      </c>
      <c r="AC18" s="89"/>
      <c r="AD18" s="89"/>
      <c r="AE18" s="107"/>
      <c r="AF18" s="103"/>
      <c r="AK18" s="333"/>
    </row>
    <row r="19" spans="1:37" s="91" customFormat="1" ht="31.5" customHeight="1">
      <c r="A19" s="181" t="s">
        <v>33</v>
      </c>
      <c r="B19" s="81" t="s">
        <v>317</v>
      </c>
      <c r="C19" s="82"/>
      <c r="D19" s="99" t="s">
        <v>318</v>
      </c>
      <c r="E19" s="206"/>
      <c r="F19" s="188"/>
      <c r="G19" s="84" t="s">
        <v>228</v>
      </c>
      <c r="H19" s="211">
        <v>6</v>
      </c>
      <c r="I19" s="85">
        <v>6458569</v>
      </c>
      <c r="J19" s="100"/>
      <c r="K19" s="85"/>
      <c r="L19" s="85">
        <f t="shared" si="0"/>
        <v>6458569</v>
      </c>
      <c r="M19" s="85"/>
      <c r="N19" s="85">
        <f t="shared" si="1"/>
        <v>0</v>
      </c>
      <c r="O19" s="85"/>
      <c r="P19" s="85">
        <f t="shared" si="2"/>
        <v>6458569</v>
      </c>
      <c r="Q19" s="85">
        <f t="shared" si="6"/>
        <v>516685.52</v>
      </c>
      <c r="R19" s="86">
        <f t="shared" si="7"/>
        <v>96878.535000000003</v>
      </c>
      <c r="S19" s="85">
        <f t="shared" si="8"/>
        <v>64585.69</v>
      </c>
      <c r="T19" s="86"/>
      <c r="U19" s="86">
        <f t="shared" si="3"/>
        <v>678149.74500000011</v>
      </c>
      <c r="V19" s="86"/>
      <c r="W19" s="86"/>
      <c r="X19" s="132"/>
      <c r="Y19" s="86"/>
      <c r="Z19" s="86"/>
      <c r="AA19" s="86">
        <f t="shared" si="4"/>
        <v>5780419.2549999999</v>
      </c>
      <c r="AB19" s="88" t="str">
        <f t="shared" si="5"/>
        <v>07</v>
      </c>
      <c r="AC19" s="89"/>
      <c r="AD19" s="89"/>
      <c r="AE19" s="107"/>
      <c r="AF19" s="103"/>
      <c r="AG19" s="334"/>
      <c r="AK19" s="92"/>
    </row>
    <row r="20" spans="1:37" s="91" customFormat="1" ht="28.5" customHeight="1">
      <c r="A20" s="181" t="s">
        <v>34</v>
      </c>
      <c r="B20" s="81" t="s">
        <v>122</v>
      </c>
      <c r="C20" s="82" t="s">
        <v>97</v>
      </c>
      <c r="D20" s="99" t="s">
        <v>108</v>
      </c>
      <c r="E20" s="205" t="s">
        <v>222</v>
      </c>
      <c r="F20" s="188" t="s">
        <v>194</v>
      </c>
      <c r="G20" s="94" t="s">
        <v>228</v>
      </c>
      <c r="H20" s="211">
        <v>5</v>
      </c>
      <c r="I20" s="85">
        <v>6151018</v>
      </c>
      <c r="J20" s="100"/>
      <c r="K20" s="85"/>
      <c r="L20" s="85">
        <f t="shared" si="0"/>
        <v>6151018</v>
      </c>
      <c r="M20" s="85"/>
      <c r="N20" s="85">
        <f t="shared" si="1"/>
        <v>0</v>
      </c>
      <c r="O20" s="85"/>
      <c r="P20" s="85">
        <f t="shared" si="2"/>
        <v>6151018</v>
      </c>
      <c r="Q20" s="85">
        <f t="shared" si="6"/>
        <v>492081.44</v>
      </c>
      <c r="R20" s="86">
        <f t="shared" si="7"/>
        <v>92265.26999999999</v>
      </c>
      <c r="S20" s="85">
        <f t="shared" si="8"/>
        <v>61510.18</v>
      </c>
      <c r="T20" s="86"/>
      <c r="U20" s="86">
        <f t="shared" si="3"/>
        <v>645856.89</v>
      </c>
      <c r="V20" s="86"/>
      <c r="W20" s="86"/>
      <c r="X20" s="86"/>
      <c r="Y20" s="86"/>
      <c r="Z20" s="86"/>
      <c r="AA20" s="86">
        <f t="shared" si="4"/>
        <v>5505161.1100000003</v>
      </c>
      <c r="AB20" s="88" t="str">
        <f t="shared" si="5"/>
        <v>08</v>
      </c>
      <c r="AC20" s="89"/>
      <c r="AD20" s="89" t="s">
        <v>98</v>
      </c>
      <c r="AE20" s="89" t="s">
        <v>100</v>
      </c>
      <c r="AF20" s="97" t="e">
        <f>#REF!*2</f>
        <v>#REF!</v>
      </c>
      <c r="AG20" s="97"/>
      <c r="AH20" s="97"/>
      <c r="AK20" s="98"/>
    </row>
    <row r="21" spans="1:37" s="334" customFormat="1" ht="26.25" customHeight="1">
      <c r="A21" s="181" t="s">
        <v>35</v>
      </c>
      <c r="B21" s="124" t="s">
        <v>119</v>
      </c>
      <c r="C21" s="82" t="s">
        <v>6</v>
      </c>
      <c r="D21" s="99" t="s">
        <v>153</v>
      </c>
      <c r="E21" s="267" t="s">
        <v>220</v>
      </c>
      <c r="F21" s="202" t="s">
        <v>188</v>
      </c>
      <c r="G21" s="94" t="s">
        <v>231</v>
      </c>
      <c r="H21" s="83">
        <v>5</v>
      </c>
      <c r="I21" s="85">
        <v>5748615</v>
      </c>
      <c r="J21" s="100"/>
      <c r="K21" s="85"/>
      <c r="L21" s="85">
        <f t="shared" si="0"/>
        <v>5748615</v>
      </c>
      <c r="M21" s="85"/>
      <c r="N21" s="85">
        <f t="shared" si="1"/>
        <v>0</v>
      </c>
      <c r="O21" s="85"/>
      <c r="P21" s="85">
        <f t="shared" si="2"/>
        <v>5748615</v>
      </c>
      <c r="Q21" s="85">
        <f t="shared" si="6"/>
        <v>459889.2</v>
      </c>
      <c r="R21" s="86">
        <f t="shared" si="7"/>
        <v>86229.224999999991</v>
      </c>
      <c r="S21" s="85">
        <f t="shared" si="8"/>
        <v>57486.15</v>
      </c>
      <c r="T21" s="86"/>
      <c r="U21" s="86">
        <f t="shared" si="3"/>
        <v>603604.57500000007</v>
      </c>
      <c r="V21" s="86"/>
      <c r="W21" s="86"/>
      <c r="X21" s="86"/>
      <c r="Y21" s="86"/>
      <c r="Z21" s="86"/>
      <c r="AA21" s="86">
        <f t="shared" si="4"/>
        <v>5145010.4249999998</v>
      </c>
      <c r="AB21" s="88" t="str">
        <f t="shared" si="5"/>
        <v>09</v>
      </c>
      <c r="AC21" s="89" t="s">
        <v>331</v>
      </c>
      <c r="AD21" s="104">
        <f>3.33*1390000</f>
        <v>4628700</v>
      </c>
      <c r="AE21" s="652"/>
      <c r="AF21" s="653"/>
      <c r="AG21" s="653"/>
      <c r="AK21" s="106"/>
    </row>
    <row r="22" spans="1:37" s="334" customFormat="1" ht="23.25" customHeight="1">
      <c r="A22" s="181" t="s">
        <v>19</v>
      </c>
      <c r="B22" s="81" t="s">
        <v>126</v>
      </c>
      <c r="C22" s="82" t="s">
        <v>69</v>
      </c>
      <c r="D22" s="99" t="s">
        <v>59</v>
      </c>
      <c r="E22" s="206" t="str">
        <f>VLOOKUP(B22,[2]T3!$B$2:$D$328,3,FALSE)</f>
        <v>026050143</v>
      </c>
      <c r="F22" s="202" t="s">
        <v>203</v>
      </c>
      <c r="G22" s="94" t="s">
        <v>228</v>
      </c>
      <c r="H22" s="211">
        <v>6</v>
      </c>
      <c r="I22" s="85">
        <v>6458569</v>
      </c>
      <c r="J22" s="100"/>
      <c r="K22" s="85"/>
      <c r="L22" s="85">
        <f t="shared" si="0"/>
        <v>6458569</v>
      </c>
      <c r="M22" s="85"/>
      <c r="N22" s="85">
        <f t="shared" si="1"/>
        <v>0</v>
      </c>
      <c r="O22" s="85"/>
      <c r="P22" s="85">
        <f t="shared" si="2"/>
        <v>6458569</v>
      </c>
      <c r="Q22" s="85">
        <f t="shared" si="6"/>
        <v>516685.52</v>
      </c>
      <c r="R22" s="86">
        <f t="shared" si="7"/>
        <v>96878.535000000003</v>
      </c>
      <c r="S22" s="85">
        <f t="shared" si="8"/>
        <v>64585.69</v>
      </c>
      <c r="T22" s="86"/>
      <c r="U22" s="86">
        <f t="shared" si="3"/>
        <v>678149.74500000011</v>
      </c>
      <c r="V22" s="86"/>
      <c r="W22" s="86"/>
      <c r="X22" s="86"/>
      <c r="Y22" s="86"/>
      <c r="Z22" s="86"/>
      <c r="AA22" s="86">
        <f t="shared" si="4"/>
        <v>5780419.2549999999</v>
      </c>
      <c r="AB22" s="88" t="str">
        <f t="shared" si="5"/>
        <v>10</v>
      </c>
      <c r="AC22" s="89"/>
      <c r="AD22" s="115" t="s">
        <v>96</v>
      </c>
      <c r="AE22" s="104" t="e">
        <f>#REF!/24</f>
        <v>#REF!</v>
      </c>
      <c r="AK22" s="333"/>
    </row>
    <row r="23" spans="1:37" s="334" customFormat="1" ht="27" customHeight="1">
      <c r="A23" s="181" t="s">
        <v>20</v>
      </c>
      <c r="B23" s="124" t="s">
        <v>114</v>
      </c>
      <c r="C23" s="82" t="s">
        <v>111</v>
      </c>
      <c r="D23" s="99" t="s">
        <v>108</v>
      </c>
      <c r="E23" s="206" t="str">
        <f>VLOOKUP(B23,[2]T3!$B$2:$D$328,3,FALSE)</f>
        <v>025444854</v>
      </c>
      <c r="F23" s="202" t="s">
        <v>195</v>
      </c>
      <c r="G23" s="94" t="s">
        <v>231</v>
      </c>
      <c r="H23" s="211">
        <v>2</v>
      </c>
      <c r="I23" s="85">
        <v>4965870</v>
      </c>
      <c r="J23" s="100"/>
      <c r="K23" s="85"/>
      <c r="L23" s="85">
        <f t="shared" si="0"/>
        <v>4965870</v>
      </c>
      <c r="M23" s="85"/>
      <c r="N23" s="85">
        <f t="shared" si="1"/>
        <v>0</v>
      </c>
      <c r="O23" s="85"/>
      <c r="P23" s="85">
        <f t="shared" si="2"/>
        <v>4965870</v>
      </c>
      <c r="Q23" s="85">
        <f t="shared" si="6"/>
        <v>397269.60000000003</v>
      </c>
      <c r="R23" s="86">
        <f t="shared" si="7"/>
        <v>74488.05</v>
      </c>
      <c r="S23" s="85">
        <f t="shared" si="8"/>
        <v>49658.700000000004</v>
      </c>
      <c r="T23" s="86"/>
      <c r="U23" s="86">
        <f t="shared" si="3"/>
        <v>521416.35000000003</v>
      </c>
      <c r="V23" s="86"/>
      <c r="W23" s="86"/>
      <c r="X23" s="86"/>
      <c r="Y23" s="86"/>
      <c r="Z23" s="86"/>
      <c r="AA23" s="86">
        <f t="shared" si="4"/>
        <v>4444453.6500000004</v>
      </c>
      <c r="AB23" s="88" t="str">
        <f t="shared" si="5"/>
        <v>11</v>
      </c>
      <c r="AC23" s="89"/>
      <c r="AD23" s="89" t="s">
        <v>112</v>
      </c>
      <c r="AE23" s="125"/>
      <c r="AF23" s="97"/>
      <c r="AG23" s="97"/>
      <c r="AH23" s="97"/>
      <c r="AK23" s="98"/>
    </row>
    <row r="24" spans="1:37" s="334" customFormat="1" ht="30" customHeight="1">
      <c r="A24" s="181" t="s">
        <v>21</v>
      </c>
      <c r="B24" s="81" t="s">
        <v>242</v>
      </c>
      <c r="C24" s="82"/>
      <c r="D24" s="99" t="s">
        <v>243</v>
      </c>
      <c r="E24" s="206"/>
      <c r="F24" s="202" t="str">
        <f>VLOOKUP(B24,[1]LuongBC_T01!$B$277:$C$292,2,FALSE)</f>
        <v>0016100006675004</v>
      </c>
      <c r="G24" s="94" t="s">
        <v>231</v>
      </c>
      <c r="H24" s="83">
        <v>4</v>
      </c>
      <c r="I24" s="85">
        <v>5474872</v>
      </c>
      <c r="J24" s="100"/>
      <c r="K24" s="85"/>
      <c r="L24" s="85">
        <f t="shared" si="0"/>
        <v>5474872</v>
      </c>
      <c r="M24" s="85"/>
      <c r="N24" s="85">
        <f t="shared" si="1"/>
        <v>0</v>
      </c>
      <c r="O24" s="85"/>
      <c r="P24" s="85">
        <f t="shared" si="2"/>
        <v>5474872</v>
      </c>
      <c r="Q24" s="85">
        <f t="shared" si="6"/>
        <v>437989.76</v>
      </c>
      <c r="R24" s="86">
        <f t="shared" si="7"/>
        <v>82123.08</v>
      </c>
      <c r="S24" s="85">
        <f t="shared" si="8"/>
        <v>54748.72</v>
      </c>
      <c r="T24" s="86"/>
      <c r="U24" s="86">
        <f t="shared" si="3"/>
        <v>574861.56000000006</v>
      </c>
      <c r="V24" s="86"/>
      <c r="W24" s="87"/>
      <c r="X24" s="87"/>
      <c r="Y24" s="87"/>
      <c r="Z24" s="87"/>
      <c r="AA24" s="86">
        <f t="shared" si="4"/>
        <v>4900010.4399999995</v>
      </c>
      <c r="AB24" s="88" t="str">
        <f t="shared" si="5"/>
        <v>12</v>
      </c>
      <c r="AC24" s="89"/>
      <c r="AD24" s="89"/>
      <c r="AE24" s="96"/>
      <c r="AF24" s="97"/>
      <c r="AG24" s="97"/>
      <c r="AH24" s="97"/>
      <c r="AI24" s="97"/>
      <c r="AJ24" s="96"/>
      <c r="AK24" s="98"/>
    </row>
    <row r="25" spans="1:37" s="334" customFormat="1" ht="30.75" customHeight="1">
      <c r="A25" s="181" t="s">
        <v>26</v>
      </c>
      <c r="B25" s="81" t="s">
        <v>233</v>
      </c>
      <c r="C25" s="82"/>
      <c r="D25" s="99" t="s">
        <v>8</v>
      </c>
      <c r="E25" s="267"/>
      <c r="F25" s="202" t="str">
        <f>VLOOKUP(B25,[1]LuongBC_T01!$B$277:$C$292,2,FALSE)</f>
        <v>0016100006692006</v>
      </c>
      <c r="G25" s="94" t="s">
        <v>232</v>
      </c>
      <c r="H25" s="211">
        <v>11</v>
      </c>
      <c r="I25" s="85">
        <v>7559700</v>
      </c>
      <c r="J25" s="100"/>
      <c r="K25" s="85"/>
      <c r="L25" s="85">
        <f t="shared" si="0"/>
        <v>7559700</v>
      </c>
      <c r="M25" s="85"/>
      <c r="N25" s="85">
        <f t="shared" si="1"/>
        <v>0</v>
      </c>
      <c r="O25" s="85"/>
      <c r="P25" s="85">
        <f t="shared" si="2"/>
        <v>7559700</v>
      </c>
      <c r="Q25" s="85">
        <f t="shared" si="6"/>
        <v>604776</v>
      </c>
      <c r="R25" s="86">
        <f t="shared" si="7"/>
        <v>113395.5</v>
      </c>
      <c r="S25" s="85">
        <f t="shared" si="8"/>
        <v>75597</v>
      </c>
      <c r="T25" s="86"/>
      <c r="U25" s="86">
        <f t="shared" si="3"/>
        <v>793768.5</v>
      </c>
      <c r="V25" s="132"/>
      <c r="W25" s="86"/>
      <c r="X25" s="86"/>
      <c r="Y25" s="86"/>
      <c r="Z25" s="86"/>
      <c r="AA25" s="86">
        <f t="shared" si="4"/>
        <v>6765931.5</v>
      </c>
      <c r="AB25" s="88" t="str">
        <f t="shared" si="5"/>
        <v>13</v>
      </c>
      <c r="AC25" s="89"/>
      <c r="AD25" s="104"/>
      <c r="AE25" s="212"/>
      <c r="AF25" s="97"/>
      <c r="AG25" s="97"/>
      <c r="AI25" s="125"/>
      <c r="AK25" s="98"/>
    </row>
    <row r="26" spans="1:37" s="334" customFormat="1" ht="29.25" customHeight="1">
      <c r="A26" s="181" t="s">
        <v>22</v>
      </c>
      <c r="B26" s="81" t="s">
        <v>234</v>
      </c>
      <c r="C26" s="82"/>
      <c r="D26" s="99" t="s">
        <v>8</v>
      </c>
      <c r="E26" s="267"/>
      <c r="F26" s="202" t="str">
        <f>VLOOKUP(B26,[1]LuongBC_T01!$B$277:$C$292,2,FALSE)</f>
        <v>0016100006677007</v>
      </c>
      <c r="G26" s="94" t="s">
        <v>232</v>
      </c>
      <c r="H26" s="211">
        <v>10</v>
      </c>
      <c r="I26" s="85">
        <v>7199714</v>
      </c>
      <c r="J26" s="100"/>
      <c r="K26" s="85"/>
      <c r="L26" s="85">
        <f t="shared" si="0"/>
        <v>7199714</v>
      </c>
      <c r="M26" s="85"/>
      <c r="N26" s="85">
        <f t="shared" si="1"/>
        <v>0</v>
      </c>
      <c r="O26" s="85"/>
      <c r="P26" s="85">
        <f t="shared" si="2"/>
        <v>7199714</v>
      </c>
      <c r="Q26" s="85">
        <f t="shared" si="6"/>
        <v>575977.12</v>
      </c>
      <c r="R26" s="86">
        <f t="shared" si="7"/>
        <v>107995.70999999999</v>
      </c>
      <c r="S26" s="85">
        <f t="shared" si="8"/>
        <v>71997.14</v>
      </c>
      <c r="T26" s="86"/>
      <c r="U26" s="86">
        <f t="shared" si="3"/>
        <v>755969.97</v>
      </c>
      <c r="V26" s="132"/>
      <c r="W26" s="86"/>
      <c r="X26" s="86"/>
      <c r="Y26" s="86"/>
      <c r="Z26" s="86"/>
      <c r="AA26" s="86">
        <f t="shared" si="4"/>
        <v>6443744.0300000003</v>
      </c>
      <c r="AB26" s="88" t="str">
        <f t="shared" si="5"/>
        <v>14</v>
      </c>
      <c r="AC26" s="89"/>
      <c r="AD26" s="104"/>
      <c r="AE26" s="212"/>
      <c r="AF26" s="97"/>
      <c r="AG26" s="97"/>
      <c r="AI26" s="125"/>
      <c r="AK26" s="98"/>
    </row>
    <row r="27" spans="1:37" s="334" customFormat="1" ht="29.25" customHeight="1">
      <c r="A27" s="181" t="s">
        <v>23</v>
      </c>
      <c r="B27" s="81" t="s">
        <v>239</v>
      </c>
      <c r="C27" s="82"/>
      <c r="D27" s="99" t="s">
        <v>8</v>
      </c>
      <c r="E27" s="206"/>
      <c r="F27" s="202"/>
      <c r="G27" s="84" t="s">
        <v>232</v>
      </c>
      <c r="H27" s="211">
        <v>2</v>
      </c>
      <c r="I27" s="85">
        <v>4641000</v>
      </c>
      <c r="J27" s="100"/>
      <c r="K27" s="85"/>
      <c r="L27" s="85">
        <f t="shared" si="0"/>
        <v>4641000</v>
      </c>
      <c r="M27" s="85"/>
      <c r="N27" s="85">
        <f t="shared" si="1"/>
        <v>0</v>
      </c>
      <c r="O27" s="85"/>
      <c r="P27" s="85">
        <f t="shared" si="2"/>
        <v>4641000</v>
      </c>
      <c r="Q27" s="85">
        <f t="shared" si="6"/>
        <v>371280</v>
      </c>
      <c r="R27" s="86">
        <f t="shared" si="7"/>
        <v>69615</v>
      </c>
      <c r="S27" s="85">
        <f t="shared" si="8"/>
        <v>46410</v>
      </c>
      <c r="T27" s="86"/>
      <c r="U27" s="86">
        <f t="shared" si="3"/>
        <v>487305</v>
      </c>
      <c r="V27" s="86"/>
      <c r="W27" s="86"/>
      <c r="X27" s="132"/>
      <c r="Y27" s="86"/>
      <c r="Z27" s="86"/>
      <c r="AA27" s="86">
        <f t="shared" si="4"/>
        <v>4153695</v>
      </c>
      <c r="AB27" s="88" t="str">
        <f t="shared" si="5"/>
        <v>15</v>
      </c>
      <c r="AC27" s="89"/>
      <c r="AD27" s="89"/>
      <c r="AE27" s="107"/>
      <c r="AF27" s="103"/>
      <c r="AK27" s="333"/>
    </row>
    <row r="28" spans="1:37" s="91" customFormat="1" ht="28.5" customHeight="1">
      <c r="A28" s="181" t="s">
        <v>24</v>
      </c>
      <c r="B28" s="81" t="s">
        <v>127</v>
      </c>
      <c r="C28" s="82" t="s">
        <v>50</v>
      </c>
      <c r="D28" s="99" t="s">
        <v>260</v>
      </c>
      <c r="E28" s="206" t="str">
        <f>VLOOKUP(B28,[2]T3!$B$2:$D$328,3,FALSE)</f>
        <v>025177943</v>
      </c>
      <c r="F28" s="188" t="s">
        <v>201</v>
      </c>
      <c r="G28" s="94" t="s">
        <v>231</v>
      </c>
      <c r="H28" s="83">
        <v>4</v>
      </c>
      <c r="I28" s="85">
        <v>5474872</v>
      </c>
      <c r="J28" s="100"/>
      <c r="K28" s="85"/>
      <c r="L28" s="85">
        <f t="shared" si="0"/>
        <v>5474872</v>
      </c>
      <c r="M28" s="85"/>
      <c r="N28" s="85">
        <f t="shared" si="1"/>
        <v>0</v>
      </c>
      <c r="O28" s="85"/>
      <c r="P28" s="85">
        <f t="shared" si="2"/>
        <v>5474872</v>
      </c>
      <c r="Q28" s="85">
        <f t="shared" si="6"/>
        <v>437989.76</v>
      </c>
      <c r="R28" s="86">
        <f t="shared" si="7"/>
        <v>82123.08</v>
      </c>
      <c r="S28" s="85">
        <f t="shared" si="8"/>
        <v>54748.72</v>
      </c>
      <c r="T28" s="86"/>
      <c r="U28" s="86">
        <f t="shared" si="3"/>
        <v>574861.56000000006</v>
      </c>
      <c r="V28" s="86"/>
      <c r="W28" s="86"/>
      <c r="X28" s="86"/>
      <c r="Y28" s="86"/>
      <c r="Z28" s="86"/>
      <c r="AA28" s="86">
        <f t="shared" si="4"/>
        <v>4900010.4399999995</v>
      </c>
      <c r="AB28" s="88" t="str">
        <f t="shared" si="5"/>
        <v>16</v>
      </c>
      <c r="AC28" s="89"/>
      <c r="AD28" s="116">
        <f>2.67-2.41</f>
        <v>0.25999999999999979</v>
      </c>
      <c r="AE28" s="93" t="s">
        <v>51</v>
      </c>
      <c r="AF28" s="117"/>
      <c r="AG28" s="118"/>
      <c r="AK28" s="98"/>
    </row>
    <row r="29" spans="1:37" s="91" customFormat="1" ht="27.75" customHeight="1">
      <c r="A29" s="181" t="s">
        <v>25</v>
      </c>
      <c r="B29" s="81" t="s">
        <v>131</v>
      </c>
      <c r="C29" s="82" t="s">
        <v>18</v>
      </c>
      <c r="D29" s="99" t="s">
        <v>260</v>
      </c>
      <c r="E29" s="206" t="str">
        <f>VLOOKUP(B29,[2]T3!$B$2:$D$328,3,FALSE)</f>
        <v>025632449</v>
      </c>
      <c r="F29" s="188" t="s">
        <v>206</v>
      </c>
      <c r="G29" s="94" t="s">
        <v>231</v>
      </c>
      <c r="H29" s="211">
        <v>2</v>
      </c>
      <c r="I29" s="85">
        <v>4965870</v>
      </c>
      <c r="J29" s="100"/>
      <c r="K29" s="85"/>
      <c r="L29" s="85">
        <f t="shared" si="0"/>
        <v>4965870</v>
      </c>
      <c r="M29" s="85"/>
      <c r="N29" s="85">
        <f t="shared" si="1"/>
        <v>0</v>
      </c>
      <c r="O29" s="85"/>
      <c r="P29" s="85">
        <f t="shared" si="2"/>
        <v>4965870</v>
      </c>
      <c r="Q29" s="85">
        <f t="shared" si="6"/>
        <v>397269.60000000003</v>
      </c>
      <c r="R29" s="86">
        <f t="shared" si="7"/>
        <v>74488.05</v>
      </c>
      <c r="S29" s="85">
        <f t="shared" si="8"/>
        <v>49658.700000000004</v>
      </c>
      <c r="T29" s="86"/>
      <c r="U29" s="86">
        <f t="shared" si="3"/>
        <v>521416.35000000003</v>
      </c>
      <c r="V29" s="86"/>
      <c r="W29" s="86"/>
      <c r="X29" s="86"/>
      <c r="Y29" s="86"/>
      <c r="Z29" s="86"/>
      <c r="AA29" s="86">
        <f t="shared" si="4"/>
        <v>4444453.6500000004</v>
      </c>
      <c r="AB29" s="88" t="str">
        <f t="shared" si="5"/>
        <v>17</v>
      </c>
      <c r="AC29" s="89"/>
      <c r="AD29" s="107" t="s">
        <v>73</v>
      </c>
      <c r="AE29" s="96"/>
      <c r="AF29" s="107" t="s">
        <v>99</v>
      </c>
      <c r="AG29" s="97"/>
      <c r="AH29" s="97"/>
      <c r="AK29" s="98"/>
    </row>
    <row r="30" spans="1:37" s="91" customFormat="1" ht="25.5" customHeight="1">
      <c r="A30" s="181" t="s">
        <v>76</v>
      </c>
      <c r="B30" s="318" t="s">
        <v>262</v>
      </c>
      <c r="C30" s="330"/>
      <c r="D30" s="320" t="s">
        <v>263</v>
      </c>
      <c r="E30" s="321"/>
      <c r="F30" s="322"/>
      <c r="G30" s="323" t="s">
        <v>232</v>
      </c>
      <c r="H30" s="324">
        <v>1</v>
      </c>
      <c r="I30" s="325">
        <v>4641000</v>
      </c>
      <c r="J30" s="326"/>
      <c r="K30" s="325"/>
      <c r="L30" s="325">
        <f t="shared" si="0"/>
        <v>4641000</v>
      </c>
      <c r="M30" s="325"/>
      <c r="N30" s="325">
        <f t="shared" si="1"/>
        <v>0</v>
      </c>
      <c r="O30" s="325"/>
      <c r="P30" s="325">
        <f t="shared" si="2"/>
        <v>4641000</v>
      </c>
      <c r="Q30" s="325">
        <f t="shared" si="6"/>
        <v>371280</v>
      </c>
      <c r="R30" s="327">
        <f t="shared" si="7"/>
        <v>69615</v>
      </c>
      <c r="S30" s="325">
        <f t="shared" si="8"/>
        <v>46410</v>
      </c>
      <c r="T30" s="327"/>
      <c r="U30" s="327">
        <f t="shared" si="3"/>
        <v>487305</v>
      </c>
      <c r="V30" s="327"/>
      <c r="W30" s="331"/>
      <c r="X30" s="331"/>
      <c r="Y30" s="331"/>
      <c r="Z30" s="331"/>
      <c r="AA30" s="327">
        <f t="shared" si="4"/>
        <v>4153695</v>
      </c>
      <c r="AB30" s="328" t="str">
        <f t="shared" si="5"/>
        <v>18</v>
      </c>
      <c r="AC30" s="332" t="s">
        <v>350</v>
      </c>
      <c r="AD30" s="233" t="s">
        <v>264</v>
      </c>
      <c r="AE30" s="104"/>
      <c r="AF30" s="125"/>
      <c r="AG30" s="334"/>
      <c r="AK30" s="92"/>
    </row>
    <row r="31" spans="1:37" s="91" customFormat="1" ht="38.25" customHeight="1">
      <c r="A31" s="181" t="s">
        <v>77</v>
      </c>
      <c r="B31" s="81" t="s">
        <v>282</v>
      </c>
      <c r="C31" s="82"/>
      <c r="D31" s="99" t="s">
        <v>283</v>
      </c>
      <c r="E31" s="206"/>
      <c r="F31" s="202"/>
      <c r="G31" s="84" t="s">
        <v>232</v>
      </c>
      <c r="H31" s="211">
        <v>1</v>
      </c>
      <c r="I31" s="85">
        <v>4420000</v>
      </c>
      <c r="J31" s="100"/>
      <c r="K31" s="85"/>
      <c r="L31" s="85">
        <f t="shared" si="0"/>
        <v>4420000</v>
      </c>
      <c r="M31" s="85"/>
      <c r="N31" s="85">
        <f t="shared" si="1"/>
        <v>0</v>
      </c>
      <c r="O31" s="85"/>
      <c r="P31" s="85">
        <f t="shared" si="2"/>
        <v>4420000</v>
      </c>
      <c r="Q31" s="85">
        <f t="shared" si="6"/>
        <v>353600</v>
      </c>
      <c r="R31" s="86">
        <f t="shared" si="7"/>
        <v>66300</v>
      </c>
      <c r="S31" s="85">
        <f t="shared" si="8"/>
        <v>44200</v>
      </c>
      <c r="T31" s="86"/>
      <c r="U31" s="86">
        <f t="shared" si="3"/>
        <v>464100</v>
      </c>
      <c r="V31" s="86"/>
      <c r="W31" s="87"/>
      <c r="X31" s="87"/>
      <c r="Y31" s="87"/>
      <c r="Z31" s="87"/>
      <c r="AA31" s="86">
        <f t="shared" si="4"/>
        <v>3955900</v>
      </c>
      <c r="AB31" s="88" t="str">
        <f t="shared" si="5"/>
        <v>19</v>
      </c>
      <c r="AC31" s="233"/>
      <c r="AD31" s="233" t="s">
        <v>293</v>
      </c>
      <c r="AE31" s="104"/>
      <c r="AF31" s="125"/>
      <c r="AG31" s="334"/>
      <c r="AK31" s="92"/>
    </row>
    <row r="32" spans="1:37" s="91" customFormat="1" ht="31.5" customHeight="1">
      <c r="A32" s="181" t="s">
        <v>78</v>
      </c>
      <c r="B32" s="81" t="s">
        <v>323</v>
      </c>
      <c r="C32" s="82"/>
      <c r="D32" s="99" t="s">
        <v>225</v>
      </c>
      <c r="E32" s="206"/>
      <c r="F32" s="188"/>
      <c r="G32" s="84" t="s">
        <v>232</v>
      </c>
      <c r="H32" s="211">
        <v>12</v>
      </c>
      <c r="I32" s="85">
        <v>7559700</v>
      </c>
      <c r="J32" s="268">
        <v>0.55000000000000004</v>
      </c>
      <c r="K32" s="100">
        <f>I32*J32</f>
        <v>4157835.0000000005</v>
      </c>
      <c r="L32" s="85">
        <f t="shared" si="0"/>
        <v>11717535</v>
      </c>
      <c r="M32" s="85"/>
      <c r="N32" s="85">
        <f t="shared" si="1"/>
        <v>0</v>
      </c>
      <c r="O32" s="85"/>
      <c r="P32" s="85">
        <f t="shared" si="2"/>
        <v>11717535</v>
      </c>
      <c r="Q32" s="85">
        <f t="shared" si="6"/>
        <v>937402.8</v>
      </c>
      <c r="R32" s="86">
        <f t="shared" si="7"/>
        <v>175763.02499999999</v>
      </c>
      <c r="S32" s="85">
        <f t="shared" si="8"/>
        <v>117175.35</v>
      </c>
      <c r="T32" s="86"/>
      <c r="U32" s="86">
        <f t="shared" si="3"/>
        <v>1230341.175</v>
      </c>
      <c r="V32" s="86"/>
      <c r="W32" s="86"/>
      <c r="X32" s="132"/>
      <c r="Y32" s="86"/>
      <c r="Z32" s="86"/>
      <c r="AA32" s="86">
        <f t="shared" si="4"/>
        <v>10487193.824999999</v>
      </c>
      <c r="AB32" s="88" t="str">
        <f t="shared" si="5"/>
        <v>20</v>
      </c>
      <c r="AC32" s="89"/>
      <c r="AD32" s="89"/>
      <c r="AE32" s="107"/>
      <c r="AF32" s="103"/>
      <c r="AG32" s="334"/>
      <c r="AK32" s="92"/>
    </row>
    <row r="33" spans="1:37" s="91" customFormat="1" ht="39.75" customHeight="1">
      <c r="A33" s="181" t="s">
        <v>79</v>
      </c>
      <c r="B33" s="81" t="s">
        <v>284</v>
      </c>
      <c r="C33" s="82"/>
      <c r="D33" s="99" t="s">
        <v>283</v>
      </c>
      <c r="E33" s="206"/>
      <c r="F33" s="202"/>
      <c r="G33" s="84" t="s">
        <v>232</v>
      </c>
      <c r="H33" s="211">
        <v>1</v>
      </c>
      <c r="I33" s="85">
        <v>4420000</v>
      </c>
      <c r="J33" s="100"/>
      <c r="K33" s="85"/>
      <c r="L33" s="85">
        <f t="shared" si="0"/>
        <v>4420000</v>
      </c>
      <c r="M33" s="85"/>
      <c r="N33" s="85">
        <f t="shared" si="1"/>
        <v>0</v>
      </c>
      <c r="O33" s="85"/>
      <c r="P33" s="85">
        <f t="shared" si="2"/>
        <v>4420000</v>
      </c>
      <c r="Q33" s="85">
        <f t="shared" si="6"/>
        <v>353600</v>
      </c>
      <c r="R33" s="86">
        <f t="shared" si="7"/>
        <v>66300</v>
      </c>
      <c r="S33" s="85">
        <f t="shared" si="8"/>
        <v>44200</v>
      </c>
      <c r="T33" s="86"/>
      <c r="U33" s="86">
        <f t="shared" si="3"/>
        <v>464100</v>
      </c>
      <c r="V33" s="86"/>
      <c r="W33" s="87"/>
      <c r="X33" s="87"/>
      <c r="Y33" s="87"/>
      <c r="Z33" s="87"/>
      <c r="AA33" s="86">
        <f t="shared" si="4"/>
        <v>3955900</v>
      </c>
      <c r="AB33" s="88" t="str">
        <f t="shared" si="5"/>
        <v>21</v>
      </c>
      <c r="AC33" s="233"/>
      <c r="AD33" s="233" t="s">
        <v>294</v>
      </c>
      <c r="AE33" s="104"/>
      <c r="AF33" s="125"/>
      <c r="AG33" s="334"/>
      <c r="AK33" s="92"/>
    </row>
    <row r="34" spans="1:37" s="91" customFormat="1" ht="39.75" customHeight="1">
      <c r="A34" s="181" t="s">
        <v>80</v>
      </c>
      <c r="B34" s="305" t="s">
        <v>343</v>
      </c>
      <c r="C34" s="306"/>
      <c r="D34" s="307" t="s">
        <v>344</v>
      </c>
      <c r="E34" s="308"/>
      <c r="F34" s="309"/>
      <c r="G34" s="310" t="s">
        <v>232</v>
      </c>
      <c r="H34" s="311">
        <v>1</v>
      </c>
      <c r="I34" s="312">
        <v>4420000</v>
      </c>
      <c r="J34" s="313"/>
      <c r="K34" s="312"/>
      <c r="L34" s="312">
        <f t="shared" si="0"/>
        <v>4420000</v>
      </c>
      <c r="M34" s="312"/>
      <c r="N34" s="312">
        <f t="shared" si="1"/>
        <v>0</v>
      </c>
      <c r="O34" s="312"/>
      <c r="P34" s="312">
        <f t="shared" si="2"/>
        <v>4420000</v>
      </c>
      <c r="Q34" s="312">
        <f t="shared" si="6"/>
        <v>353600</v>
      </c>
      <c r="R34" s="314">
        <f t="shared" si="7"/>
        <v>66300</v>
      </c>
      <c r="S34" s="312">
        <f t="shared" si="8"/>
        <v>44200</v>
      </c>
      <c r="T34" s="314"/>
      <c r="U34" s="314">
        <f t="shared" si="3"/>
        <v>464100</v>
      </c>
      <c r="V34" s="314"/>
      <c r="W34" s="315"/>
      <c r="X34" s="315"/>
      <c r="Y34" s="315"/>
      <c r="Z34" s="315"/>
      <c r="AA34" s="314">
        <f t="shared" si="4"/>
        <v>3955900</v>
      </c>
      <c r="AB34" s="316" t="str">
        <f>A34</f>
        <v>22</v>
      </c>
      <c r="AC34" s="317" t="s">
        <v>347</v>
      </c>
      <c r="AD34" s="233"/>
      <c r="AE34" s="104"/>
      <c r="AF34" s="125"/>
      <c r="AG34" s="334"/>
      <c r="AK34" s="92"/>
    </row>
    <row r="35" spans="1:37" s="334" customFormat="1" ht="30" customHeight="1">
      <c r="A35" s="181" t="s">
        <v>81</v>
      </c>
      <c r="B35" s="81" t="s">
        <v>240</v>
      </c>
      <c r="C35" s="82"/>
      <c r="D35" s="99" t="s">
        <v>241</v>
      </c>
      <c r="E35" s="206"/>
      <c r="F35" s="202"/>
      <c r="G35" s="94" t="s">
        <v>231</v>
      </c>
      <c r="H35" s="83">
        <v>7</v>
      </c>
      <c r="I35" s="85">
        <v>6337848</v>
      </c>
      <c r="J35" s="100"/>
      <c r="K35" s="85"/>
      <c r="L35" s="85">
        <f t="shared" si="0"/>
        <v>6337848</v>
      </c>
      <c r="M35" s="85"/>
      <c r="N35" s="85">
        <f t="shared" si="1"/>
        <v>0</v>
      </c>
      <c r="O35" s="85"/>
      <c r="P35" s="85">
        <f t="shared" si="2"/>
        <v>6337848</v>
      </c>
      <c r="Q35" s="85">
        <f>L35*8%+1</f>
        <v>507028.84</v>
      </c>
      <c r="R35" s="86">
        <f t="shared" si="7"/>
        <v>95067.72</v>
      </c>
      <c r="S35" s="85">
        <f t="shared" si="8"/>
        <v>63378.48</v>
      </c>
      <c r="T35" s="86"/>
      <c r="U35" s="86">
        <f t="shared" si="3"/>
        <v>665475.04</v>
      </c>
      <c r="V35" s="86"/>
      <c r="W35" s="87"/>
      <c r="X35" s="87"/>
      <c r="Y35" s="87"/>
      <c r="Z35" s="87">
        <v>852000</v>
      </c>
      <c r="AA35" s="86">
        <f t="shared" si="4"/>
        <v>6524372.96</v>
      </c>
      <c r="AB35" s="88" t="str">
        <f>A35</f>
        <v>23</v>
      </c>
      <c r="AC35" s="89"/>
      <c r="AD35" s="89"/>
      <c r="AE35" s="96"/>
      <c r="AF35" s="97"/>
      <c r="AG35" s="97"/>
      <c r="AH35" s="97"/>
      <c r="AI35" s="97"/>
      <c r="AJ35" s="96"/>
      <c r="AK35" s="98"/>
    </row>
    <row r="36" spans="1:37" s="334" customFormat="1" ht="24.75" customHeight="1">
      <c r="A36" s="181" t="s">
        <v>82</v>
      </c>
      <c r="B36" s="81" t="s">
        <v>120</v>
      </c>
      <c r="C36" s="82" t="s">
        <v>55</v>
      </c>
      <c r="D36" s="99" t="s">
        <v>61</v>
      </c>
      <c r="E36" s="206" t="str">
        <f>VLOOKUP(B36,[2]T3!$B$2:$D$328,3,FALSE)</f>
        <v>230718298</v>
      </c>
      <c r="F36" s="188" t="s">
        <v>192</v>
      </c>
      <c r="G36" s="94" t="s">
        <v>228</v>
      </c>
      <c r="H36" s="211">
        <v>5</v>
      </c>
      <c r="I36" s="85">
        <v>6151018</v>
      </c>
      <c r="J36" s="100"/>
      <c r="K36" s="85"/>
      <c r="L36" s="85">
        <f t="shared" si="0"/>
        <v>6151018</v>
      </c>
      <c r="M36" s="85">
        <v>0</v>
      </c>
      <c r="N36" s="85">
        <f t="shared" si="1"/>
        <v>0</v>
      </c>
      <c r="O36" s="85"/>
      <c r="P36" s="85">
        <f t="shared" si="2"/>
        <v>6151018</v>
      </c>
      <c r="Q36" s="85">
        <f t="shared" ref="Q36:Q59" si="9">L36*8%</f>
        <v>492081.44</v>
      </c>
      <c r="R36" s="86">
        <f t="shared" si="7"/>
        <v>92265.26999999999</v>
      </c>
      <c r="S36" s="85">
        <f t="shared" si="8"/>
        <v>61510.18</v>
      </c>
      <c r="T36" s="86"/>
      <c r="U36" s="86">
        <f t="shared" si="3"/>
        <v>645856.89</v>
      </c>
      <c r="V36" s="86"/>
      <c r="W36" s="87"/>
      <c r="X36" s="87"/>
      <c r="Y36" s="87"/>
      <c r="Z36" s="87"/>
      <c r="AA36" s="86">
        <f t="shared" si="4"/>
        <v>5505161.1100000003</v>
      </c>
      <c r="AB36" s="88" t="str">
        <f t="shared" ref="AB36:AB59" si="10">A36</f>
        <v>24</v>
      </c>
      <c r="AC36" s="89"/>
      <c r="AD36" s="89" t="s">
        <v>93</v>
      </c>
      <c r="AE36" s="95"/>
      <c r="AG36" s="334" t="e">
        <f>#REF!-#REF!</f>
        <v>#REF!</v>
      </c>
      <c r="AH36" s="103"/>
      <c r="AK36" s="333"/>
    </row>
    <row r="37" spans="1:37" s="91" customFormat="1" ht="24.75" customHeight="1">
      <c r="A37" s="181" t="s">
        <v>83</v>
      </c>
      <c r="B37" s="81" t="s">
        <v>275</v>
      </c>
      <c r="C37" s="82"/>
      <c r="D37" s="99" t="s">
        <v>276</v>
      </c>
      <c r="E37" s="206"/>
      <c r="F37" s="202"/>
      <c r="G37" s="84" t="s">
        <v>228</v>
      </c>
      <c r="H37" s="211">
        <v>1</v>
      </c>
      <c r="I37" s="85">
        <v>5060458</v>
      </c>
      <c r="J37" s="100"/>
      <c r="K37" s="85"/>
      <c r="L37" s="85">
        <f t="shared" si="0"/>
        <v>5060458</v>
      </c>
      <c r="M37" s="85"/>
      <c r="N37" s="85">
        <f t="shared" si="1"/>
        <v>0</v>
      </c>
      <c r="O37" s="85"/>
      <c r="P37" s="85">
        <f t="shared" si="2"/>
        <v>5060458</v>
      </c>
      <c r="Q37" s="85">
        <f t="shared" si="9"/>
        <v>404836.64</v>
      </c>
      <c r="R37" s="86">
        <f t="shared" si="7"/>
        <v>75906.87</v>
      </c>
      <c r="S37" s="85">
        <f t="shared" si="8"/>
        <v>50604.58</v>
      </c>
      <c r="T37" s="86"/>
      <c r="U37" s="86">
        <f t="shared" si="3"/>
        <v>531348.09</v>
      </c>
      <c r="V37" s="86"/>
      <c r="W37" s="87"/>
      <c r="X37" s="87"/>
      <c r="Y37" s="87"/>
      <c r="Z37" s="87"/>
      <c r="AA37" s="86">
        <f t="shared" si="4"/>
        <v>4529109.91</v>
      </c>
      <c r="AB37" s="88" t="str">
        <f t="shared" si="10"/>
        <v>25</v>
      </c>
      <c r="AC37" s="233"/>
      <c r="AD37" s="233" t="s">
        <v>279</v>
      </c>
      <c r="AE37" s="104"/>
      <c r="AF37" s="125"/>
      <c r="AG37" s="334"/>
      <c r="AK37" s="92"/>
    </row>
    <row r="38" spans="1:37" s="91" customFormat="1" ht="33" customHeight="1">
      <c r="A38" s="181" t="s">
        <v>84</v>
      </c>
      <c r="B38" s="81" t="s">
        <v>305</v>
      </c>
      <c r="C38" s="82"/>
      <c r="D38" s="99" t="s">
        <v>304</v>
      </c>
      <c r="E38" s="206"/>
      <c r="F38" s="266" t="s">
        <v>315</v>
      </c>
      <c r="G38" s="84" t="s">
        <v>228</v>
      </c>
      <c r="H38" s="211">
        <v>1</v>
      </c>
      <c r="I38" s="85">
        <v>5060458</v>
      </c>
      <c r="J38" s="100"/>
      <c r="K38" s="85"/>
      <c r="L38" s="85">
        <f t="shared" si="0"/>
        <v>5060458</v>
      </c>
      <c r="M38" s="85"/>
      <c r="N38" s="85">
        <f t="shared" si="1"/>
        <v>0</v>
      </c>
      <c r="O38" s="85"/>
      <c r="P38" s="85">
        <f t="shared" si="2"/>
        <v>5060458</v>
      </c>
      <c r="Q38" s="85">
        <f t="shared" si="9"/>
        <v>404836.64</v>
      </c>
      <c r="R38" s="86">
        <f t="shared" si="7"/>
        <v>75906.87</v>
      </c>
      <c r="S38" s="85">
        <f t="shared" si="8"/>
        <v>50604.58</v>
      </c>
      <c r="T38" s="86"/>
      <c r="U38" s="86">
        <f t="shared" si="3"/>
        <v>531348.09</v>
      </c>
      <c r="V38" s="86"/>
      <c r="W38" s="87"/>
      <c r="X38" s="87"/>
      <c r="Y38" s="87"/>
      <c r="Z38" s="87"/>
      <c r="AA38" s="86">
        <f t="shared" si="4"/>
        <v>4529109.91</v>
      </c>
      <c r="AB38" s="88" t="str">
        <f t="shared" si="10"/>
        <v>26</v>
      </c>
      <c r="AC38" s="233"/>
      <c r="AD38" s="265" t="s">
        <v>306</v>
      </c>
      <c r="AE38" s="104"/>
      <c r="AF38" s="125"/>
      <c r="AG38" s="334"/>
      <c r="AK38" s="92"/>
    </row>
    <row r="39" spans="1:37" s="91" customFormat="1" ht="36.75" customHeight="1">
      <c r="A39" s="181" t="s">
        <v>85</v>
      </c>
      <c r="B39" s="81" t="s">
        <v>125</v>
      </c>
      <c r="C39" s="82" t="s">
        <v>56</v>
      </c>
      <c r="D39" s="99" t="s">
        <v>159</v>
      </c>
      <c r="E39" s="205" t="s">
        <v>223</v>
      </c>
      <c r="F39" s="188" t="s">
        <v>200</v>
      </c>
      <c r="G39" s="94" t="s">
        <v>228</v>
      </c>
      <c r="H39" s="213">
        <v>7</v>
      </c>
      <c r="I39" s="85">
        <v>6781498</v>
      </c>
      <c r="J39" s="100"/>
      <c r="K39" s="85"/>
      <c r="L39" s="85">
        <f t="shared" si="0"/>
        <v>6781498</v>
      </c>
      <c r="M39" s="85"/>
      <c r="N39" s="85">
        <f t="shared" si="1"/>
        <v>0</v>
      </c>
      <c r="O39" s="85"/>
      <c r="P39" s="85">
        <f t="shared" si="2"/>
        <v>6781498</v>
      </c>
      <c r="Q39" s="85">
        <f t="shared" si="9"/>
        <v>542519.84</v>
      </c>
      <c r="R39" s="86">
        <f t="shared" si="7"/>
        <v>101722.47</v>
      </c>
      <c r="S39" s="85">
        <f t="shared" si="8"/>
        <v>67814.98</v>
      </c>
      <c r="T39" s="86"/>
      <c r="U39" s="86">
        <f t="shared" si="3"/>
        <v>712057.28999999992</v>
      </c>
      <c r="V39" s="86"/>
      <c r="W39" s="86"/>
      <c r="X39" s="86"/>
      <c r="Y39" s="86"/>
      <c r="Z39" s="86"/>
      <c r="AA39" s="86">
        <f t="shared" si="4"/>
        <v>6069440.71</v>
      </c>
      <c r="AB39" s="88" t="str">
        <f t="shared" si="10"/>
        <v>27</v>
      </c>
      <c r="AC39" s="89"/>
      <c r="AD39" s="90" t="s">
        <v>60</v>
      </c>
      <c r="AE39" s="133"/>
      <c r="AF39" s="91" t="e">
        <f>AF50*15</f>
        <v>#REF!</v>
      </c>
      <c r="AG39" s="334"/>
      <c r="AK39" s="92"/>
    </row>
    <row r="40" spans="1:37" s="91" customFormat="1" ht="42.75" customHeight="1">
      <c r="A40" s="181" t="s">
        <v>86</v>
      </c>
      <c r="B40" s="81" t="s">
        <v>268</v>
      </c>
      <c r="C40" s="82"/>
      <c r="D40" s="99" t="s">
        <v>272</v>
      </c>
      <c r="E40" s="206"/>
      <c r="F40" s="202" t="s">
        <v>302</v>
      </c>
      <c r="G40" s="84" t="s">
        <v>228</v>
      </c>
      <c r="H40" s="211">
        <v>1</v>
      </c>
      <c r="I40" s="85">
        <v>5060458</v>
      </c>
      <c r="J40" s="100"/>
      <c r="K40" s="85"/>
      <c r="L40" s="85">
        <f t="shared" si="0"/>
        <v>5060458</v>
      </c>
      <c r="M40" s="85"/>
      <c r="N40" s="85">
        <f t="shared" si="1"/>
        <v>0</v>
      </c>
      <c r="O40" s="85"/>
      <c r="P40" s="85">
        <f t="shared" si="2"/>
        <v>5060458</v>
      </c>
      <c r="Q40" s="85">
        <f t="shared" si="9"/>
        <v>404836.64</v>
      </c>
      <c r="R40" s="86">
        <f t="shared" si="7"/>
        <v>75906.87</v>
      </c>
      <c r="S40" s="85">
        <f t="shared" si="8"/>
        <v>50604.58</v>
      </c>
      <c r="T40" s="86"/>
      <c r="U40" s="86">
        <f t="shared" si="3"/>
        <v>531348.09</v>
      </c>
      <c r="V40" s="86"/>
      <c r="W40" s="87"/>
      <c r="X40" s="87"/>
      <c r="Y40" s="87"/>
      <c r="Z40" s="87"/>
      <c r="AA40" s="86">
        <f t="shared" si="4"/>
        <v>4529109.91</v>
      </c>
      <c r="AB40" s="88" t="str">
        <f t="shared" si="10"/>
        <v>28</v>
      </c>
      <c r="AC40" s="233"/>
      <c r="AD40" s="233" t="s">
        <v>269</v>
      </c>
      <c r="AE40" s="104"/>
      <c r="AF40" s="125"/>
      <c r="AG40" s="334"/>
      <c r="AK40" s="92"/>
    </row>
    <row r="41" spans="1:37" s="334" customFormat="1" ht="33" customHeight="1">
      <c r="A41" s="181" t="s">
        <v>87</v>
      </c>
      <c r="B41" s="124" t="s">
        <v>117</v>
      </c>
      <c r="C41" s="82" t="s">
        <v>7</v>
      </c>
      <c r="D41" s="99" t="s">
        <v>225</v>
      </c>
      <c r="E41" s="204" t="s">
        <v>219</v>
      </c>
      <c r="F41" s="202" t="s">
        <v>189</v>
      </c>
      <c r="G41" s="94" t="s">
        <v>231</v>
      </c>
      <c r="H41" s="211">
        <v>4</v>
      </c>
      <c r="I41" s="85">
        <v>5474872</v>
      </c>
      <c r="J41" s="100"/>
      <c r="K41" s="85"/>
      <c r="L41" s="85">
        <f t="shared" si="0"/>
        <v>5474872</v>
      </c>
      <c r="M41" s="85"/>
      <c r="N41" s="85">
        <f t="shared" si="1"/>
        <v>0</v>
      </c>
      <c r="O41" s="85"/>
      <c r="P41" s="85">
        <f t="shared" si="2"/>
        <v>5474872</v>
      </c>
      <c r="Q41" s="85">
        <f t="shared" si="9"/>
        <v>437989.76</v>
      </c>
      <c r="R41" s="86">
        <f t="shared" si="7"/>
        <v>82123.08</v>
      </c>
      <c r="S41" s="85">
        <f t="shared" si="8"/>
        <v>54748.72</v>
      </c>
      <c r="T41" s="86"/>
      <c r="U41" s="86">
        <f t="shared" si="3"/>
        <v>574861.56000000006</v>
      </c>
      <c r="V41" s="132"/>
      <c r="W41" s="86"/>
      <c r="X41" s="132"/>
      <c r="Y41" s="86"/>
      <c r="Z41" s="86"/>
      <c r="AA41" s="86">
        <f t="shared" si="4"/>
        <v>4900010.4399999995</v>
      </c>
      <c r="AB41" s="88" t="str">
        <f t="shared" si="10"/>
        <v>29</v>
      </c>
      <c r="AC41" s="89" t="s">
        <v>332</v>
      </c>
      <c r="AD41" s="104">
        <f>AD21*10.5%</f>
        <v>486013.5</v>
      </c>
      <c r="AE41" s="652"/>
      <c r="AF41" s="653"/>
      <c r="AG41" s="653"/>
      <c r="AH41" s="653"/>
      <c r="AK41" s="106"/>
    </row>
    <row r="42" spans="1:37" s="91" customFormat="1" ht="37.5" customHeight="1">
      <c r="A42" s="181" t="s">
        <v>88</v>
      </c>
      <c r="B42" s="81" t="s">
        <v>132</v>
      </c>
      <c r="C42" s="82" t="s">
        <v>105</v>
      </c>
      <c r="D42" s="99" t="s">
        <v>272</v>
      </c>
      <c r="E42" s="204" t="s">
        <v>218</v>
      </c>
      <c r="F42" s="188" t="s">
        <v>196</v>
      </c>
      <c r="G42" s="94" t="s">
        <v>228</v>
      </c>
      <c r="H42" s="211">
        <v>1</v>
      </c>
      <c r="I42" s="85">
        <v>5060458</v>
      </c>
      <c r="J42" s="100"/>
      <c r="K42" s="85"/>
      <c r="L42" s="85">
        <f t="shared" si="0"/>
        <v>5060458</v>
      </c>
      <c r="M42" s="85"/>
      <c r="N42" s="85">
        <f t="shared" si="1"/>
        <v>0</v>
      </c>
      <c r="O42" s="85"/>
      <c r="P42" s="85">
        <f t="shared" si="2"/>
        <v>5060458</v>
      </c>
      <c r="Q42" s="85">
        <f t="shared" si="9"/>
        <v>404836.64</v>
      </c>
      <c r="R42" s="86">
        <f t="shared" si="7"/>
        <v>75906.87</v>
      </c>
      <c r="S42" s="85">
        <f t="shared" si="8"/>
        <v>50604.58</v>
      </c>
      <c r="T42" s="86"/>
      <c r="U42" s="86">
        <f t="shared" si="3"/>
        <v>531348.09</v>
      </c>
      <c r="V42" s="86"/>
      <c r="W42" s="86"/>
      <c r="X42" s="86"/>
      <c r="Y42" s="86"/>
      <c r="Z42" s="86"/>
      <c r="AA42" s="86">
        <f t="shared" si="4"/>
        <v>4529109.91</v>
      </c>
      <c r="AB42" s="88" t="str">
        <f t="shared" si="10"/>
        <v>30</v>
      </c>
      <c r="AC42" s="105"/>
      <c r="AD42" s="120" t="s">
        <v>106</v>
      </c>
      <c r="AE42" s="135"/>
      <c r="AF42" s="109"/>
      <c r="AG42" s="97"/>
      <c r="AH42" s="97"/>
      <c r="AK42" s="98"/>
    </row>
    <row r="43" spans="1:37" s="91" customFormat="1" ht="42.75" customHeight="1">
      <c r="A43" s="181" t="s">
        <v>89</v>
      </c>
      <c r="B43" s="81" t="s">
        <v>290</v>
      </c>
      <c r="C43" s="82"/>
      <c r="D43" s="99" t="s">
        <v>272</v>
      </c>
      <c r="E43" s="206"/>
      <c r="F43" s="202"/>
      <c r="G43" s="84" t="s">
        <v>228</v>
      </c>
      <c r="H43" s="211">
        <v>1</v>
      </c>
      <c r="I43" s="85">
        <v>5060458</v>
      </c>
      <c r="J43" s="100"/>
      <c r="K43" s="85"/>
      <c r="L43" s="85">
        <f t="shared" si="0"/>
        <v>5060458</v>
      </c>
      <c r="M43" s="85"/>
      <c r="N43" s="85">
        <f t="shared" si="1"/>
        <v>0</v>
      </c>
      <c r="O43" s="85"/>
      <c r="P43" s="85">
        <f t="shared" si="2"/>
        <v>5060458</v>
      </c>
      <c r="Q43" s="85">
        <f t="shared" si="9"/>
        <v>404836.64</v>
      </c>
      <c r="R43" s="86">
        <f t="shared" si="7"/>
        <v>75906.87</v>
      </c>
      <c r="S43" s="85">
        <f t="shared" si="8"/>
        <v>50604.58</v>
      </c>
      <c r="T43" s="86"/>
      <c r="U43" s="86">
        <f t="shared" si="3"/>
        <v>531348.09</v>
      </c>
      <c r="V43" s="86"/>
      <c r="W43" s="87"/>
      <c r="X43" s="87"/>
      <c r="Y43" s="87"/>
      <c r="Z43" s="87"/>
      <c r="AA43" s="86">
        <f t="shared" si="4"/>
        <v>4529109.91</v>
      </c>
      <c r="AB43" s="88" t="str">
        <f t="shared" si="10"/>
        <v>31</v>
      </c>
      <c r="AC43" s="233"/>
      <c r="AD43" s="233" t="s">
        <v>291</v>
      </c>
      <c r="AE43" s="104"/>
      <c r="AF43" s="125"/>
      <c r="AG43" s="334"/>
      <c r="AK43" s="92"/>
    </row>
    <row r="44" spans="1:37" s="334" customFormat="1" ht="39" customHeight="1">
      <c r="A44" s="181" t="s">
        <v>90</v>
      </c>
      <c r="B44" s="81" t="s">
        <v>319</v>
      </c>
      <c r="C44" s="82"/>
      <c r="D44" s="99" t="s">
        <v>320</v>
      </c>
      <c r="E44" s="206"/>
      <c r="F44" s="202"/>
      <c r="G44" s="84" t="s">
        <v>231</v>
      </c>
      <c r="H44" s="211">
        <v>4</v>
      </c>
      <c r="I44" s="85">
        <v>5474872</v>
      </c>
      <c r="J44" s="100"/>
      <c r="K44" s="85"/>
      <c r="L44" s="85">
        <f t="shared" si="0"/>
        <v>5474872</v>
      </c>
      <c r="M44" s="85"/>
      <c r="N44" s="85">
        <f t="shared" si="1"/>
        <v>0</v>
      </c>
      <c r="O44" s="85"/>
      <c r="P44" s="85">
        <f t="shared" si="2"/>
        <v>5474872</v>
      </c>
      <c r="Q44" s="85">
        <f t="shared" si="9"/>
        <v>437989.76</v>
      </c>
      <c r="R44" s="86">
        <f t="shared" si="7"/>
        <v>82123.08</v>
      </c>
      <c r="S44" s="85">
        <f t="shared" si="8"/>
        <v>54748.72</v>
      </c>
      <c r="T44" s="86"/>
      <c r="U44" s="86">
        <f t="shared" si="3"/>
        <v>574861.56000000006</v>
      </c>
      <c r="V44" s="86"/>
      <c r="W44" s="86"/>
      <c r="X44" s="132"/>
      <c r="Y44" s="86"/>
      <c r="Z44" s="86"/>
      <c r="AA44" s="86">
        <f t="shared" si="4"/>
        <v>4900010.4399999995</v>
      </c>
      <c r="AB44" s="88" t="str">
        <f t="shared" si="10"/>
        <v>32</v>
      </c>
      <c r="AC44" s="89"/>
      <c r="AD44" s="89"/>
      <c r="AE44" s="107"/>
      <c r="AF44" s="103"/>
      <c r="AK44" s="333"/>
    </row>
    <row r="45" spans="1:37" s="334" customFormat="1" ht="41.25" customHeight="1">
      <c r="A45" s="181" t="s">
        <v>91</v>
      </c>
      <c r="B45" s="81" t="s">
        <v>121</v>
      </c>
      <c r="C45" s="82" t="s">
        <v>48</v>
      </c>
      <c r="D45" s="99" t="s">
        <v>320</v>
      </c>
      <c r="E45" s="206" t="str">
        <f>VLOOKUP(B45,[2]T3!$B$2:$D$328,3,FALSE)</f>
        <v>025804258</v>
      </c>
      <c r="F45" s="202" t="s">
        <v>193</v>
      </c>
      <c r="G45" s="94" t="s">
        <v>231</v>
      </c>
      <c r="H45" s="83">
        <v>5</v>
      </c>
      <c r="I45" s="85">
        <v>5748615</v>
      </c>
      <c r="J45" s="100"/>
      <c r="K45" s="85"/>
      <c r="L45" s="85">
        <f>ROUND(I45+K45,0)</f>
        <v>5748615</v>
      </c>
      <c r="M45" s="85"/>
      <c r="N45" s="85">
        <f>L45/24*M45</f>
        <v>0</v>
      </c>
      <c r="O45" s="85"/>
      <c r="P45" s="85">
        <f>L45-N45+O45</f>
        <v>5748615</v>
      </c>
      <c r="Q45" s="85">
        <f>L45*8%</f>
        <v>459889.2</v>
      </c>
      <c r="R45" s="86">
        <f>L45*1.5%</f>
        <v>86229.224999999991</v>
      </c>
      <c r="S45" s="85">
        <f>L45*1%</f>
        <v>57486.15</v>
      </c>
      <c r="T45" s="86"/>
      <c r="U45" s="86">
        <f>SUM(Q45:T45)</f>
        <v>603604.57500000007</v>
      </c>
      <c r="V45" s="86"/>
      <c r="W45" s="87"/>
      <c r="X45" s="87"/>
      <c r="Y45" s="87"/>
      <c r="Z45" s="87"/>
      <c r="AA45" s="86">
        <f>P45-U45+W45+Y45+Z45</f>
        <v>5145010.4249999998</v>
      </c>
      <c r="AB45" s="88" t="str">
        <f>A45</f>
        <v>33</v>
      </c>
      <c r="AC45" s="89"/>
      <c r="AD45" s="89" t="s">
        <v>94</v>
      </c>
      <c r="AE45" s="96">
        <v>1786995</v>
      </c>
      <c r="AF45" s="97">
        <f>AE45/26</f>
        <v>68730.576923076922</v>
      </c>
      <c r="AG45" s="97"/>
      <c r="AH45" s="97" t="e">
        <f>#REF!+48000</f>
        <v>#REF!</v>
      </c>
      <c r="AI45" s="97"/>
      <c r="AJ45" s="96"/>
      <c r="AK45" s="98"/>
    </row>
    <row r="46" spans="1:37" s="91" customFormat="1" ht="33" customHeight="1">
      <c r="A46" s="181" t="s">
        <v>92</v>
      </c>
      <c r="B46" s="81" t="s">
        <v>115</v>
      </c>
      <c r="C46" s="82" t="s">
        <v>110</v>
      </c>
      <c r="D46" s="99" t="s">
        <v>173</v>
      </c>
      <c r="E46" s="206" t="str">
        <f>VLOOKUP(B46,[2]T3!$B$2:$D$328,3,FALSE)</f>
        <v>024759058</v>
      </c>
      <c r="F46" s="188" t="s">
        <v>210</v>
      </c>
      <c r="G46" s="94" t="s">
        <v>228</v>
      </c>
      <c r="H46" s="263">
        <v>1</v>
      </c>
      <c r="I46" s="85">
        <v>5060458</v>
      </c>
      <c r="J46" s="100"/>
      <c r="K46" s="85"/>
      <c r="L46" s="85">
        <f t="shared" si="0"/>
        <v>5060458</v>
      </c>
      <c r="M46" s="85"/>
      <c r="N46" s="85">
        <f t="shared" si="1"/>
        <v>0</v>
      </c>
      <c r="O46" s="85"/>
      <c r="P46" s="85">
        <f t="shared" si="2"/>
        <v>5060458</v>
      </c>
      <c r="Q46" s="85">
        <f t="shared" si="9"/>
        <v>404836.64</v>
      </c>
      <c r="R46" s="86">
        <f t="shared" si="7"/>
        <v>75906.87</v>
      </c>
      <c r="S46" s="85">
        <f t="shared" si="8"/>
        <v>50604.58</v>
      </c>
      <c r="T46" s="86"/>
      <c r="U46" s="86">
        <f t="shared" si="3"/>
        <v>531348.09</v>
      </c>
      <c r="V46" s="86"/>
      <c r="W46" s="264"/>
      <c r="X46" s="264"/>
      <c r="Y46" s="264"/>
      <c r="Z46" s="264"/>
      <c r="AA46" s="86">
        <f t="shared" si="4"/>
        <v>4529109.91</v>
      </c>
      <c r="AB46" s="88" t="str">
        <f t="shared" si="10"/>
        <v>34</v>
      </c>
      <c r="AC46" s="89"/>
      <c r="AD46" s="126" t="s">
        <v>113</v>
      </c>
      <c r="AE46" s="334"/>
      <c r="AF46" s="334"/>
      <c r="AJ46" s="92"/>
    </row>
    <row r="47" spans="1:37" s="91" customFormat="1" ht="28.5" customHeight="1">
      <c r="A47" s="181" t="s">
        <v>244</v>
      </c>
      <c r="B47" s="81" t="s">
        <v>128</v>
      </c>
      <c r="C47" s="82" t="s">
        <v>75</v>
      </c>
      <c r="D47" s="99" t="s">
        <v>173</v>
      </c>
      <c r="E47" s="206" t="str">
        <f>VLOOKUP(B47,[2]T3!$B$2:$D$328,3,FALSE)</f>
        <v>025128010</v>
      </c>
      <c r="F47" s="188" t="s">
        <v>202</v>
      </c>
      <c r="G47" s="94" t="s">
        <v>228</v>
      </c>
      <c r="H47" s="83">
        <v>3</v>
      </c>
      <c r="I47" s="85">
        <v>5579155</v>
      </c>
      <c r="J47" s="100"/>
      <c r="K47" s="85"/>
      <c r="L47" s="85">
        <f t="shared" si="0"/>
        <v>5579155</v>
      </c>
      <c r="M47" s="85"/>
      <c r="N47" s="85">
        <f t="shared" si="1"/>
        <v>0</v>
      </c>
      <c r="O47" s="85"/>
      <c r="P47" s="85">
        <f t="shared" si="2"/>
        <v>5579155</v>
      </c>
      <c r="Q47" s="85">
        <f t="shared" si="9"/>
        <v>446332.4</v>
      </c>
      <c r="R47" s="86">
        <f t="shared" si="7"/>
        <v>83687.324999999997</v>
      </c>
      <c r="S47" s="85">
        <f t="shared" si="8"/>
        <v>55791.55</v>
      </c>
      <c r="T47" s="86"/>
      <c r="U47" s="86">
        <f t="shared" si="3"/>
        <v>585811.27500000002</v>
      </c>
      <c r="V47" s="86"/>
      <c r="W47" s="86"/>
      <c r="X47" s="86"/>
      <c r="Y47" s="86"/>
      <c r="Z47" s="86"/>
      <c r="AA47" s="86">
        <f t="shared" si="4"/>
        <v>4993343.7249999996</v>
      </c>
      <c r="AB47" s="88" t="str">
        <f t="shared" si="10"/>
        <v>35</v>
      </c>
      <c r="AC47" s="89"/>
      <c r="AD47" s="108" t="s">
        <v>103</v>
      </c>
      <c r="AE47" s="96" t="e">
        <f>AE22*4</f>
        <v>#REF!</v>
      </c>
      <c r="AF47" s="107"/>
      <c r="AG47" s="97"/>
      <c r="AH47" s="97"/>
      <c r="AK47" s="98"/>
    </row>
    <row r="48" spans="1:37" s="91" customFormat="1" ht="28.5" customHeight="1">
      <c r="A48" s="181" t="s">
        <v>245</v>
      </c>
      <c r="B48" s="81" t="s">
        <v>150</v>
      </c>
      <c r="C48" s="82"/>
      <c r="D48" s="99" t="s">
        <v>173</v>
      </c>
      <c r="E48" s="206" t="str">
        <f>VLOOKUP(B48,[2]T3!$B$2:$D$328,3,FALSE)</f>
        <v>290936998</v>
      </c>
      <c r="F48" s="188" t="s">
        <v>207</v>
      </c>
      <c r="G48" s="84" t="s">
        <v>228</v>
      </c>
      <c r="H48" s="211">
        <v>5</v>
      </c>
      <c r="I48" s="85">
        <v>6151018</v>
      </c>
      <c r="J48" s="100"/>
      <c r="K48" s="85"/>
      <c r="L48" s="85">
        <f t="shared" si="0"/>
        <v>6151018</v>
      </c>
      <c r="M48" s="85"/>
      <c r="N48" s="85">
        <f t="shared" si="1"/>
        <v>0</v>
      </c>
      <c r="O48" s="85"/>
      <c r="P48" s="85">
        <f t="shared" si="2"/>
        <v>6151018</v>
      </c>
      <c r="Q48" s="85">
        <f t="shared" si="9"/>
        <v>492081.44</v>
      </c>
      <c r="R48" s="86">
        <f t="shared" si="7"/>
        <v>92265.26999999999</v>
      </c>
      <c r="S48" s="85">
        <f t="shared" si="8"/>
        <v>61510.18</v>
      </c>
      <c r="T48" s="86"/>
      <c r="U48" s="86">
        <f t="shared" si="3"/>
        <v>645856.89</v>
      </c>
      <c r="V48" s="86"/>
      <c r="W48" s="86"/>
      <c r="X48" s="86"/>
      <c r="Y48" s="86"/>
      <c r="Z48" s="86"/>
      <c r="AA48" s="86">
        <f t="shared" si="4"/>
        <v>5505161.1100000003</v>
      </c>
      <c r="AB48" s="88" t="str">
        <f t="shared" si="10"/>
        <v>36</v>
      </c>
      <c r="AC48" s="105"/>
      <c r="AD48" s="135"/>
      <c r="AE48" s="135"/>
      <c r="AF48" s="109"/>
      <c r="AG48" s="97"/>
      <c r="AH48" s="97"/>
      <c r="AK48" s="98"/>
    </row>
    <row r="49" spans="1:37" s="91" customFormat="1" ht="28.5" customHeight="1">
      <c r="A49" s="181" t="s">
        <v>246</v>
      </c>
      <c r="B49" s="81" t="s">
        <v>133</v>
      </c>
      <c r="C49" s="82" t="s">
        <v>53</v>
      </c>
      <c r="D49" s="99" t="s">
        <v>173</v>
      </c>
      <c r="E49" s="206" t="str">
        <f>VLOOKUP(B49,[2]T3!$B$2:$D$328,3,FALSE)</f>
        <v>001186011890</v>
      </c>
      <c r="F49" s="188" t="s">
        <v>208</v>
      </c>
      <c r="G49" s="84" t="s">
        <v>228</v>
      </c>
      <c r="H49" s="211">
        <v>6</v>
      </c>
      <c r="I49" s="85">
        <v>6458569</v>
      </c>
      <c r="J49" s="100"/>
      <c r="K49" s="85"/>
      <c r="L49" s="85">
        <f t="shared" si="0"/>
        <v>6458569</v>
      </c>
      <c r="M49" s="85"/>
      <c r="N49" s="85">
        <f t="shared" si="1"/>
        <v>0</v>
      </c>
      <c r="O49" s="85"/>
      <c r="P49" s="85">
        <f t="shared" si="2"/>
        <v>6458569</v>
      </c>
      <c r="Q49" s="85">
        <f t="shared" si="9"/>
        <v>516685.52</v>
      </c>
      <c r="R49" s="86">
        <f t="shared" si="7"/>
        <v>96878.535000000003</v>
      </c>
      <c r="S49" s="85">
        <f t="shared" si="8"/>
        <v>64585.69</v>
      </c>
      <c r="T49" s="86"/>
      <c r="U49" s="86">
        <f t="shared" si="3"/>
        <v>678149.74500000011</v>
      </c>
      <c r="V49" s="86"/>
      <c r="W49" s="87"/>
      <c r="X49" s="87"/>
      <c r="Y49" s="87"/>
      <c r="Z49" s="87"/>
      <c r="AA49" s="86">
        <f t="shared" si="4"/>
        <v>5780419.2549999999</v>
      </c>
      <c r="AB49" s="88" t="str">
        <f t="shared" si="10"/>
        <v>37</v>
      </c>
      <c r="AC49" s="233"/>
      <c r="AD49" s="90"/>
      <c r="AE49" s="90" t="s">
        <v>54</v>
      </c>
      <c r="AF49" s="89"/>
      <c r="AG49" s="334"/>
      <c r="AK49" s="92"/>
    </row>
    <row r="50" spans="1:37" s="91" customFormat="1" ht="36.75" customHeight="1">
      <c r="A50" s="181" t="s">
        <v>247</v>
      </c>
      <c r="B50" s="124" t="s">
        <v>124</v>
      </c>
      <c r="C50" s="82" t="s">
        <v>70</v>
      </c>
      <c r="D50" s="99" t="s">
        <v>174</v>
      </c>
      <c r="E50" s="206" t="str">
        <f>VLOOKUP(B50,[2]T3!$B$2:$D$328,3,FALSE)</f>
        <v>095189000070</v>
      </c>
      <c r="F50" s="188" t="s">
        <v>199</v>
      </c>
      <c r="G50" s="84" t="s">
        <v>228</v>
      </c>
      <c r="H50" s="213">
        <v>5</v>
      </c>
      <c r="I50" s="85">
        <v>6151018</v>
      </c>
      <c r="J50" s="100"/>
      <c r="K50" s="85"/>
      <c r="L50" s="85">
        <f t="shared" si="0"/>
        <v>6151018</v>
      </c>
      <c r="M50" s="85"/>
      <c r="N50" s="85">
        <f t="shared" si="1"/>
        <v>0</v>
      </c>
      <c r="O50" s="85"/>
      <c r="P50" s="85">
        <f t="shared" si="2"/>
        <v>6151018</v>
      </c>
      <c r="Q50" s="85">
        <f t="shared" si="9"/>
        <v>492081.44</v>
      </c>
      <c r="R50" s="86">
        <f t="shared" si="7"/>
        <v>92265.26999999999</v>
      </c>
      <c r="S50" s="85">
        <f t="shared" si="8"/>
        <v>61510.18</v>
      </c>
      <c r="T50" s="86"/>
      <c r="U50" s="86">
        <f t="shared" si="3"/>
        <v>645856.89</v>
      </c>
      <c r="V50" s="86"/>
      <c r="W50" s="86"/>
      <c r="X50" s="86"/>
      <c r="Y50" s="86"/>
      <c r="Z50" s="86"/>
      <c r="AA50" s="86">
        <f t="shared" si="4"/>
        <v>5505161.1100000003</v>
      </c>
      <c r="AB50" s="88" t="str">
        <f t="shared" si="10"/>
        <v>38</v>
      </c>
      <c r="AC50" s="115"/>
      <c r="AD50" s="89" t="s">
        <v>71</v>
      </c>
      <c r="AE50" s="89" t="s">
        <v>100</v>
      </c>
      <c r="AF50" s="91" t="e">
        <f>#REF!/24</f>
        <v>#REF!</v>
      </c>
      <c r="AG50" s="334"/>
      <c r="AK50" s="92"/>
    </row>
    <row r="51" spans="1:37" s="91" customFormat="1" ht="27" customHeight="1">
      <c r="A51" s="181" t="s">
        <v>248</v>
      </c>
      <c r="B51" s="81" t="s">
        <v>123</v>
      </c>
      <c r="C51" s="261" t="s">
        <v>7</v>
      </c>
      <c r="D51" s="99" t="s">
        <v>175</v>
      </c>
      <c r="E51" s="206" t="str">
        <f>VLOOKUP(B51,[2]T3!$B$2:$D$328,3,FALSE)</f>
        <v>023680986</v>
      </c>
      <c r="F51" s="188" t="s">
        <v>198</v>
      </c>
      <c r="G51" s="84" t="s">
        <v>228</v>
      </c>
      <c r="H51" s="211">
        <v>5</v>
      </c>
      <c r="I51" s="85">
        <v>6151018</v>
      </c>
      <c r="J51" s="100"/>
      <c r="K51" s="85"/>
      <c r="L51" s="85">
        <f t="shared" si="0"/>
        <v>6151018</v>
      </c>
      <c r="M51" s="85"/>
      <c r="N51" s="85">
        <f t="shared" si="1"/>
        <v>0</v>
      </c>
      <c r="O51" s="85"/>
      <c r="P51" s="85">
        <f t="shared" si="2"/>
        <v>6151018</v>
      </c>
      <c r="Q51" s="85">
        <f t="shared" si="9"/>
        <v>492081.44</v>
      </c>
      <c r="R51" s="86">
        <f t="shared" si="7"/>
        <v>92265.26999999999</v>
      </c>
      <c r="S51" s="85">
        <f t="shared" si="8"/>
        <v>61510.18</v>
      </c>
      <c r="T51" s="86"/>
      <c r="U51" s="86">
        <f t="shared" si="3"/>
        <v>645856.89</v>
      </c>
      <c r="V51" s="86"/>
      <c r="W51" s="262"/>
      <c r="X51" s="262"/>
      <c r="Y51" s="262"/>
      <c r="Z51" s="262"/>
      <c r="AA51" s="86">
        <f t="shared" si="4"/>
        <v>5505161.1100000003</v>
      </c>
      <c r="AB51" s="88" t="str">
        <f t="shared" si="10"/>
        <v>39</v>
      </c>
      <c r="AC51" s="105"/>
      <c r="AD51" s="101" t="s">
        <v>95</v>
      </c>
      <c r="AE51" s="102"/>
      <c r="AF51" s="102" t="e">
        <f>#REF!*2</f>
        <v>#REF!</v>
      </c>
      <c r="AG51" s="102"/>
      <c r="AH51" s="102"/>
      <c r="AK51" s="92"/>
    </row>
    <row r="52" spans="1:37" s="91" customFormat="1" ht="33" customHeight="1">
      <c r="A52" s="181" t="s">
        <v>249</v>
      </c>
      <c r="B52" s="81" t="s">
        <v>280</v>
      </c>
      <c r="C52" s="82"/>
      <c r="D52" s="99" t="s">
        <v>175</v>
      </c>
      <c r="E52" s="206"/>
      <c r="F52" s="202" t="s">
        <v>303</v>
      </c>
      <c r="G52" s="84" t="s">
        <v>228</v>
      </c>
      <c r="H52" s="211">
        <v>1</v>
      </c>
      <c r="I52" s="85">
        <v>5060458</v>
      </c>
      <c r="J52" s="100"/>
      <c r="K52" s="85"/>
      <c r="L52" s="85">
        <f>ROUND(I52+K52,0)</f>
        <v>5060458</v>
      </c>
      <c r="M52" s="85"/>
      <c r="N52" s="85">
        <f>L52/24*M52</f>
        <v>0</v>
      </c>
      <c r="O52" s="85"/>
      <c r="P52" s="85">
        <f>L52-N52+O52</f>
        <v>5060458</v>
      </c>
      <c r="Q52" s="85">
        <f>L52*8%</f>
        <v>404836.64</v>
      </c>
      <c r="R52" s="86">
        <f>L52*1.5%</f>
        <v>75906.87</v>
      </c>
      <c r="S52" s="85">
        <f>L52*1%</f>
        <v>50604.58</v>
      </c>
      <c r="T52" s="86"/>
      <c r="U52" s="86">
        <f>SUM(Q52:T52)</f>
        <v>531348.09</v>
      </c>
      <c r="V52" s="86"/>
      <c r="W52" s="87"/>
      <c r="X52" s="87"/>
      <c r="Y52" s="87"/>
      <c r="Z52" s="87"/>
      <c r="AA52" s="86">
        <f>P52-U52+W52+Y52+Z52</f>
        <v>4529109.91</v>
      </c>
      <c r="AB52" s="88" t="str">
        <f>A52</f>
        <v>40</v>
      </c>
      <c r="AC52" s="233"/>
      <c r="AD52" s="233" t="s">
        <v>281</v>
      </c>
      <c r="AE52" s="104"/>
      <c r="AF52" s="125"/>
      <c r="AG52" s="334"/>
      <c r="AK52" s="92"/>
    </row>
    <row r="53" spans="1:37" s="91" customFormat="1" ht="35.25" customHeight="1">
      <c r="A53" s="181" t="s">
        <v>250</v>
      </c>
      <c r="B53" s="81" t="s">
        <v>168</v>
      </c>
      <c r="C53" s="82"/>
      <c r="D53" s="99" t="s">
        <v>337</v>
      </c>
      <c r="E53" s="206" t="str">
        <f>VLOOKUP(B53,[2]T3!$B$2:$D$328,3,FALSE)</f>
        <v>025273555</v>
      </c>
      <c r="F53" s="202" t="s">
        <v>209</v>
      </c>
      <c r="G53" s="84" t="s">
        <v>232</v>
      </c>
      <c r="H53" s="211">
        <v>3</v>
      </c>
      <c r="I53" s="85">
        <v>4873050</v>
      </c>
      <c r="J53" s="100"/>
      <c r="K53" s="85"/>
      <c r="L53" s="85">
        <f t="shared" si="0"/>
        <v>4873050</v>
      </c>
      <c r="M53" s="85"/>
      <c r="N53" s="85">
        <f t="shared" si="1"/>
        <v>0</v>
      </c>
      <c r="O53" s="85"/>
      <c r="P53" s="85">
        <f t="shared" si="2"/>
        <v>4873050</v>
      </c>
      <c r="Q53" s="85">
        <f t="shared" si="9"/>
        <v>389844</v>
      </c>
      <c r="R53" s="86">
        <f t="shared" si="7"/>
        <v>73095.75</v>
      </c>
      <c r="S53" s="85">
        <f t="shared" si="8"/>
        <v>48730.5</v>
      </c>
      <c r="T53" s="86"/>
      <c r="U53" s="86">
        <f t="shared" si="3"/>
        <v>511670.25</v>
      </c>
      <c r="V53" s="86"/>
      <c r="W53" s="87"/>
      <c r="X53" s="87"/>
      <c r="Y53" s="87"/>
      <c r="Z53" s="87"/>
      <c r="AA53" s="86">
        <f t="shared" si="4"/>
        <v>4361379.75</v>
      </c>
      <c r="AB53" s="88" t="str">
        <f t="shared" si="10"/>
        <v>41</v>
      </c>
      <c r="AC53" s="233"/>
      <c r="AD53" s="126" t="s">
        <v>170</v>
      </c>
      <c r="AE53" s="104"/>
      <c r="AF53" s="125"/>
      <c r="AG53" s="334"/>
      <c r="AK53" s="92"/>
    </row>
    <row r="54" spans="1:37" s="91" customFormat="1" ht="33.75" customHeight="1">
      <c r="A54" s="181" t="s">
        <v>251</v>
      </c>
      <c r="B54" s="81" t="s">
        <v>160</v>
      </c>
      <c r="C54" s="82"/>
      <c r="D54" s="99" t="s">
        <v>337</v>
      </c>
      <c r="E54" s="206" t="str">
        <f>VLOOKUP(B54,[2]T3!$B$2:$D$328,3,FALSE)</f>
        <v>025947357</v>
      </c>
      <c r="F54" s="188" t="s">
        <v>197</v>
      </c>
      <c r="G54" s="84" t="s">
        <v>228</v>
      </c>
      <c r="H54" s="211">
        <v>3</v>
      </c>
      <c r="I54" s="85">
        <v>5579155</v>
      </c>
      <c r="J54" s="100"/>
      <c r="K54" s="85"/>
      <c r="L54" s="85">
        <f t="shared" si="0"/>
        <v>5579155</v>
      </c>
      <c r="M54" s="85"/>
      <c r="N54" s="85">
        <f t="shared" si="1"/>
        <v>0</v>
      </c>
      <c r="O54" s="85"/>
      <c r="P54" s="85">
        <f t="shared" si="2"/>
        <v>5579155</v>
      </c>
      <c r="Q54" s="85">
        <f t="shared" si="9"/>
        <v>446332.4</v>
      </c>
      <c r="R54" s="86">
        <f t="shared" si="7"/>
        <v>83687.324999999997</v>
      </c>
      <c r="S54" s="85">
        <f t="shared" si="8"/>
        <v>55791.55</v>
      </c>
      <c r="T54" s="86"/>
      <c r="U54" s="86">
        <f t="shared" si="3"/>
        <v>585811.27500000002</v>
      </c>
      <c r="V54" s="86"/>
      <c r="W54" s="86"/>
      <c r="X54" s="86"/>
      <c r="Y54" s="86"/>
      <c r="Z54" s="86"/>
      <c r="AA54" s="86">
        <f t="shared" si="4"/>
        <v>4993343.7249999996</v>
      </c>
      <c r="AB54" s="88" t="str">
        <f t="shared" si="10"/>
        <v>42</v>
      </c>
      <c r="AC54" s="105"/>
      <c r="AD54" s="120" t="s">
        <v>161</v>
      </c>
      <c r="AE54" s="135"/>
      <c r="AF54" s="109"/>
      <c r="AG54" s="97"/>
      <c r="AH54" s="97"/>
      <c r="AK54" s="98"/>
    </row>
    <row r="55" spans="1:37" s="334" customFormat="1" ht="24" customHeight="1">
      <c r="A55" s="181" t="s">
        <v>265</v>
      </c>
      <c r="B55" s="81" t="s">
        <v>130</v>
      </c>
      <c r="C55" s="82" t="s">
        <v>9</v>
      </c>
      <c r="D55" s="99" t="s">
        <v>10</v>
      </c>
      <c r="E55" s="206" t="str">
        <f>VLOOKUP(B55,[2]T3!$B$2:$D$328,3,FALSE)</f>
        <v>273417648</v>
      </c>
      <c r="F55" s="202" t="s">
        <v>205</v>
      </c>
      <c r="G55" s="94" t="s">
        <v>228</v>
      </c>
      <c r="H55" s="83">
        <v>3</v>
      </c>
      <c r="I55" s="85">
        <v>5579155</v>
      </c>
      <c r="J55" s="100"/>
      <c r="K55" s="85"/>
      <c r="L55" s="85">
        <f t="shared" si="0"/>
        <v>5579155</v>
      </c>
      <c r="M55" s="85"/>
      <c r="N55" s="85">
        <f t="shared" si="1"/>
        <v>0</v>
      </c>
      <c r="O55" s="85"/>
      <c r="P55" s="85">
        <f t="shared" si="2"/>
        <v>5579155</v>
      </c>
      <c r="Q55" s="85">
        <f t="shared" si="9"/>
        <v>446332.4</v>
      </c>
      <c r="R55" s="86">
        <f t="shared" si="7"/>
        <v>83687.324999999997</v>
      </c>
      <c r="S55" s="85">
        <f t="shared" si="8"/>
        <v>55791.55</v>
      </c>
      <c r="T55" s="86"/>
      <c r="U55" s="86">
        <f t="shared" si="3"/>
        <v>585811.27500000002</v>
      </c>
      <c r="V55" s="86"/>
      <c r="W55" s="86"/>
      <c r="X55" s="86"/>
      <c r="Y55" s="86"/>
      <c r="Z55" s="86"/>
      <c r="AA55" s="86">
        <f t="shared" si="4"/>
        <v>4993343.7249999996</v>
      </c>
      <c r="AB55" s="88" t="str">
        <f t="shared" si="10"/>
        <v>43</v>
      </c>
      <c r="AC55" s="89"/>
      <c r="AD55" s="104" t="s">
        <v>104</v>
      </c>
      <c r="AE55" s="96"/>
      <c r="AF55" s="107"/>
      <c r="AG55" s="97" t="e">
        <f>AG57*12</f>
        <v>#REF!</v>
      </c>
      <c r="AH55" s="97"/>
      <c r="AK55" s="98"/>
    </row>
    <row r="56" spans="1:37" s="91" customFormat="1" ht="31.5" customHeight="1">
      <c r="A56" s="181" t="s">
        <v>270</v>
      </c>
      <c r="B56" s="81" t="s">
        <v>288</v>
      </c>
      <c r="C56" s="82"/>
      <c r="D56" s="99" t="s">
        <v>289</v>
      </c>
      <c r="E56" s="206"/>
      <c r="F56" s="202"/>
      <c r="G56" s="84" t="s">
        <v>231</v>
      </c>
      <c r="H56" s="211">
        <v>1</v>
      </c>
      <c r="I56" s="85">
        <v>4729400</v>
      </c>
      <c r="J56" s="100"/>
      <c r="K56" s="85"/>
      <c r="L56" s="85">
        <f t="shared" si="0"/>
        <v>4729400</v>
      </c>
      <c r="M56" s="85"/>
      <c r="N56" s="85">
        <f t="shared" si="1"/>
        <v>0</v>
      </c>
      <c r="O56" s="85"/>
      <c r="P56" s="85">
        <f t="shared" si="2"/>
        <v>4729400</v>
      </c>
      <c r="Q56" s="85">
        <f t="shared" si="9"/>
        <v>378352</v>
      </c>
      <c r="R56" s="86">
        <f t="shared" si="7"/>
        <v>70941</v>
      </c>
      <c r="S56" s="85">
        <f t="shared" si="8"/>
        <v>47294</v>
      </c>
      <c r="T56" s="86"/>
      <c r="U56" s="86">
        <f t="shared" si="3"/>
        <v>496587</v>
      </c>
      <c r="V56" s="86"/>
      <c r="W56" s="87"/>
      <c r="X56" s="87"/>
      <c r="Y56" s="87"/>
      <c r="Z56" s="87"/>
      <c r="AA56" s="86">
        <f t="shared" si="4"/>
        <v>4232813</v>
      </c>
      <c r="AB56" s="88" t="str">
        <f t="shared" si="10"/>
        <v>44</v>
      </c>
      <c r="AC56" s="233"/>
      <c r="AD56" s="233" t="s">
        <v>287</v>
      </c>
      <c r="AE56" s="104"/>
      <c r="AF56" s="125"/>
      <c r="AG56" s="334"/>
      <c r="AK56" s="92"/>
    </row>
    <row r="57" spans="1:37" s="91" customFormat="1" ht="30" customHeight="1">
      <c r="A57" s="181" t="s">
        <v>273</v>
      </c>
      <c r="B57" s="81" t="s">
        <v>129</v>
      </c>
      <c r="C57" s="82" t="s">
        <v>102</v>
      </c>
      <c r="D57" s="99" t="s">
        <v>10</v>
      </c>
      <c r="E57" s="206" t="str">
        <f>VLOOKUP(B57,[2]T3!$B$2:$D$328,3,FALSE)</f>
        <v>250835904</v>
      </c>
      <c r="F57" s="202" t="s">
        <v>204</v>
      </c>
      <c r="G57" s="94" t="s">
        <v>228</v>
      </c>
      <c r="H57" s="83">
        <v>3</v>
      </c>
      <c r="I57" s="85">
        <v>5579155</v>
      </c>
      <c r="J57" s="100"/>
      <c r="K57" s="85"/>
      <c r="L57" s="85">
        <f t="shared" si="0"/>
        <v>5579155</v>
      </c>
      <c r="M57" s="85"/>
      <c r="N57" s="85">
        <f t="shared" si="1"/>
        <v>0</v>
      </c>
      <c r="O57" s="85"/>
      <c r="P57" s="85">
        <f t="shared" si="2"/>
        <v>5579155</v>
      </c>
      <c r="Q57" s="85">
        <f t="shared" si="9"/>
        <v>446332.4</v>
      </c>
      <c r="R57" s="86">
        <f t="shared" si="7"/>
        <v>83687.324999999997</v>
      </c>
      <c r="S57" s="85">
        <f t="shared" si="8"/>
        <v>55791.55</v>
      </c>
      <c r="T57" s="86"/>
      <c r="U57" s="86">
        <f t="shared" si="3"/>
        <v>585811.27500000002</v>
      </c>
      <c r="V57" s="86"/>
      <c r="W57" s="86"/>
      <c r="X57" s="86"/>
      <c r="Y57" s="86"/>
      <c r="Z57" s="86"/>
      <c r="AA57" s="86">
        <f t="shared" si="4"/>
        <v>4993343.7249999996</v>
      </c>
      <c r="AB57" s="88" t="str">
        <f t="shared" si="10"/>
        <v>45</v>
      </c>
      <c r="AC57" s="89"/>
      <c r="AD57" s="108" t="s">
        <v>103</v>
      </c>
      <c r="AE57" s="96"/>
      <c r="AF57" s="107"/>
      <c r="AG57" s="97" t="e">
        <f>#REF!/26</f>
        <v>#REF!</v>
      </c>
      <c r="AH57" s="97"/>
      <c r="AK57" s="98"/>
    </row>
    <row r="58" spans="1:37" s="91" customFormat="1" ht="30" customHeight="1">
      <c r="A58" s="181" t="s">
        <v>277</v>
      </c>
      <c r="B58" s="81" t="s">
        <v>152</v>
      </c>
      <c r="C58" s="139"/>
      <c r="D58" s="99" t="s">
        <v>255</v>
      </c>
      <c r="E58" s="204"/>
      <c r="F58" s="188"/>
      <c r="G58" s="94" t="s">
        <v>228</v>
      </c>
      <c r="H58" s="211">
        <v>12</v>
      </c>
      <c r="I58" s="85">
        <v>8655100</v>
      </c>
      <c r="J58" s="268">
        <v>0.09</v>
      </c>
      <c r="K58" s="100">
        <f>I58*J58</f>
        <v>778959</v>
      </c>
      <c r="L58" s="85">
        <f t="shared" si="0"/>
        <v>9434059</v>
      </c>
      <c r="M58" s="85"/>
      <c r="N58" s="85">
        <f t="shared" si="1"/>
        <v>0</v>
      </c>
      <c r="O58" s="85"/>
      <c r="P58" s="85">
        <f t="shared" si="2"/>
        <v>9434059</v>
      </c>
      <c r="Q58" s="85">
        <f t="shared" si="9"/>
        <v>754724.72</v>
      </c>
      <c r="R58" s="86">
        <f t="shared" si="7"/>
        <v>141510.88500000001</v>
      </c>
      <c r="S58" s="85">
        <f t="shared" si="8"/>
        <v>94340.59</v>
      </c>
      <c r="T58" s="86"/>
      <c r="U58" s="86">
        <f t="shared" si="3"/>
        <v>990576.19499999995</v>
      </c>
      <c r="V58" s="86"/>
      <c r="W58" s="86"/>
      <c r="X58" s="86"/>
      <c r="Y58" s="86"/>
      <c r="Z58" s="86"/>
      <c r="AA58" s="86">
        <f t="shared" si="4"/>
        <v>8443482.8049999997</v>
      </c>
      <c r="AB58" s="88" t="str">
        <f t="shared" si="10"/>
        <v>46</v>
      </c>
      <c r="AC58" s="89"/>
      <c r="AD58" s="104"/>
      <c r="AE58" s="333"/>
      <c r="AF58" s="334"/>
      <c r="AG58" s="334"/>
      <c r="AK58" s="92"/>
    </row>
    <row r="59" spans="1:37" s="334" customFormat="1" ht="39" customHeight="1">
      <c r="A59" s="181" t="s">
        <v>278</v>
      </c>
      <c r="B59" s="81" t="s">
        <v>321</v>
      </c>
      <c r="C59" s="82"/>
      <c r="D59" s="99" t="s">
        <v>322</v>
      </c>
      <c r="E59" s="206"/>
      <c r="F59" s="188"/>
      <c r="G59" s="84" t="s">
        <v>231</v>
      </c>
      <c r="H59" s="211">
        <v>4</v>
      </c>
      <c r="I59" s="85">
        <v>5474872</v>
      </c>
      <c r="J59" s="100"/>
      <c r="K59" s="85"/>
      <c r="L59" s="85">
        <f t="shared" si="0"/>
        <v>5474872</v>
      </c>
      <c r="M59" s="85"/>
      <c r="N59" s="85">
        <f t="shared" si="1"/>
        <v>0</v>
      </c>
      <c r="O59" s="85"/>
      <c r="P59" s="85">
        <f t="shared" si="2"/>
        <v>5474872</v>
      </c>
      <c r="Q59" s="85">
        <f t="shared" si="9"/>
        <v>437989.76</v>
      </c>
      <c r="R59" s="86">
        <f t="shared" si="7"/>
        <v>82123.08</v>
      </c>
      <c r="S59" s="85">
        <f t="shared" si="8"/>
        <v>54748.72</v>
      </c>
      <c r="T59" s="86"/>
      <c r="U59" s="86">
        <f t="shared" si="3"/>
        <v>574861.56000000006</v>
      </c>
      <c r="V59" s="86"/>
      <c r="W59" s="86"/>
      <c r="X59" s="132"/>
      <c r="Y59" s="86"/>
      <c r="Z59" s="86"/>
      <c r="AA59" s="86">
        <f t="shared" si="4"/>
        <v>4900010.4399999995</v>
      </c>
      <c r="AB59" s="88" t="str">
        <f t="shared" si="10"/>
        <v>47</v>
      </c>
      <c r="AC59" s="89"/>
      <c r="AD59" s="89"/>
      <c r="AE59" s="107"/>
      <c r="AF59" s="103"/>
      <c r="AK59" s="333"/>
    </row>
    <row r="60" spans="1:37" s="334" customFormat="1" ht="29.25" customHeight="1">
      <c r="A60" s="181" t="s">
        <v>292</v>
      </c>
      <c r="B60" s="81" t="s">
        <v>285</v>
      </c>
      <c r="C60" s="82"/>
      <c r="D60" s="99" t="s">
        <v>351</v>
      </c>
      <c r="E60" s="206"/>
      <c r="F60" s="202"/>
      <c r="G60" s="84" t="s">
        <v>228</v>
      </c>
      <c r="H60" s="211">
        <v>1</v>
      </c>
      <c r="I60" s="85">
        <v>5060458</v>
      </c>
      <c r="J60" s="100"/>
      <c r="K60" s="85"/>
      <c r="L60" s="85">
        <f>ROUND(I60+K60,0)</f>
        <v>5060458</v>
      </c>
      <c r="M60" s="85"/>
      <c r="N60" s="85">
        <f>L60/24*M60</f>
        <v>0</v>
      </c>
      <c r="O60" s="85"/>
      <c r="P60" s="85">
        <f>L60-N60+O60</f>
        <v>5060458</v>
      </c>
      <c r="Q60" s="85">
        <f>L60*8%</f>
        <v>404836.64</v>
      </c>
      <c r="R60" s="86">
        <f>L60*1.5%</f>
        <v>75906.87</v>
      </c>
      <c r="S60" s="85">
        <f>L60*1%</f>
        <v>50604.58</v>
      </c>
      <c r="T60" s="86"/>
      <c r="U60" s="86">
        <f>SUM(Q60:T60)</f>
        <v>531348.09</v>
      </c>
      <c r="V60" s="86"/>
      <c r="W60" s="87"/>
      <c r="X60" s="87"/>
      <c r="Y60" s="87"/>
      <c r="Z60" s="87"/>
      <c r="AA60" s="86">
        <f>P60-U60+W60+Y60+Z60</f>
        <v>4529109.91</v>
      </c>
      <c r="AB60" s="88" t="str">
        <f>A60</f>
        <v>48</v>
      </c>
      <c r="AC60" s="233"/>
      <c r="AD60" s="233" t="s">
        <v>287</v>
      </c>
      <c r="AE60" s="104"/>
      <c r="AF60" s="125"/>
      <c r="AK60" s="333"/>
    </row>
    <row r="61" spans="1:37" s="336" customFormat="1" ht="29.25" customHeight="1">
      <c r="A61" s="181" t="s">
        <v>336</v>
      </c>
      <c r="B61" s="337" t="s">
        <v>352</v>
      </c>
      <c r="C61" s="338"/>
      <c r="D61" s="99" t="s">
        <v>351</v>
      </c>
      <c r="E61" s="243"/>
      <c r="F61" s="339"/>
      <c r="G61" s="84" t="s">
        <v>228</v>
      </c>
      <c r="H61" s="211">
        <v>1</v>
      </c>
      <c r="I61" s="85">
        <v>5060458</v>
      </c>
      <c r="J61" s="340"/>
      <c r="K61" s="244"/>
      <c r="L61" s="85">
        <f t="shared" ref="L61:L67" si="11">ROUND(I61+K61,0)</f>
        <v>5060458</v>
      </c>
      <c r="M61" s="244"/>
      <c r="N61" s="85">
        <f t="shared" ref="N61:N67" si="12">L61/24*M61</f>
        <v>0</v>
      </c>
      <c r="O61" s="244"/>
      <c r="P61" s="85">
        <f t="shared" ref="P61:P67" si="13">L61-N61+O61</f>
        <v>5060458</v>
      </c>
      <c r="Q61" s="85">
        <f t="shared" ref="Q61:Q67" si="14">L61*8%</f>
        <v>404836.64</v>
      </c>
      <c r="R61" s="86">
        <f t="shared" ref="R61:R67" si="15">L61*1.5%</f>
        <v>75906.87</v>
      </c>
      <c r="S61" s="85">
        <f t="shared" ref="S61:S67" si="16">L61*1%</f>
        <v>50604.58</v>
      </c>
      <c r="T61" s="341"/>
      <c r="U61" s="86">
        <f t="shared" ref="U61:U67" si="17">SUM(Q61:T61)</f>
        <v>531348.09</v>
      </c>
      <c r="V61" s="341"/>
      <c r="W61" s="341"/>
      <c r="X61" s="342"/>
      <c r="Y61" s="341"/>
      <c r="Z61" s="341"/>
      <c r="AA61" s="86">
        <f t="shared" ref="AA61:AA67" si="18">P61-U61+W61+Y61+Z61</f>
        <v>4529109.91</v>
      </c>
      <c r="AB61" s="88" t="str">
        <f t="shared" ref="AB61:AB68" si="19">A61</f>
        <v>49</v>
      </c>
      <c r="AC61" s="107"/>
      <c r="AD61" s="89"/>
      <c r="AE61" s="125"/>
      <c r="AF61" s="103"/>
      <c r="AK61" s="335"/>
    </row>
    <row r="62" spans="1:37" s="336" customFormat="1" ht="29.25" customHeight="1">
      <c r="A62" s="181" t="s">
        <v>359</v>
      </c>
      <c r="B62" s="337" t="s">
        <v>353</v>
      </c>
      <c r="C62" s="338"/>
      <c r="D62" s="99" t="s">
        <v>351</v>
      </c>
      <c r="E62" s="243"/>
      <c r="F62" s="339"/>
      <c r="G62" s="84" t="s">
        <v>228</v>
      </c>
      <c r="H62" s="211">
        <v>1</v>
      </c>
      <c r="I62" s="85">
        <v>5060458</v>
      </c>
      <c r="J62" s="340"/>
      <c r="K62" s="244"/>
      <c r="L62" s="85">
        <f t="shared" si="11"/>
        <v>5060458</v>
      </c>
      <c r="M62" s="244"/>
      <c r="N62" s="85">
        <f t="shared" si="12"/>
        <v>0</v>
      </c>
      <c r="O62" s="244"/>
      <c r="P62" s="85">
        <f t="shared" si="13"/>
        <v>5060458</v>
      </c>
      <c r="Q62" s="85">
        <f t="shared" si="14"/>
        <v>404836.64</v>
      </c>
      <c r="R62" s="86">
        <f t="shared" si="15"/>
        <v>75906.87</v>
      </c>
      <c r="S62" s="85">
        <f t="shared" si="16"/>
        <v>50604.58</v>
      </c>
      <c r="T62" s="341"/>
      <c r="U62" s="86">
        <f t="shared" si="17"/>
        <v>531348.09</v>
      </c>
      <c r="V62" s="341"/>
      <c r="W62" s="341"/>
      <c r="X62" s="342"/>
      <c r="Y62" s="341"/>
      <c r="Z62" s="341"/>
      <c r="AA62" s="86">
        <f t="shared" si="18"/>
        <v>4529109.91</v>
      </c>
      <c r="AB62" s="88" t="str">
        <f t="shared" si="19"/>
        <v>50</v>
      </c>
      <c r="AC62" s="107"/>
      <c r="AD62" s="89"/>
      <c r="AE62" s="125"/>
      <c r="AF62" s="103"/>
      <c r="AK62" s="335"/>
    </row>
    <row r="63" spans="1:37" s="336" customFormat="1" ht="29.25" customHeight="1">
      <c r="A63" s="181" t="s">
        <v>360</v>
      </c>
      <c r="B63" s="337" t="s">
        <v>354</v>
      </c>
      <c r="C63" s="338"/>
      <c r="D63" s="99" t="s">
        <v>351</v>
      </c>
      <c r="E63" s="243"/>
      <c r="F63" s="339"/>
      <c r="G63" s="84" t="s">
        <v>228</v>
      </c>
      <c r="H63" s="211">
        <v>1</v>
      </c>
      <c r="I63" s="85">
        <v>5060458</v>
      </c>
      <c r="J63" s="340"/>
      <c r="K63" s="244"/>
      <c r="L63" s="85">
        <f t="shared" si="11"/>
        <v>5060458</v>
      </c>
      <c r="M63" s="244"/>
      <c r="N63" s="85">
        <f t="shared" si="12"/>
        <v>0</v>
      </c>
      <c r="O63" s="244"/>
      <c r="P63" s="85">
        <f t="shared" si="13"/>
        <v>5060458</v>
      </c>
      <c r="Q63" s="85">
        <f t="shared" si="14"/>
        <v>404836.64</v>
      </c>
      <c r="R63" s="86">
        <f t="shared" si="15"/>
        <v>75906.87</v>
      </c>
      <c r="S63" s="85">
        <f t="shared" si="16"/>
        <v>50604.58</v>
      </c>
      <c r="T63" s="341"/>
      <c r="U63" s="86">
        <f t="shared" si="17"/>
        <v>531348.09</v>
      </c>
      <c r="V63" s="341"/>
      <c r="W63" s="341"/>
      <c r="X63" s="342"/>
      <c r="Y63" s="341"/>
      <c r="Z63" s="341"/>
      <c r="AA63" s="86">
        <f t="shared" si="18"/>
        <v>4529109.91</v>
      </c>
      <c r="AB63" s="88" t="str">
        <f t="shared" si="19"/>
        <v>51</v>
      </c>
      <c r="AC63" s="107"/>
      <c r="AD63" s="89"/>
      <c r="AE63" s="125"/>
      <c r="AF63" s="103"/>
      <c r="AK63" s="335"/>
    </row>
    <row r="64" spans="1:37" s="336" customFormat="1" ht="29.25" customHeight="1">
      <c r="A64" s="181" t="s">
        <v>361</v>
      </c>
      <c r="B64" s="337" t="s">
        <v>355</v>
      </c>
      <c r="C64" s="338"/>
      <c r="D64" s="99" t="s">
        <v>351</v>
      </c>
      <c r="E64" s="243"/>
      <c r="F64" s="339"/>
      <c r="G64" s="84" t="s">
        <v>228</v>
      </c>
      <c r="H64" s="211">
        <v>1</v>
      </c>
      <c r="I64" s="85">
        <v>5060458</v>
      </c>
      <c r="J64" s="340"/>
      <c r="K64" s="244"/>
      <c r="L64" s="85">
        <f t="shared" si="11"/>
        <v>5060458</v>
      </c>
      <c r="M64" s="244"/>
      <c r="N64" s="85">
        <f t="shared" si="12"/>
        <v>0</v>
      </c>
      <c r="O64" s="244"/>
      <c r="P64" s="85">
        <f t="shared" si="13"/>
        <v>5060458</v>
      </c>
      <c r="Q64" s="85">
        <f t="shared" si="14"/>
        <v>404836.64</v>
      </c>
      <c r="R64" s="86">
        <f t="shared" si="15"/>
        <v>75906.87</v>
      </c>
      <c r="S64" s="85">
        <f t="shared" si="16"/>
        <v>50604.58</v>
      </c>
      <c r="T64" s="341"/>
      <c r="U64" s="86">
        <f t="shared" si="17"/>
        <v>531348.09</v>
      </c>
      <c r="V64" s="341"/>
      <c r="W64" s="341"/>
      <c r="X64" s="342"/>
      <c r="Y64" s="341"/>
      <c r="Z64" s="341"/>
      <c r="AA64" s="86">
        <f t="shared" si="18"/>
        <v>4529109.91</v>
      </c>
      <c r="AB64" s="88" t="str">
        <f t="shared" si="19"/>
        <v>52</v>
      </c>
      <c r="AC64" s="107"/>
      <c r="AD64" s="89"/>
      <c r="AE64" s="125"/>
      <c r="AF64" s="103"/>
      <c r="AK64" s="335"/>
    </row>
    <row r="65" spans="1:39" s="336" customFormat="1" ht="29.25" customHeight="1">
      <c r="A65" s="181" t="s">
        <v>362</v>
      </c>
      <c r="B65" s="337" t="s">
        <v>356</v>
      </c>
      <c r="C65" s="338"/>
      <c r="D65" s="99" t="s">
        <v>351</v>
      </c>
      <c r="E65" s="243"/>
      <c r="F65" s="339"/>
      <c r="G65" s="84" t="s">
        <v>228</v>
      </c>
      <c r="H65" s="211">
        <v>1</v>
      </c>
      <c r="I65" s="85">
        <v>5060458</v>
      </c>
      <c r="J65" s="340"/>
      <c r="K65" s="244"/>
      <c r="L65" s="85">
        <f t="shared" si="11"/>
        <v>5060458</v>
      </c>
      <c r="M65" s="244"/>
      <c r="N65" s="85">
        <f t="shared" si="12"/>
        <v>0</v>
      </c>
      <c r="O65" s="244"/>
      <c r="P65" s="85">
        <f t="shared" si="13"/>
        <v>5060458</v>
      </c>
      <c r="Q65" s="85">
        <f t="shared" si="14"/>
        <v>404836.64</v>
      </c>
      <c r="R65" s="86">
        <f t="shared" si="15"/>
        <v>75906.87</v>
      </c>
      <c r="S65" s="85">
        <f t="shared" si="16"/>
        <v>50604.58</v>
      </c>
      <c r="T65" s="341"/>
      <c r="U65" s="86">
        <f t="shared" si="17"/>
        <v>531348.09</v>
      </c>
      <c r="V65" s="341"/>
      <c r="W65" s="341"/>
      <c r="X65" s="342"/>
      <c r="Y65" s="341"/>
      <c r="Z65" s="341"/>
      <c r="AA65" s="86">
        <f t="shared" si="18"/>
        <v>4529109.91</v>
      </c>
      <c r="AB65" s="88" t="str">
        <f t="shared" si="19"/>
        <v>53</v>
      </c>
      <c r="AC65" s="107"/>
      <c r="AD65" s="89"/>
      <c r="AE65" s="125"/>
      <c r="AF65" s="103"/>
      <c r="AK65" s="335"/>
    </row>
    <row r="66" spans="1:39" s="336" customFormat="1" ht="29.25" customHeight="1">
      <c r="A66" s="181" t="s">
        <v>363</v>
      </c>
      <c r="B66" s="337" t="s">
        <v>357</v>
      </c>
      <c r="C66" s="338"/>
      <c r="D66" s="99" t="s">
        <v>351</v>
      </c>
      <c r="E66" s="243"/>
      <c r="F66" s="339"/>
      <c r="G66" s="84" t="s">
        <v>228</v>
      </c>
      <c r="H66" s="211">
        <v>1</v>
      </c>
      <c r="I66" s="85">
        <v>5060458</v>
      </c>
      <c r="J66" s="340"/>
      <c r="K66" s="244"/>
      <c r="L66" s="85">
        <f t="shared" si="11"/>
        <v>5060458</v>
      </c>
      <c r="M66" s="244"/>
      <c r="N66" s="85">
        <f t="shared" si="12"/>
        <v>0</v>
      </c>
      <c r="O66" s="244"/>
      <c r="P66" s="85">
        <f t="shared" si="13"/>
        <v>5060458</v>
      </c>
      <c r="Q66" s="85">
        <f t="shared" si="14"/>
        <v>404836.64</v>
      </c>
      <c r="R66" s="86">
        <f t="shared" si="15"/>
        <v>75906.87</v>
      </c>
      <c r="S66" s="85">
        <f t="shared" si="16"/>
        <v>50604.58</v>
      </c>
      <c r="T66" s="341"/>
      <c r="U66" s="86">
        <f t="shared" si="17"/>
        <v>531348.09</v>
      </c>
      <c r="V66" s="341"/>
      <c r="W66" s="341"/>
      <c r="X66" s="342"/>
      <c r="Y66" s="341"/>
      <c r="Z66" s="341"/>
      <c r="AA66" s="86">
        <f t="shared" si="18"/>
        <v>4529109.91</v>
      </c>
      <c r="AB66" s="88" t="str">
        <f t="shared" si="19"/>
        <v>54</v>
      </c>
      <c r="AC66" s="107"/>
      <c r="AD66" s="89"/>
      <c r="AE66" s="125"/>
      <c r="AF66" s="103"/>
      <c r="AK66" s="335"/>
    </row>
    <row r="67" spans="1:39" s="336" customFormat="1" ht="29.25" customHeight="1">
      <c r="A67" s="181" t="s">
        <v>364</v>
      </c>
      <c r="B67" s="337" t="s">
        <v>358</v>
      </c>
      <c r="C67" s="338"/>
      <c r="D67" s="99" t="s">
        <v>351</v>
      </c>
      <c r="E67" s="243"/>
      <c r="F67" s="339"/>
      <c r="G67" s="84" t="s">
        <v>228</v>
      </c>
      <c r="H67" s="211">
        <v>1</v>
      </c>
      <c r="I67" s="85">
        <v>5060458</v>
      </c>
      <c r="J67" s="340"/>
      <c r="K67" s="244"/>
      <c r="L67" s="85">
        <f t="shared" si="11"/>
        <v>5060458</v>
      </c>
      <c r="M67" s="244"/>
      <c r="N67" s="85">
        <f t="shared" si="12"/>
        <v>0</v>
      </c>
      <c r="O67" s="244"/>
      <c r="P67" s="85">
        <f t="shared" si="13"/>
        <v>5060458</v>
      </c>
      <c r="Q67" s="85">
        <f t="shared" si="14"/>
        <v>404836.64</v>
      </c>
      <c r="R67" s="86">
        <f t="shared" si="15"/>
        <v>75906.87</v>
      </c>
      <c r="S67" s="85">
        <f t="shared" si="16"/>
        <v>50604.58</v>
      </c>
      <c r="T67" s="341"/>
      <c r="U67" s="86">
        <f t="shared" si="17"/>
        <v>531348.09</v>
      </c>
      <c r="V67" s="341"/>
      <c r="W67" s="341"/>
      <c r="X67" s="342"/>
      <c r="Y67" s="341"/>
      <c r="Z67" s="341"/>
      <c r="AA67" s="86">
        <f t="shared" si="18"/>
        <v>4529109.91</v>
      </c>
      <c r="AB67" s="88" t="str">
        <f t="shared" si="19"/>
        <v>55</v>
      </c>
      <c r="AC67" s="107"/>
      <c r="AD67" s="89"/>
      <c r="AE67" s="125"/>
      <c r="AF67" s="103"/>
      <c r="AK67" s="335"/>
    </row>
    <row r="68" spans="1:39" s="91" customFormat="1" ht="28.5" customHeight="1">
      <c r="A68" s="181" t="s">
        <v>365</v>
      </c>
      <c r="B68" s="250" t="s">
        <v>266</v>
      </c>
      <c r="C68" s="251"/>
      <c r="D68" s="252" t="s">
        <v>267</v>
      </c>
      <c r="E68" s="208"/>
      <c r="F68" s="253"/>
      <c r="G68" s="254" t="s">
        <v>228</v>
      </c>
      <c r="H68" s="255">
        <v>10</v>
      </c>
      <c r="I68" s="214">
        <v>7850431</v>
      </c>
      <c r="J68" s="256"/>
      <c r="K68" s="214"/>
      <c r="L68" s="214">
        <f t="shared" si="0"/>
        <v>7850431</v>
      </c>
      <c r="M68" s="214"/>
      <c r="N68" s="214">
        <f t="shared" si="1"/>
        <v>0</v>
      </c>
      <c r="O68" s="214"/>
      <c r="P68" s="214">
        <f t="shared" si="2"/>
        <v>7850431</v>
      </c>
      <c r="Q68" s="85">
        <v>0</v>
      </c>
      <c r="R68" s="86">
        <v>0</v>
      </c>
      <c r="S68" s="85">
        <v>0</v>
      </c>
      <c r="T68" s="257"/>
      <c r="U68" s="86">
        <f>SUM(Q68:T68)</f>
        <v>0</v>
      </c>
      <c r="V68" s="257"/>
      <c r="W68" s="258"/>
      <c r="X68" s="258"/>
      <c r="Y68" s="258"/>
      <c r="Z68" s="258"/>
      <c r="AA68" s="257">
        <f t="shared" si="4"/>
        <v>7850431</v>
      </c>
      <c r="AB68" s="88" t="str">
        <f t="shared" si="19"/>
        <v>56</v>
      </c>
      <c r="AC68" s="260"/>
      <c r="AD68" s="233" t="s">
        <v>264</v>
      </c>
      <c r="AE68" s="654" t="s">
        <v>308</v>
      </c>
      <c r="AF68" s="655"/>
      <c r="AG68" s="655"/>
      <c r="AK68" s="92"/>
    </row>
    <row r="69" spans="1:39" ht="33" customHeight="1">
      <c r="A69" s="75"/>
      <c r="B69" s="656" t="s">
        <v>11</v>
      </c>
      <c r="C69" s="657"/>
      <c r="D69" s="141"/>
      <c r="E69" s="141"/>
      <c r="F69" s="69"/>
      <c r="G69" s="69"/>
      <c r="H69" s="292">
        <f>SUM(H13:H68)</f>
        <v>220</v>
      </c>
      <c r="I69" s="68">
        <f>SUM(I13:I68)</f>
        <v>318234824</v>
      </c>
      <c r="J69" s="134">
        <f>SUM(J21:J59)</f>
        <v>0.64</v>
      </c>
      <c r="K69" s="68">
        <f>SUM(K13:K68)</f>
        <v>4936794</v>
      </c>
      <c r="L69" s="68">
        <f>SUM(L13:L68)</f>
        <v>323171618</v>
      </c>
      <c r="M69" s="68"/>
      <c r="N69" s="68">
        <f t="shared" ref="N69:Z69" si="20">SUM(N13:N68)</f>
        <v>0</v>
      </c>
      <c r="O69" s="68">
        <f t="shared" si="20"/>
        <v>0</v>
      </c>
      <c r="P69" s="68">
        <f>SUM(P13:P68)</f>
        <v>323171618</v>
      </c>
      <c r="Q69" s="68">
        <f>SUM(Q13:Q68)</f>
        <v>24779363.560000006</v>
      </c>
      <c r="R69" s="68">
        <f t="shared" si="20"/>
        <v>4646130.4800000032</v>
      </c>
      <c r="S69" s="68">
        <f t="shared" si="20"/>
        <v>3097420.3200000008</v>
      </c>
      <c r="T69" s="134">
        <f t="shared" si="20"/>
        <v>0</v>
      </c>
      <c r="U69" s="68">
        <f>SUM(U13:U68)</f>
        <v>32522914.359999992</v>
      </c>
      <c r="V69" s="80">
        <f t="shared" si="20"/>
        <v>0</v>
      </c>
      <c r="W69" s="68">
        <f t="shared" si="20"/>
        <v>0</v>
      </c>
      <c r="X69" s="80">
        <f t="shared" si="20"/>
        <v>0</v>
      </c>
      <c r="Y69" s="68">
        <f t="shared" si="20"/>
        <v>0</v>
      </c>
      <c r="Z69" s="284">
        <f t="shared" si="20"/>
        <v>852000</v>
      </c>
      <c r="AA69" s="68">
        <f>SUM(AA13:AA68)</f>
        <v>291500703.6400001</v>
      </c>
      <c r="AB69" s="77"/>
      <c r="AC69" s="78"/>
      <c r="AD69" s="79"/>
      <c r="AE69" s="60" t="s">
        <v>65</v>
      </c>
      <c r="AF69" s="49"/>
      <c r="AG69" s="49"/>
      <c r="AH69" s="32"/>
      <c r="AI69" s="32"/>
      <c r="AJ69" s="32"/>
      <c r="AK69" s="48"/>
      <c r="AL69" s="32"/>
    </row>
    <row r="70" spans="1:39" ht="44.25" hidden="1" customHeight="1">
      <c r="A70" s="5"/>
      <c r="B70" s="123"/>
      <c r="C70" s="53"/>
      <c r="D70" s="142"/>
      <c r="E70" s="142"/>
      <c r="F70" s="183"/>
      <c r="G70" s="37"/>
      <c r="H70" s="36"/>
      <c r="I70" s="42"/>
      <c r="J70" s="36"/>
      <c r="K70" s="42"/>
      <c r="L70" s="42"/>
      <c r="M70" s="42"/>
      <c r="N70" s="42"/>
      <c r="O70" s="42"/>
      <c r="P70" s="42"/>
      <c r="Q70" s="274">
        <v>21574227</v>
      </c>
      <c r="R70" s="274">
        <v>4045167</v>
      </c>
      <c r="S70" s="274">
        <v>2696778</v>
      </c>
      <c r="T70" s="273"/>
      <c r="U70" s="274">
        <v>28316172</v>
      </c>
      <c r="V70" s="273"/>
      <c r="W70" s="273"/>
      <c r="X70" s="273"/>
      <c r="Y70" s="273"/>
      <c r="Z70" s="273"/>
      <c r="AA70" s="274">
        <v>255377566</v>
      </c>
      <c r="AB70" s="44"/>
      <c r="AC70" s="57"/>
      <c r="AD70" s="57"/>
      <c r="AE70" s="54"/>
      <c r="AF70" s="54"/>
      <c r="AG70" s="54"/>
    </row>
    <row r="71" spans="1:39" ht="18.75" customHeight="1">
      <c r="A71" s="4"/>
      <c r="B71" s="658" t="s">
        <v>12</v>
      </c>
      <c r="C71" s="658"/>
      <c r="D71" s="16" t="s">
        <v>366</v>
      </c>
      <c r="E71" s="16"/>
      <c r="S71" s="17"/>
      <c r="T71" s="17"/>
      <c r="U71" s="17"/>
      <c r="V71" s="17"/>
      <c r="W71" s="17"/>
      <c r="X71" s="17"/>
      <c r="Y71" s="17"/>
      <c r="Z71" s="281"/>
      <c r="AA71" s="17"/>
      <c r="AB71" s="16"/>
      <c r="AC71" s="56"/>
      <c r="AD71" s="56"/>
      <c r="AE71" s="58"/>
      <c r="AF71" s="49"/>
      <c r="AG71" s="49"/>
    </row>
    <row r="72" spans="1:39" ht="7.5" customHeight="1">
      <c r="A72" s="4"/>
      <c r="B72" s="658"/>
      <c r="C72" s="658"/>
      <c r="D72" s="143"/>
      <c r="E72" s="143"/>
      <c r="F72" s="185"/>
      <c r="G72" s="39"/>
      <c r="H72" s="39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285"/>
      <c r="AA72" s="40"/>
      <c r="AB72" s="659"/>
      <c r="AC72" s="659"/>
      <c r="AD72" s="40"/>
      <c r="AE72" s="648" t="e">
        <f>1000000-#REF!</f>
        <v>#REF!</v>
      </c>
      <c r="AF72" s="645"/>
      <c r="AG72" s="645"/>
    </row>
    <row r="73" spans="1:39" ht="21" customHeight="1">
      <c r="A73" s="4"/>
      <c r="B73" s="645"/>
      <c r="C73" s="645"/>
      <c r="D73" s="6"/>
      <c r="E73" s="6"/>
      <c r="F73" s="186"/>
      <c r="G73" s="4"/>
      <c r="H73" s="4"/>
      <c r="S73" s="660" t="s">
        <v>345</v>
      </c>
      <c r="T73" s="660"/>
      <c r="U73" s="660"/>
      <c r="V73" s="660"/>
      <c r="W73" s="660"/>
      <c r="X73" s="660"/>
      <c r="Y73" s="660"/>
      <c r="Z73" s="660"/>
      <c r="AA73" s="660"/>
      <c r="AB73" s="660"/>
      <c r="AC73" s="660"/>
      <c r="AD73" s="661"/>
      <c r="AE73" s="645"/>
      <c r="AF73" s="645"/>
      <c r="AG73" s="645"/>
    </row>
    <row r="74" spans="1:39" ht="15.75" customHeight="1">
      <c r="A74" s="649" t="s">
        <v>13</v>
      </c>
      <c r="B74" s="649"/>
      <c r="C74" s="649"/>
      <c r="D74" s="649"/>
      <c r="E74" s="649"/>
      <c r="F74" s="649"/>
      <c r="G74" s="649"/>
      <c r="H74" s="649"/>
      <c r="I74" s="649" t="s">
        <v>169</v>
      </c>
      <c r="J74" s="649"/>
      <c r="K74" s="649"/>
      <c r="L74" s="649"/>
      <c r="M74" s="649"/>
      <c r="N74" s="649"/>
      <c r="O74" s="649"/>
      <c r="P74" s="649"/>
      <c r="Q74" s="649"/>
      <c r="R74" s="649"/>
      <c r="S74" s="663" t="s">
        <v>14</v>
      </c>
      <c r="T74" s="663"/>
      <c r="U74" s="663"/>
      <c r="V74" s="663"/>
      <c r="W74" s="663"/>
      <c r="X74" s="663"/>
      <c r="Y74" s="663"/>
      <c r="Z74" s="663"/>
      <c r="AA74" s="663"/>
      <c r="AB74" s="663"/>
      <c r="AC74" s="663"/>
      <c r="AD74" s="662"/>
      <c r="AE74" s="650"/>
      <c r="AF74" s="650"/>
      <c r="AG74" s="650"/>
    </row>
    <row r="75" spans="1:39" ht="15.75" customHeight="1">
      <c r="A75" s="4"/>
      <c r="B75" s="647"/>
      <c r="C75" s="647"/>
      <c r="D75" s="6"/>
      <c r="E75" s="6"/>
      <c r="F75" s="186"/>
      <c r="G75" s="4"/>
      <c r="H75" s="4"/>
      <c r="I75" s="3"/>
      <c r="J75" s="3"/>
      <c r="K75" s="3"/>
      <c r="L75" s="3"/>
      <c r="M75" s="3"/>
      <c r="N75" s="3"/>
      <c r="O75" s="3"/>
      <c r="P75" s="3"/>
      <c r="Q75" s="59"/>
      <c r="R75" s="3"/>
      <c r="S75" s="3"/>
      <c r="T75" s="3"/>
      <c r="U75" s="3"/>
      <c r="V75" s="3"/>
      <c r="AB75" s="647"/>
      <c r="AC75" s="647"/>
      <c r="AD75" s="3"/>
      <c r="AE75" s="645"/>
      <c r="AF75" s="645"/>
      <c r="AG75" s="645"/>
    </row>
    <row r="76" spans="1:39" ht="15.75" customHeight="1">
      <c r="A76" s="4"/>
      <c r="B76" s="645"/>
      <c r="C76" s="645"/>
      <c r="D76" s="6"/>
      <c r="E76" s="6"/>
      <c r="F76" s="186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S76" s="137"/>
      <c r="T76" s="137"/>
      <c r="U76" s="137"/>
      <c r="V76" s="137"/>
      <c r="W76" s="137"/>
      <c r="X76" s="137"/>
      <c r="Y76" s="137"/>
      <c r="Z76" s="287"/>
      <c r="AA76" s="137"/>
      <c r="AB76" s="137"/>
      <c r="AC76" s="137"/>
      <c r="AD76" s="137"/>
      <c r="AE76" s="137"/>
      <c r="AF76" s="64"/>
      <c r="AG76" s="64"/>
      <c r="AH76" s="64"/>
      <c r="AI76" s="64"/>
      <c r="AJ76" s="64"/>
      <c r="AK76" s="64"/>
      <c r="AL76" s="64"/>
      <c r="AM76" s="64"/>
    </row>
    <row r="77" spans="1:39" ht="15.75" customHeight="1">
      <c r="A77" s="4"/>
      <c r="C77" s="4"/>
      <c r="D77" s="6"/>
      <c r="E77" s="6"/>
      <c r="F77" s="186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</row>
    <row r="78" spans="1:39" ht="9.75" customHeight="1">
      <c r="A78" s="4"/>
      <c r="B78" s="645"/>
      <c r="C78" s="645"/>
      <c r="D78" s="6"/>
      <c r="E78" s="6"/>
      <c r="F78" s="186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AB78" s="647"/>
      <c r="AC78" s="647"/>
      <c r="AD78" s="3"/>
      <c r="AE78" s="648"/>
      <c r="AF78" s="645"/>
      <c r="AG78" s="645"/>
    </row>
    <row r="79" spans="1:39" ht="15.75" customHeight="1">
      <c r="A79" s="4"/>
      <c r="B79" s="645"/>
      <c r="C79" s="645"/>
      <c r="D79" s="6"/>
      <c r="E79" s="6"/>
      <c r="F79" s="186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AB79" s="647"/>
      <c r="AC79" s="647"/>
      <c r="AD79" s="3"/>
      <c r="AE79" s="648"/>
      <c r="AF79" s="645"/>
      <c r="AG79" s="645"/>
    </row>
    <row r="80" spans="1:39" ht="15.75" customHeight="1">
      <c r="A80" s="4"/>
      <c r="B80" s="645"/>
      <c r="C80" s="645"/>
      <c r="D80" s="6"/>
      <c r="E80" s="6"/>
      <c r="F80" s="186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AB80" s="647"/>
      <c r="AC80" s="647"/>
      <c r="AD80" s="3"/>
      <c r="AE80" s="648"/>
      <c r="AF80" s="645"/>
      <c r="AG80" s="645"/>
    </row>
    <row r="81" spans="1:33" ht="15.75" customHeight="1">
      <c r="A81" s="649" t="s">
        <v>211</v>
      </c>
      <c r="B81" s="649"/>
      <c r="C81" s="649"/>
      <c r="D81" s="649"/>
      <c r="E81" s="649"/>
      <c r="F81" s="649"/>
      <c r="G81" s="649"/>
      <c r="H81" s="649"/>
      <c r="I81" s="649" t="s">
        <v>109</v>
      </c>
      <c r="J81" s="649"/>
      <c r="K81" s="649"/>
      <c r="L81" s="649"/>
      <c r="M81" s="649"/>
      <c r="N81" s="649"/>
      <c r="O81" s="649"/>
      <c r="P81" s="649"/>
      <c r="Q81" s="649"/>
      <c r="R81" s="649"/>
      <c r="S81" s="649" t="s">
        <v>107</v>
      </c>
      <c r="T81" s="649"/>
      <c r="U81" s="649"/>
      <c r="V81" s="649"/>
      <c r="W81" s="649"/>
      <c r="X81" s="649"/>
      <c r="Y81" s="649"/>
      <c r="Z81" s="649"/>
      <c r="AA81" s="649"/>
      <c r="AB81" s="649"/>
      <c r="AC81" s="649"/>
      <c r="AD81" s="7"/>
      <c r="AE81" s="650"/>
      <c r="AF81" s="650"/>
      <c r="AG81" s="650"/>
    </row>
    <row r="82" spans="1:33">
      <c r="A82" s="50"/>
      <c r="B82" s="52"/>
      <c r="C82" s="51"/>
      <c r="D82" s="144"/>
      <c r="E82" s="144"/>
      <c r="F82" s="187"/>
      <c r="G82" s="52"/>
      <c r="H82" s="52"/>
      <c r="I82" s="52"/>
      <c r="J82" s="41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288"/>
      <c r="AA82" s="52"/>
      <c r="AB82" s="651"/>
      <c r="AC82" s="651"/>
      <c r="AD82" s="41"/>
      <c r="AE82" s="648"/>
      <c r="AF82" s="645"/>
      <c r="AG82" s="645"/>
    </row>
    <row r="83" spans="1:33">
      <c r="B83" s="26"/>
      <c r="C83" s="18"/>
      <c r="G83" s="26"/>
      <c r="H83" s="26"/>
      <c r="AB83" s="646"/>
      <c r="AC83" s="646"/>
      <c r="AD83" s="35"/>
      <c r="AE83" s="645"/>
      <c r="AF83" s="645"/>
      <c r="AG83" s="645"/>
    </row>
    <row r="84" spans="1:33">
      <c r="A84" s="4"/>
      <c r="B84" s="645"/>
      <c r="C84" s="645"/>
      <c r="AB84" s="646"/>
      <c r="AC84" s="646"/>
      <c r="AD84" s="35"/>
      <c r="AE84" s="645"/>
      <c r="AF84" s="645"/>
      <c r="AG84" s="645"/>
    </row>
    <row r="85" spans="1:33">
      <c r="A85" s="4"/>
      <c r="B85" s="645"/>
      <c r="C85" s="645"/>
      <c r="AB85" s="646"/>
      <c r="AC85" s="646"/>
      <c r="AD85" s="35"/>
      <c r="AE85" s="645"/>
      <c r="AF85" s="645"/>
      <c r="AG85" s="645"/>
    </row>
    <row r="86" spans="1:33">
      <c r="A86" s="4"/>
      <c r="B86" s="645"/>
      <c r="C86" s="645"/>
      <c r="AB86" s="646"/>
      <c r="AC86" s="646"/>
      <c r="AD86" s="35"/>
      <c r="AE86" s="645"/>
      <c r="AF86" s="645"/>
      <c r="AG86" s="645"/>
    </row>
    <row r="87" spans="1:33">
      <c r="A87" s="4"/>
      <c r="B87" s="645"/>
      <c r="C87" s="645"/>
      <c r="AB87" s="646"/>
      <c r="AC87" s="646"/>
      <c r="AD87" s="35"/>
      <c r="AE87" s="645"/>
      <c r="AF87" s="645"/>
      <c r="AG87" s="645"/>
    </row>
    <row r="88" spans="1:33">
      <c r="A88" s="4"/>
      <c r="B88" s="645"/>
      <c r="C88" s="645"/>
      <c r="AB88" s="646"/>
      <c r="AC88" s="646"/>
      <c r="AD88" s="35"/>
      <c r="AE88" s="645"/>
      <c r="AF88" s="645"/>
      <c r="AG88" s="645"/>
    </row>
    <row r="89" spans="1:33">
      <c r="A89" s="4"/>
      <c r="B89" s="645"/>
      <c r="C89" s="645"/>
      <c r="AB89" s="646"/>
      <c r="AC89" s="646"/>
      <c r="AD89" s="35"/>
      <c r="AE89" s="645"/>
      <c r="AF89" s="645"/>
      <c r="AG89" s="645"/>
    </row>
    <row r="90" spans="1:33">
      <c r="A90" s="4"/>
      <c r="B90" s="645"/>
      <c r="C90" s="645"/>
      <c r="AB90" s="646"/>
      <c r="AC90" s="646"/>
      <c r="AD90" s="35"/>
      <c r="AE90" s="645"/>
      <c r="AF90" s="645"/>
      <c r="AG90" s="645"/>
    </row>
    <row r="91" spans="1:33">
      <c r="A91" s="4"/>
      <c r="B91" s="645"/>
      <c r="C91" s="645"/>
      <c r="AB91" s="646"/>
      <c r="AC91" s="646"/>
      <c r="AD91" s="35"/>
      <c r="AE91" s="645"/>
      <c r="AF91" s="645"/>
      <c r="AG91" s="645"/>
    </row>
    <row r="92" spans="1:33">
      <c r="A92" s="4"/>
      <c r="B92" s="645"/>
      <c r="C92" s="645"/>
      <c r="AB92" s="646"/>
      <c r="AC92" s="646"/>
      <c r="AD92" s="35"/>
      <c r="AE92" s="645"/>
      <c r="AF92" s="645"/>
      <c r="AG92" s="645"/>
    </row>
    <row r="93" spans="1:33">
      <c r="A93" s="4"/>
      <c r="B93" s="645"/>
      <c r="C93" s="645"/>
      <c r="AB93" s="646"/>
      <c r="AC93" s="646"/>
      <c r="AD93" s="35"/>
      <c r="AE93" s="645"/>
      <c r="AF93" s="645"/>
      <c r="AG93" s="645"/>
    </row>
    <row r="94" spans="1:33">
      <c r="A94" s="4"/>
      <c r="B94" s="645"/>
      <c r="C94" s="645"/>
      <c r="AB94" s="646"/>
      <c r="AC94" s="646"/>
      <c r="AD94" s="35"/>
      <c r="AE94" s="645"/>
      <c r="AF94" s="645"/>
      <c r="AG94" s="645"/>
    </row>
    <row r="95" spans="1:33">
      <c r="A95" s="4"/>
      <c r="B95" s="645"/>
      <c r="C95" s="645"/>
      <c r="AB95" s="646"/>
      <c r="AC95" s="646"/>
      <c r="AD95" s="35"/>
      <c r="AE95" s="645"/>
      <c r="AF95" s="645"/>
      <c r="AG95" s="645"/>
    </row>
    <row r="96" spans="1:33">
      <c r="A96" s="4"/>
      <c r="B96" s="645"/>
      <c r="C96" s="645"/>
      <c r="AB96" s="646"/>
      <c r="AC96" s="646"/>
      <c r="AD96" s="35"/>
      <c r="AE96" s="645"/>
      <c r="AF96" s="645"/>
      <c r="AG96" s="645"/>
    </row>
    <row r="97" spans="1:33">
      <c r="A97" s="4"/>
      <c r="B97" s="645"/>
      <c r="C97" s="645"/>
      <c r="AB97" s="646"/>
      <c r="AC97" s="646"/>
      <c r="AD97" s="35"/>
      <c r="AE97" s="645"/>
      <c r="AF97" s="645"/>
      <c r="AG97" s="645"/>
    </row>
    <row r="98" spans="1:33">
      <c r="A98" s="4"/>
      <c r="B98" s="645"/>
      <c r="C98" s="645"/>
      <c r="AB98" s="646"/>
      <c r="AC98" s="646"/>
      <c r="AD98" s="35"/>
      <c r="AE98" s="645"/>
      <c r="AF98" s="645"/>
      <c r="AG98" s="645"/>
    </row>
    <row r="99" spans="1:33">
      <c r="A99" s="4"/>
      <c r="B99" s="645"/>
      <c r="C99" s="645"/>
      <c r="AB99" s="646"/>
      <c r="AC99" s="646"/>
      <c r="AD99" s="35"/>
      <c r="AE99" s="645"/>
      <c r="AF99" s="645"/>
      <c r="AG99" s="645"/>
    </row>
    <row r="100" spans="1:33">
      <c r="A100" s="4"/>
      <c r="B100" s="645"/>
      <c r="C100" s="645"/>
      <c r="AB100" s="646"/>
      <c r="AC100" s="646"/>
      <c r="AD100" s="35"/>
      <c r="AE100" s="645"/>
      <c r="AF100" s="645"/>
      <c r="AG100" s="645"/>
    </row>
  </sheetData>
  <mergeCells count="123"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5" customWidth="1"/>
    <col min="2" max="2" width="16.25" style="510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4" style="184" hidden="1" customWidth="1"/>
    <col min="7" max="7" width="7.25" style="510" customWidth="1"/>
    <col min="8" max="8" width="6.625" style="510" customWidth="1"/>
    <col min="9" max="9" width="11.75" style="510" customWidth="1"/>
    <col min="10" max="10" width="5.875" style="482" bestFit="1" customWidth="1"/>
    <col min="11" max="11" width="10.375" style="510" customWidth="1"/>
    <col min="12" max="12" width="11.75" style="510" customWidth="1"/>
    <col min="13" max="13" width="2.875" style="510" hidden="1" customWidth="1"/>
    <col min="14" max="14" width="10.75" style="510" customWidth="1"/>
    <col min="15" max="15" width="6.5" style="510" customWidth="1"/>
    <col min="16" max="16" width="11.375" style="510" customWidth="1"/>
    <col min="17" max="17" width="10.75" style="510" customWidth="1"/>
    <col min="18" max="18" width="10" style="510" customWidth="1"/>
    <col min="19" max="19" width="10.5" style="510" customWidth="1"/>
    <col min="20" max="20" width="5.875" style="510" customWidth="1"/>
    <col min="21" max="21" width="11.125" style="510" customWidth="1"/>
    <col min="22" max="22" width="4.75" style="510" customWidth="1"/>
    <col min="23" max="23" width="5.125" style="510" customWidth="1"/>
    <col min="24" max="24" width="4.375" style="510" customWidth="1"/>
    <col min="25" max="25" width="5.25" style="510" customWidth="1"/>
    <col min="26" max="26" width="7.75" style="286" bestFit="1" customWidth="1"/>
    <col min="27" max="27" width="12.5" style="510" customWidth="1"/>
    <col min="28" max="28" width="2.5" style="510" customWidth="1"/>
    <col min="29" max="29" width="12.25" style="512" customWidth="1"/>
    <col min="30" max="30" width="20.25" style="512" customWidth="1"/>
    <col min="31" max="33" width="9" style="32"/>
    <col min="34" max="34" width="18.75" style="32" customWidth="1"/>
    <col min="35" max="36" width="9" style="32"/>
    <col min="37" max="37" width="9" style="48"/>
    <col min="38" max="39" width="9" style="32"/>
    <col min="40" max="16384" width="9" style="15"/>
  </cols>
  <sheetData>
    <row r="1" spans="1:39" ht="16.5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484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280"/>
      <c r="AA1" s="16"/>
      <c r="AB1" s="16"/>
      <c r="AC1" s="16"/>
      <c r="AD1" s="484"/>
      <c r="AE1" s="344"/>
      <c r="AF1" s="344"/>
      <c r="AG1" s="344"/>
      <c r="AH1" s="344"/>
      <c r="AI1" s="501"/>
    </row>
    <row r="2" spans="1:39" ht="16.5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511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281"/>
      <c r="AA2" s="17"/>
      <c r="AB2" s="17"/>
      <c r="AC2" s="17"/>
      <c r="AD2" s="511"/>
      <c r="AE2" s="345"/>
      <c r="AF2" s="345"/>
      <c r="AG2" s="345"/>
      <c r="AH2" s="345"/>
      <c r="AI2" s="501"/>
    </row>
    <row r="3" spans="1:39" ht="3.75" customHeight="1">
      <c r="A3" s="483"/>
      <c r="B3" s="482"/>
      <c r="C3" s="483"/>
      <c r="D3" s="483"/>
      <c r="E3" s="28"/>
      <c r="F3" s="28"/>
      <c r="G3" s="483"/>
      <c r="H3" s="482"/>
      <c r="I3" s="482"/>
      <c r="K3" s="482"/>
      <c r="L3" s="482"/>
      <c r="M3" s="482"/>
      <c r="N3" s="482"/>
      <c r="O3" s="482"/>
      <c r="P3" s="482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482"/>
      <c r="AE3" s="502"/>
      <c r="AF3" s="711"/>
      <c r="AG3" s="711"/>
      <c r="AH3" s="710"/>
      <c r="AI3" s="710"/>
    </row>
    <row r="4" spans="1:39" ht="22.5" customHeight="1">
      <c r="A4" s="693" t="s">
        <v>176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93"/>
      <c r="AD4" s="500"/>
      <c r="AE4" s="344"/>
      <c r="AF4" s="344"/>
      <c r="AG4" s="344">
        <f>2.67*1150000*0.65</f>
        <v>1995825</v>
      </c>
      <c r="AH4" s="344"/>
      <c r="AI4" s="501"/>
    </row>
    <row r="5" spans="1:39" ht="22.5" customHeight="1">
      <c r="A5" s="693" t="s">
        <v>393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500"/>
      <c r="AE5" s="344"/>
      <c r="AF5" s="344"/>
      <c r="AG5" s="344"/>
      <c r="AH5" s="344"/>
      <c r="AI5" s="501"/>
    </row>
    <row r="6" spans="1:39" ht="18" customHeight="1">
      <c r="A6" s="484"/>
      <c r="B6" s="491"/>
      <c r="C6" s="659"/>
      <c r="D6" s="659"/>
      <c r="E6" s="659"/>
      <c r="F6" s="659"/>
      <c r="G6" s="659"/>
      <c r="H6" s="659"/>
      <c r="Q6" s="38" t="s">
        <v>214</v>
      </c>
      <c r="R6" s="38"/>
      <c r="S6" s="38"/>
      <c r="T6" s="38"/>
      <c r="U6" s="38"/>
      <c r="V6" s="38"/>
      <c r="W6" s="38"/>
      <c r="X6" s="38"/>
      <c r="Y6" s="38"/>
      <c r="Z6" s="282"/>
      <c r="AA6" s="38"/>
      <c r="AB6" s="38"/>
      <c r="AC6" s="56"/>
      <c r="AD6" s="56"/>
      <c r="AE6" s="344" t="s">
        <v>17</v>
      </c>
      <c r="AF6" s="344"/>
      <c r="AG6" s="344">
        <f>3*1150000</f>
        <v>3450000</v>
      </c>
      <c r="AH6" s="344">
        <f>2.67*1150000</f>
        <v>3070500</v>
      </c>
      <c r="AI6" s="344"/>
    </row>
    <row r="7" spans="1:39">
      <c r="A7" s="484"/>
      <c r="B7" s="127">
        <v>1490000</v>
      </c>
      <c r="C7" s="659"/>
      <c r="D7" s="659"/>
      <c r="E7" s="659"/>
      <c r="F7" s="659"/>
      <c r="G7" s="659"/>
      <c r="H7" s="659"/>
      <c r="I7" s="38"/>
      <c r="J7" s="491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282"/>
      <c r="AA7" s="38"/>
      <c r="AB7" s="38"/>
      <c r="AE7" s="344"/>
      <c r="AF7" s="344"/>
      <c r="AG7" s="344">
        <f>AG6*10.5%</f>
        <v>362250</v>
      </c>
      <c r="AH7" s="344">
        <f>AH6*10.5%</f>
        <v>322402.5</v>
      </c>
      <c r="AI7" s="344"/>
    </row>
    <row r="8" spans="1:39">
      <c r="A8" s="484"/>
      <c r="B8" s="491"/>
      <c r="C8" s="686"/>
      <c r="D8" s="686"/>
      <c r="E8" s="686"/>
      <c r="F8" s="686"/>
      <c r="G8" s="686"/>
      <c r="H8" s="686"/>
      <c r="I8" s="42"/>
      <c r="J8" s="495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283"/>
      <c r="AA8" s="42"/>
      <c r="AB8" s="42"/>
      <c r="AC8" s="55"/>
      <c r="AD8" s="55"/>
      <c r="AE8" s="344"/>
      <c r="AF8" s="344"/>
      <c r="AG8" s="32">
        <f>AG6-AG7</f>
        <v>3087750</v>
      </c>
      <c r="AH8" s="32">
        <f>AH6-AH7</f>
        <v>2748097.5</v>
      </c>
      <c r="AK8" s="346"/>
    </row>
    <row r="9" spans="1:39" ht="4.5" customHeight="1">
      <c r="A9" s="484"/>
      <c r="B9" s="491"/>
      <c r="C9" s="140"/>
      <c r="D9" s="140"/>
      <c r="E9" s="182"/>
      <c r="F9" s="182"/>
      <c r="G9" s="495"/>
      <c r="H9" s="495"/>
      <c r="I9" s="42"/>
      <c r="J9" s="495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282"/>
      <c r="AA9" s="38"/>
      <c r="AB9" s="43"/>
      <c r="AE9" s="344"/>
      <c r="AF9" s="344"/>
      <c r="AG9" s="32">
        <f>AG6*0.65</f>
        <v>2242500</v>
      </c>
      <c r="AH9" s="32">
        <f>AH6*0.65</f>
        <v>1995825</v>
      </c>
      <c r="AK9" s="346"/>
    </row>
    <row r="10" spans="1:39" s="33" customFormat="1" ht="27.75" customHeight="1">
      <c r="A10" s="687" t="s">
        <v>2</v>
      </c>
      <c r="B10" s="687" t="s">
        <v>3</v>
      </c>
      <c r="C10" s="688" t="s">
        <v>43</v>
      </c>
      <c r="D10" s="684" t="s">
        <v>221</v>
      </c>
      <c r="E10" s="689" t="s">
        <v>401</v>
      </c>
      <c r="F10" s="689" t="s">
        <v>402</v>
      </c>
      <c r="G10" s="671" t="s">
        <v>116</v>
      </c>
      <c r="H10" s="684" t="s">
        <v>256</v>
      </c>
      <c r="I10" s="680" t="s">
        <v>166</v>
      </c>
      <c r="J10" s="680" t="s">
        <v>252</v>
      </c>
      <c r="K10" s="680" t="s">
        <v>253</v>
      </c>
      <c r="L10" s="680" t="s">
        <v>156</v>
      </c>
      <c r="M10" s="682"/>
      <c r="N10" s="684" t="s">
        <v>134</v>
      </c>
      <c r="O10" s="684" t="s">
        <v>135</v>
      </c>
      <c r="P10" s="671" t="s">
        <v>136</v>
      </c>
      <c r="Q10" s="664" t="s">
        <v>57</v>
      </c>
      <c r="R10" s="665"/>
      <c r="S10" s="665"/>
      <c r="T10" s="665"/>
      <c r="U10" s="666"/>
      <c r="V10" s="667" t="s">
        <v>154</v>
      </c>
      <c r="W10" s="668"/>
      <c r="X10" s="667" t="s">
        <v>155</v>
      </c>
      <c r="Y10" s="668"/>
      <c r="Z10" s="669" t="s">
        <v>258</v>
      </c>
      <c r="AA10" s="671" t="s">
        <v>140</v>
      </c>
      <c r="AB10" s="673" t="s">
        <v>5</v>
      </c>
      <c r="AC10" s="674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677"/>
      <c r="AK10" s="74"/>
      <c r="AL10" s="67"/>
      <c r="AM10" s="67"/>
    </row>
    <row r="11" spans="1:39" s="33" customFormat="1" ht="41.25" customHeight="1">
      <c r="A11" s="687"/>
      <c r="B11" s="687"/>
      <c r="C11" s="688"/>
      <c r="D11" s="685"/>
      <c r="E11" s="690"/>
      <c r="F11" s="690"/>
      <c r="G11" s="672"/>
      <c r="H11" s="685"/>
      <c r="I11" s="681"/>
      <c r="J11" s="681"/>
      <c r="K11" s="681"/>
      <c r="L11" s="681"/>
      <c r="M11" s="683"/>
      <c r="N11" s="685"/>
      <c r="O11" s="685"/>
      <c r="P11" s="672"/>
      <c r="Q11" s="494" t="s">
        <v>101</v>
      </c>
      <c r="R11" s="494" t="s">
        <v>58</v>
      </c>
      <c r="S11" s="494" t="s">
        <v>52</v>
      </c>
      <c r="T11" s="119" t="s">
        <v>137</v>
      </c>
      <c r="U11" s="119" t="s">
        <v>138</v>
      </c>
      <c r="V11" s="119" t="s">
        <v>72</v>
      </c>
      <c r="W11" s="492" t="s">
        <v>156</v>
      </c>
      <c r="X11" s="119" t="s">
        <v>72</v>
      </c>
      <c r="Y11" s="492" t="s">
        <v>156</v>
      </c>
      <c r="Z11" s="670"/>
      <c r="AA11" s="672"/>
      <c r="AB11" s="675"/>
      <c r="AC11" s="676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677"/>
      <c r="AK11" s="74"/>
      <c r="AL11" s="67"/>
      <c r="AM11" s="67"/>
    </row>
    <row r="12" spans="1:39" s="33" customFormat="1" ht="27.75" customHeight="1">
      <c r="A12" s="496" t="s">
        <v>141</v>
      </c>
      <c r="B12" s="230" t="s">
        <v>142</v>
      </c>
      <c r="C12" s="497" t="s">
        <v>143</v>
      </c>
      <c r="D12" s="497"/>
      <c r="E12" s="129"/>
      <c r="F12" s="129"/>
      <c r="G12" s="141" t="s">
        <v>144</v>
      </c>
      <c r="H12" s="130" t="s">
        <v>39</v>
      </c>
      <c r="I12" s="232" t="s">
        <v>37</v>
      </c>
      <c r="J12" s="232"/>
      <c r="K12" s="232" t="s">
        <v>38</v>
      </c>
      <c r="L12" s="232" t="s">
        <v>254</v>
      </c>
      <c r="M12" s="130"/>
      <c r="N12" s="130" t="s">
        <v>62</v>
      </c>
      <c r="O12" s="130" t="s">
        <v>40</v>
      </c>
      <c r="P12" s="232" t="s">
        <v>162</v>
      </c>
      <c r="Q12" s="130" t="s">
        <v>63</v>
      </c>
      <c r="R12" s="130" t="s">
        <v>64</v>
      </c>
      <c r="S12" s="130" t="s">
        <v>145</v>
      </c>
      <c r="T12" s="130" t="s">
        <v>146</v>
      </c>
      <c r="U12" s="232" t="s">
        <v>163</v>
      </c>
      <c r="V12" s="130" t="s">
        <v>147</v>
      </c>
      <c r="W12" s="130" t="s">
        <v>148</v>
      </c>
      <c r="X12" s="130" t="s">
        <v>149</v>
      </c>
      <c r="Y12" s="130" t="s">
        <v>157</v>
      </c>
      <c r="Z12" s="291" t="s">
        <v>333</v>
      </c>
      <c r="AA12" s="232" t="s">
        <v>334</v>
      </c>
      <c r="AB12" s="678" t="s">
        <v>158</v>
      </c>
      <c r="AC12" s="679"/>
      <c r="AD12" s="71"/>
      <c r="AE12" s="128"/>
      <c r="AF12" s="73"/>
      <c r="AG12" s="73"/>
      <c r="AH12" s="73"/>
      <c r="AI12" s="73"/>
      <c r="AJ12" s="493"/>
      <c r="AK12" s="74"/>
      <c r="AL12" s="67"/>
      <c r="AM12" s="67"/>
    </row>
    <row r="13" spans="1:39" s="33" customFormat="1" ht="27.75" customHeight="1">
      <c r="A13" s="534" t="s">
        <v>403</v>
      </c>
      <c r="B13" s="706" t="s">
        <v>404</v>
      </c>
      <c r="C13" s="707"/>
      <c r="D13" s="707"/>
      <c r="E13" s="707"/>
      <c r="F13" s="707"/>
      <c r="G13" s="707"/>
      <c r="H13" s="707"/>
      <c r="I13" s="708"/>
      <c r="J13" s="536"/>
      <c r="K13" s="536"/>
      <c r="L13" s="536"/>
      <c r="M13" s="535"/>
      <c r="N13" s="535"/>
      <c r="O13" s="535"/>
      <c r="P13" s="536"/>
      <c r="Q13" s="535"/>
      <c r="R13" s="537"/>
      <c r="S13" s="535"/>
      <c r="T13" s="537"/>
      <c r="U13" s="538"/>
      <c r="V13" s="537"/>
      <c r="W13" s="537"/>
      <c r="X13" s="537"/>
      <c r="Y13" s="537"/>
      <c r="Z13" s="539"/>
      <c r="AA13" s="538"/>
      <c r="AB13" s="537"/>
      <c r="AC13" s="540"/>
      <c r="AD13" s="71"/>
      <c r="AE13" s="128"/>
      <c r="AF13" s="73"/>
      <c r="AG13" s="73"/>
      <c r="AH13" s="73"/>
      <c r="AI13" s="73"/>
      <c r="AJ13" s="493"/>
      <c r="AK13" s="74"/>
      <c r="AL13" s="67"/>
      <c r="AM13" s="67"/>
    </row>
    <row r="14" spans="1:39" s="91" customFormat="1" ht="35.450000000000003" customHeight="1">
      <c r="A14" s="181">
        <f ca="1">_xlfn.AGGREGATE(4,7,A$12:A29)+1</f>
        <v>2</v>
      </c>
      <c r="B14" s="385" t="s">
        <v>317</v>
      </c>
      <c r="C14" s="99" t="s">
        <v>318</v>
      </c>
      <c r="D14" s="206"/>
      <c r="E14" s="188"/>
      <c r="F14" s="202" t="str">
        <f>INDEX([3]SACOM!$C$7:$C$335,MATCH(B14,[3]SACOM!$B$7:$B$335,0))</f>
        <v>060310666028</v>
      </c>
      <c r="G14" s="368" t="s">
        <v>228</v>
      </c>
      <c r="H14" s="369">
        <v>6</v>
      </c>
      <c r="I14" s="370">
        <v>7515057</v>
      </c>
      <c r="J14" s="371"/>
      <c r="K14" s="370"/>
      <c r="L14" s="370">
        <f t="shared" ref="L14:L49" si="0">ROUND(I14+K14,0)</f>
        <v>7515057</v>
      </c>
      <c r="M14" s="370"/>
      <c r="N14" s="370">
        <f t="shared" ref="N14:N49" si="1">L14/26*M14</f>
        <v>0</v>
      </c>
      <c r="O14" s="370"/>
      <c r="P14" s="370">
        <f t="shared" ref="P14:P49" si="2">L14-N14+O14</f>
        <v>7515057</v>
      </c>
      <c r="Q14" s="370">
        <f t="shared" ref="Q14:Q48" si="3">L14*8%</f>
        <v>601204.56000000006</v>
      </c>
      <c r="R14" s="372">
        <f t="shared" ref="R14:R48" si="4">L14*1.5%</f>
        <v>112725.855</v>
      </c>
      <c r="S14" s="370">
        <f t="shared" ref="S14:S48" si="5">L14*1%</f>
        <v>75150.570000000007</v>
      </c>
      <c r="T14" s="372"/>
      <c r="U14" s="372">
        <f t="shared" ref="U14:U49" si="6">SUM(Q14:T14)</f>
        <v>789080.9850000001</v>
      </c>
      <c r="V14" s="372"/>
      <c r="W14" s="372"/>
      <c r="X14" s="373"/>
      <c r="Y14" s="372"/>
      <c r="Z14" s="372"/>
      <c r="AA14" s="378">
        <f t="shared" ref="AA14:AA43" si="7">P14-U14+W14+Y14+Z14</f>
        <v>6725976.0149999997</v>
      </c>
      <c r="AB14" s="88">
        <f t="shared" ref="AB14:AB36" ca="1" si="8">A14</f>
        <v>2</v>
      </c>
      <c r="AC14" s="89"/>
      <c r="AD14" s="89"/>
      <c r="AE14" s="107"/>
      <c r="AF14" s="103"/>
      <c r="AG14" s="486"/>
      <c r="AK14" s="92"/>
    </row>
    <row r="15" spans="1:39" s="91" customFormat="1" ht="28.5" customHeight="1">
      <c r="A15" s="181">
        <f ca="1">_xlfn.AGGREGATE(4,7,A$12:A14)+1</f>
        <v>3</v>
      </c>
      <c r="B15" s="385" t="s">
        <v>122</v>
      </c>
      <c r="C15" s="99" t="s">
        <v>108</v>
      </c>
      <c r="D15" s="205" t="s">
        <v>222</v>
      </c>
      <c r="E15" s="188" t="s">
        <v>194</v>
      </c>
      <c r="F15" s="202" t="str">
        <f>INDEX([3]SACOM!$C$7:$C$335,MATCH(B15,[3]SACOM!$B$7:$B$335,0))</f>
        <v>060310750304</v>
      </c>
      <c r="G15" s="375" t="s">
        <v>228</v>
      </c>
      <c r="H15" s="369">
        <v>5</v>
      </c>
      <c r="I15" s="370">
        <v>7023418</v>
      </c>
      <c r="J15" s="371"/>
      <c r="K15" s="370"/>
      <c r="L15" s="370">
        <f t="shared" si="0"/>
        <v>7023418</v>
      </c>
      <c r="M15" s="370"/>
      <c r="N15" s="370">
        <f t="shared" si="1"/>
        <v>0</v>
      </c>
      <c r="O15" s="370"/>
      <c r="P15" s="370">
        <f t="shared" si="2"/>
        <v>7023418</v>
      </c>
      <c r="Q15" s="370">
        <f t="shared" si="3"/>
        <v>561873.44000000006</v>
      </c>
      <c r="R15" s="372">
        <f t="shared" si="4"/>
        <v>105351.26999999999</v>
      </c>
      <c r="S15" s="370">
        <f t="shared" si="5"/>
        <v>70234.180000000008</v>
      </c>
      <c r="T15" s="372"/>
      <c r="U15" s="372">
        <f t="shared" si="6"/>
        <v>737458.89000000013</v>
      </c>
      <c r="V15" s="372"/>
      <c r="W15" s="372"/>
      <c r="X15" s="372"/>
      <c r="Y15" s="372"/>
      <c r="Z15" s="372"/>
      <c r="AA15" s="378">
        <f t="shared" si="7"/>
        <v>6285959.1099999994</v>
      </c>
      <c r="AB15" s="88">
        <f t="shared" ca="1" si="8"/>
        <v>3</v>
      </c>
      <c r="AC15" s="89"/>
      <c r="AD15" s="89" t="s">
        <v>98</v>
      </c>
      <c r="AE15" s="89" t="s">
        <v>100</v>
      </c>
      <c r="AF15" s="97" t="e">
        <f>#REF!*2</f>
        <v>#REF!</v>
      </c>
      <c r="AG15" s="97"/>
      <c r="AH15" s="97"/>
      <c r="AK15" s="98"/>
    </row>
    <row r="16" spans="1:39" s="486" customFormat="1" ht="29.45" customHeight="1">
      <c r="A16" s="181">
        <f ca="1">_xlfn.AGGREGATE(4,7,A$12:A15)+1</f>
        <v>4</v>
      </c>
      <c r="B16" s="385" t="s">
        <v>126</v>
      </c>
      <c r="C16" s="99" t="s">
        <v>59</v>
      </c>
      <c r="D16" s="206" t="str">
        <f>VLOOKUP(B16,[2]T3!$B$2:$D$328,3,FALSE)</f>
        <v>026050143</v>
      </c>
      <c r="E16" s="202" t="s">
        <v>203</v>
      </c>
      <c r="F16" s="202" t="str">
        <f>INDEX([3]SACOM!$C$7:$C$335,MATCH(B16,[3]SACOM!$B$7:$B$335,0))</f>
        <v>060311482761</v>
      </c>
      <c r="G16" s="375" t="s">
        <v>228</v>
      </c>
      <c r="H16" s="369">
        <v>7</v>
      </c>
      <c r="I16" s="370">
        <v>8041111</v>
      </c>
      <c r="J16" s="371"/>
      <c r="K16" s="370"/>
      <c r="L16" s="370">
        <f t="shared" si="0"/>
        <v>8041111</v>
      </c>
      <c r="M16" s="370"/>
      <c r="N16" s="370">
        <f t="shared" si="1"/>
        <v>0</v>
      </c>
      <c r="O16" s="370"/>
      <c r="P16" s="370">
        <f t="shared" si="2"/>
        <v>8041111</v>
      </c>
      <c r="Q16" s="370">
        <f t="shared" si="3"/>
        <v>643288.88</v>
      </c>
      <c r="R16" s="372">
        <f t="shared" si="4"/>
        <v>120616.66499999999</v>
      </c>
      <c r="S16" s="370">
        <f t="shared" si="5"/>
        <v>80411.11</v>
      </c>
      <c r="T16" s="372"/>
      <c r="U16" s="372">
        <f t="shared" si="6"/>
        <v>844316.65500000003</v>
      </c>
      <c r="V16" s="372"/>
      <c r="W16" s="372"/>
      <c r="X16" s="372"/>
      <c r="Y16" s="372"/>
      <c r="Z16" s="372"/>
      <c r="AA16" s="378">
        <f t="shared" si="7"/>
        <v>7196794.3449999997</v>
      </c>
      <c r="AB16" s="88">
        <f t="shared" ca="1" si="8"/>
        <v>4</v>
      </c>
      <c r="AC16" s="89"/>
      <c r="AD16" s="115" t="s">
        <v>96</v>
      </c>
      <c r="AE16" s="104" t="e">
        <f>#REF!/24</f>
        <v>#REF!</v>
      </c>
      <c r="AK16" s="485"/>
    </row>
    <row r="17" spans="1:39" s="486" customFormat="1" ht="30" customHeight="1">
      <c r="A17" s="181">
        <f ca="1">_xlfn.AGGREGATE(4,7,A$12:A16)+1</f>
        <v>5</v>
      </c>
      <c r="B17" s="386" t="s">
        <v>114</v>
      </c>
      <c r="C17" s="99" t="s">
        <v>108</v>
      </c>
      <c r="D17" s="206" t="str">
        <f>VLOOKUP(B17,[2]T3!$B$2:$D$328,3,FALSE)</f>
        <v>025444854</v>
      </c>
      <c r="E17" s="202" t="s">
        <v>195</v>
      </c>
      <c r="F17" s="202" t="str">
        <f>INDEX([3]SACOM!$C$7:$C$335,MATCH(B17,[3]SACOM!$B$7:$B$335,0))</f>
        <v>061828031994</v>
      </c>
      <c r="G17" s="375" t="s">
        <v>231</v>
      </c>
      <c r="H17" s="369">
        <v>3</v>
      </c>
      <c r="I17" s="370">
        <v>5520879</v>
      </c>
      <c r="J17" s="371"/>
      <c r="K17" s="370"/>
      <c r="L17" s="370">
        <f t="shared" si="0"/>
        <v>5520879</v>
      </c>
      <c r="M17" s="370"/>
      <c r="N17" s="370">
        <f t="shared" si="1"/>
        <v>0</v>
      </c>
      <c r="O17" s="370"/>
      <c r="P17" s="370">
        <f t="shared" si="2"/>
        <v>5520879</v>
      </c>
      <c r="Q17" s="370">
        <f t="shared" si="3"/>
        <v>441670.32</v>
      </c>
      <c r="R17" s="372">
        <f t="shared" si="4"/>
        <v>82813.184999999998</v>
      </c>
      <c r="S17" s="370">
        <f t="shared" si="5"/>
        <v>55208.79</v>
      </c>
      <c r="T17" s="372"/>
      <c r="U17" s="372">
        <f t="shared" si="6"/>
        <v>579692.29500000004</v>
      </c>
      <c r="V17" s="372"/>
      <c r="W17" s="372"/>
      <c r="X17" s="372"/>
      <c r="Y17" s="372"/>
      <c r="Z17" s="372"/>
      <c r="AA17" s="378">
        <f t="shared" si="7"/>
        <v>4941186.7050000001</v>
      </c>
      <c r="AB17" s="88">
        <f t="shared" ca="1" si="8"/>
        <v>5</v>
      </c>
      <c r="AC17" s="89"/>
      <c r="AD17" s="89" t="s">
        <v>112</v>
      </c>
      <c r="AE17" s="125"/>
      <c r="AF17" s="97"/>
      <c r="AG17" s="97"/>
      <c r="AH17" s="97"/>
      <c r="AK17" s="98"/>
    </row>
    <row r="18" spans="1:39" s="91" customFormat="1" ht="39" customHeight="1">
      <c r="A18" s="181">
        <f ca="1">_xlfn.AGGREGATE(4,7,A$12:A17)+1</f>
        <v>6</v>
      </c>
      <c r="B18" s="385" t="s">
        <v>127</v>
      </c>
      <c r="C18" s="99" t="s">
        <v>260</v>
      </c>
      <c r="D18" s="206" t="str">
        <f>VLOOKUP(B18,[2]T3!$B$2:$D$328,3,FALSE)</f>
        <v>025177943</v>
      </c>
      <c r="E18" s="188" t="s">
        <v>201</v>
      </c>
      <c r="F18" s="202" t="str">
        <f>INDEX([3]SACOM!$C$7:$C$335,MATCH(B18,[3]SACOM!$B$7:$B$335,0))</f>
        <v>060310749055</v>
      </c>
      <c r="G18" s="375" t="s">
        <v>231</v>
      </c>
      <c r="H18" s="376">
        <v>5</v>
      </c>
      <c r="I18" s="370">
        <v>6086769</v>
      </c>
      <c r="J18" s="371"/>
      <c r="K18" s="370"/>
      <c r="L18" s="370">
        <f t="shared" si="0"/>
        <v>6086769</v>
      </c>
      <c r="M18" s="370"/>
      <c r="N18" s="370">
        <f t="shared" si="1"/>
        <v>0</v>
      </c>
      <c r="O18" s="370"/>
      <c r="P18" s="370">
        <f t="shared" si="2"/>
        <v>6086769</v>
      </c>
      <c r="Q18" s="370">
        <f t="shared" si="3"/>
        <v>486941.52</v>
      </c>
      <c r="R18" s="372">
        <f t="shared" si="4"/>
        <v>91301.535000000003</v>
      </c>
      <c r="S18" s="370">
        <f t="shared" si="5"/>
        <v>60867.69</v>
      </c>
      <c r="T18" s="372"/>
      <c r="U18" s="372">
        <f t="shared" si="6"/>
        <v>639110.74500000011</v>
      </c>
      <c r="V18" s="372"/>
      <c r="W18" s="372"/>
      <c r="X18" s="372"/>
      <c r="Y18" s="372"/>
      <c r="Z18" s="372"/>
      <c r="AA18" s="378">
        <f t="shared" si="7"/>
        <v>5447658.2549999999</v>
      </c>
      <c r="AB18" s="88">
        <f t="shared" ca="1" si="8"/>
        <v>6</v>
      </c>
      <c r="AC18" s="89"/>
      <c r="AD18" s="116">
        <f>2.67-2.41</f>
        <v>0.25999999999999979</v>
      </c>
      <c r="AE18" s="93" t="s">
        <v>51</v>
      </c>
      <c r="AF18" s="117"/>
      <c r="AG18" s="118"/>
      <c r="AK18" s="98"/>
    </row>
    <row r="19" spans="1:39" s="91" customFormat="1" ht="39" customHeight="1">
      <c r="A19" s="181">
        <f ca="1">_xlfn.AGGREGATE(4,7,A$12:A18)+1</f>
        <v>7</v>
      </c>
      <c r="B19" s="385" t="s">
        <v>131</v>
      </c>
      <c r="C19" s="99" t="s">
        <v>260</v>
      </c>
      <c r="D19" s="206" t="str">
        <f>VLOOKUP(B19,[2]T3!$B$2:$D$328,3,FALSE)</f>
        <v>025632449</v>
      </c>
      <c r="E19" s="188" t="s">
        <v>206</v>
      </c>
      <c r="F19" s="202" t="str">
        <f>INDEX([3]SACOM!$C$7:$C$335,MATCH(B19,[3]SACOM!$B$7:$B$335,0))</f>
        <v>060310751688</v>
      </c>
      <c r="G19" s="375" t="s">
        <v>231</v>
      </c>
      <c r="H19" s="369">
        <v>3</v>
      </c>
      <c r="I19" s="370">
        <v>5520879</v>
      </c>
      <c r="J19" s="371"/>
      <c r="K19" s="370"/>
      <c r="L19" s="370">
        <f t="shared" si="0"/>
        <v>5520879</v>
      </c>
      <c r="M19" s="370"/>
      <c r="N19" s="370">
        <f t="shared" si="1"/>
        <v>0</v>
      </c>
      <c r="O19" s="370"/>
      <c r="P19" s="370">
        <f t="shared" si="2"/>
        <v>5520879</v>
      </c>
      <c r="Q19" s="370">
        <f t="shared" si="3"/>
        <v>441670.32</v>
      </c>
      <c r="R19" s="372">
        <f t="shared" si="4"/>
        <v>82813.184999999998</v>
      </c>
      <c r="S19" s="370">
        <f t="shared" si="5"/>
        <v>55208.79</v>
      </c>
      <c r="T19" s="372"/>
      <c r="U19" s="372">
        <f t="shared" si="6"/>
        <v>579692.29500000004</v>
      </c>
      <c r="V19" s="372"/>
      <c r="W19" s="372"/>
      <c r="X19" s="372"/>
      <c r="Y19" s="372"/>
      <c r="Z19" s="372"/>
      <c r="AA19" s="378">
        <f t="shared" si="7"/>
        <v>4941186.7050000001</v>
      </c>
      <c r="AB19" s="88">
        <f t="shared" ca="1" si="8"/>
        <v>7</v>
      </c>
      <c r="AC19" s="89"/>
      <c r="AD19" s="107" t="s">
        <v>73</v>
      </c>
      <c r="AE19" s="96"/>
      <c r="AF19" s="107" t="s">
        <v>99</v>
      </c>
      <c r="AG19" s="97"/>
      <c r="AH19" s="97"/>
      <c r="AK19" s="98"/>
    </row>
    <row r="20" spans="1:39" s="440" customFormat="1" ht="36.75" customHeight="1">
      <c r="A20" s="181">
        <f ca="1">_xlfn.AGGREGATE(4,7,A$12:A19)+1</f>
        <v>8</v>
      </c>
      <c r="B20" s="450" t="s">
        <v>215</v>
      </c>
      <c r="C20" s="99" t="s">
        <v>263</v>
      </c>
      <c r="D20" s="451" t="str">
        <f>VLOOKUP(B20,[2]T3!$B$2:$D$328,3,FALSE)</f>
        <v>024326689</v>
      </c>
      <c r="E20" s="188"/>
      <c r="F20" s="202" t="str">
        <f>INDEX([3]SACOM!$C$7:$C$335,MATCH(B20,[3]SACOM!$B$7:$B$335,0))</f>
        <v>060281693924</v>
      </c>
      <c r="G20" s="368" t="s">
        <v>232</v>
      </c>
      <c r="H20" s="452">
        <v>1</v>
      </c>
      <c r="I20" s="453">
        <v>5007600</v>
      </c>
      <c r="J20" s="454"/>
      <c r="K20" s="453"/>
      <c r="L20" s="453">
        <f t="shared" si="0"/>
        <v>5007600</v>
      </c>
      <c r="M20" s="453"/>
      <c r="N20" s="370">
        <f t="shared" si="1"/>
        <v>0</v>
      </c>
      <c r="O20" s="453"/>
      <c r="P20" s="453">
        <f t="shared" si="2"/>
        <v>5007600</v>
      </c>
      <c r="Q20" s="453">
        <f t="shared" si="3"/>
        <v>400608</v>
      </c>
      <c r="R20" s="455">
        <f t="shared" si="4"/>
        <v>75114</v>
      </c>
      <c r="S20" s="453">
        <f t="shared" si="5"/>
        <v>50076</v>
      </c>
      <c r="T20" s="455"/>
      <c r="U20" s="455">
        <f t="shared" si="6"/>
        <v>525798</v>
      </c>
      <c r="V20" s="455"/>
      <c r="W20" s="455"/>
      <c r="X20" s="456"/>
      <c r="Y20" s="455"/>
      <c r="Z20" s="455"/>
      <c r="AA20" s="378">
        <f t="shared" si="7"/>
        <v>4481802</v>
      </c>
      <c r="AB20" s="457">
        <f t="shared" ca="1" si="8"/>
        <v>8</v>
      </c>
      <c r="AC20" s="439"/>
      <c r="AD20" s="439" t="s">
        <v>216</v>
      </c>
    </row>
    <row r="21" spans="1:39" s="486" customFormat="1" ht="35.25" customHeight="1">
      <c r="A21" s="181">
        <f ca="1">_xlfn.AGGREGATE(4,7,A$12:A20)+1</f>
        <v>9</v>
      </c>
      <c r="B21" s="385" t="s">
        <v>120</v>
      </c>
      <c r="C21" s="99" t="s">
        <v>61</v>
      </c>
      <c r="D21" s="206" t="str">
        <f>VLOOKUP(B21,[2]T3!$B$2:$D$328,3,FALSE)</f>
        <v>230718298</v>
      </c>
      <c r="E21" s="188" t="s">
        <v>192</v>
      </c>
      <c r="F21" s="202" t="str">
        <f>INDEX([3]SACOM!$C$7:$C$335,MATCH(B21,[3]SACOM!$B$7:$B$335,0))</f>
        <v>0977414676</v>
      </c>
      <c r="G21" s="375" t="s">
        <v>228</v>
      </c>
      <c r="H21" s="369">
        <v>6</v>
      </c>
      <c r="I21" s="370">
        <v>7515057</v>
      </c>
      <c r="J21" s="371"/>
      <c r="K21" s="370"/>
      <c r="L21" s="370">
        <f t="shared" si="0"/>
        <v>7515057</v>
      </c>
      <c r="M21" s="370">
        <v>0</v>
      </c>
      <c r="N21" s="370">
        <f t="shared" si="1"/>
        <v>0</v>
      </c>
      <c r="O21" s="370"/>
      <c r="P21" s="370">
        <f t="shared" si="2"/>
        <v>7515057</v>
      </c>
      <c r="Q21" s="370">
        <f t="shared" si="3"/>
        <v>601204.56000000006</v>
      </c>
      <c r="R21" s="372">
        <f t="shared" si="4"/>
        <v>112725.855</v>
      </c>
      <c r="S21" s="370">
        <f t="shared" si="5"/>
        <v>75150.570000000007</v>
      </c>
      <c r="T21" s="372"/>
      <c r="U21" s="372">
        <f t="shared" si="6"/>
        <v>789080.9850000001</v>
      </c>
      <c r="V21" s="372"/>
      <c r="W21" s="374"/>
      <c r="X21" s="374"/>
      <c r="Y21" s="374"/>
      <c r="Z21" s="374"/>
      <c r="AA21" s="378">
        <f t="shared" si="7"/>
        <v>6725976.0149999997</v>
      </c>
      <c r="AB21" s="88">
        <f t="shared" ca="1" si="8"/>
        <v>9</v>
      </c>
      <c r="AC21" s="89"/>
      <c r="AD21" s="89" t="s">
        <v>93</v>
      </c>
      <c r="AE21" s="95"/>
      <c r="AH21" s="103"/>
      <c r="AK21" s="485"/>
    </row>
    <row r="22" spans="1:39" s="91" customFormat="1" ht="36.6" customHeight="1">
      <c r="A22" s="181">
        <f ca="1">_xlfn.AGGREGATE(4,7,A$12:A21)+1</f>
        <v>10</v>
      </c>
      <c r="B22" s="385" t="s">
        <v>275</v>
      </c>
      <c r="C22" s="99" t="s">
        <v>276</v>
      </c>
      <c r="D22" s="206"/>
      <c r="E22" s="202"/>
      <c r="F22" s="202" t="str">
        <f>INDEX([3]SACOM!$C$7:$C$335,MATCH(B22,[3]SACOM!$B$7:$B$335,0))</f>
        <v>0902915225</v>
      </c>
      <c r="G22" s="368" t="s">
        <v>228</v>
      </c>
      <c r="H22" s="369">
        <v>2</v>
      </c>
      <c r="I22" s="370">
        <v>5733201</v>
      </c>
      <c r="J22" s="371"/>
      <c r="K22" s="370"/>
      <c r="L22" s="370">
        <f t="shared" si="0"/>
        <v>5733201</v>
      </c>
      <c r="M22" s="370"/>
      <c r="N22" s="370">
        <f t="shared" si="1"/>
        <v>0</v>
      </c>
      <c r="O22" s="370"/>
      <c r="P22" s="370">
        <f t="shared" si="2"/>
        <v>5733201</v>
      </c>
      <c r="Q22" s="370">
        <f t="shared" si="3"/>
        <v>458656.08</v>
      </c>
      <c r="R22" s="372">
        <f t="shared" si="4"/>
        <v>85998.014999999999</v>
      </c>
      <c r="S22" s="370">
        <f t="shared" si="5"/>
        <v>57332.01</v>
      </c>
      <c r="T22" s="372"/>
      <c r="U22" s="372">
        <f t="shared" si="6"/>
        <v>601986.10499999998</v>
      </c>
      <c r="V22" s="372"/>
      <c r="W22" s="374"/>
      <c r="X22" s="374"/>
      <c r="Y22" s="374"/>
      <c r="Z22" s="374"/>
      <c r="AA22" s="378">
        <f t="shared" si="7"/>
        <v>5131214.8949999996</v>
      </c>
      <c r="AB22" s="88">
        <f t="shared" ca="1" si="8"/>
        <v>10</v>
      </c>
      <c r="AC22" s="233"/>
      <c r="AD22" s="233" t="s">
        <v>279</v>
      </c>
      <c r="AE22" s="104"/>
      <c r="AF22" s="125"/>
      <c r="AG22" s="486"/>
      <c r="AK22" s="92"/>
    </row>
    <row r="23" spans="1:39" s="91" customFormat="1" ht="37.5" customHeight="1">
      <c r="A23" s="181">
        <f ca="1">_xlfn.AGGREGATE(4,7,A$12:A22)+1</f>
        <v>11</v>
      </c>
      <c r="B23" s="385" t="s">
        <v>305</v>
      </c>
      <c r="C23" s="99" t="s">
        <v>304</v>
      </c>
      <c r="D23" s="206"/>
      <c r="E23" s="266" t="s">
        <v>315</v>
      </c>
      <c r="F23" s="202" t="str">
        <f>INDEX([3]SACOM!$C$7:$C$335,MATCH(B23,[3]SACOM!$B$7:$B$335,0))</f>
        <v>060311042826</v>
      </c>
      <c r="G23" s="368" t="s">
        <v>228</v>
      </c>
      <c r="H23" s="369">
        <v>1</v>
      </c>
      <c r="I23" s="370">
        <v>5358132</v>
      </c>
      <c r="J23" s="371"/>
      <c r="K23" s="370"/>
      <c r="L23" s="370">
        <f t="shared" si="0"/>
        <v>5358132</v>
      </c>
      <c r="M23" s="370"/>
      <c r="N23" s="370">
        <f t="shared" si="1"/>
        <v>0</v>
      </c>
      <c r="O23" s="370"/>
      <c r="P23" s="370">
        <f t="shared" si="2"/>
        <v>5358132</v>
      </c>
      <c r="Q23" s="370">
        <f t="shared" si="3"/>
        <v>428650.56</v>
      </c>
      <c r="R23" s="372">
        <f t="shared" si="4"/>
        <v>80371.98</v>
      </c>
      <c r="S23" s="370">
        <f t="shared" si="5"/>
        <v>53581.32</v>
      </c>
      <c r="T23" s="372"/>
      <c r="U23" s="372">
        <f t="shared" si="6"/>
        <v>562603.86</v>
      </c>
      <c r="V23" s="372"/>
      <c r="W23" s="374"/>
      <c r="X23" s="374"/>
      <c r="Y23" s="374"/>
      <c r="Z23" s="374"/>
      <c r="AA23" s="378">
        <f t="shared" si="7"/>
        <v>4795528.1399999997</v>
      </c>
      <c r="AB23" s="88">
        <f t="shared" ca="1" si="8"/>
        <v>11</v>
      </c>
      <c r="AC23" s="233"/>
      <c r="AD23" s="265" t="s">
        <v>306</v>
      </c>
      <c r="AE23" s="352"/>
      <c r="AF23" s="353"/>
      <c r="AG23" s="503"/>
      <c r="AH23" s="32"/>
      <c r="AI23" s="32"/>
      <c r="AJ23" s="32"/>
      <c r="AK23" s="48"/>
      <c r="AL23" s="32"/>
      <c r="AM23" s="32"/>
    </row>
    <row r="24" spans="1:39" s="91" customFormat="1" ht="38.450000000000003" customHeight="1">
      <c r="A24" s="181">
        <f ca="1">_xlfn.AGGREGATE(4,7,A$12:A23)+1</f>
        <v>12</v>
      </c>
      <c r="B24" s="385" t="s">
        <v>370</v>
      </c>
      <c r="C24" s="99" t="s">
        <v>304</v>
      </c>
      <c r="D24" s="206"/>
      <c r="E24" s="266"/>
      <c r="F24" s="202" t="str">
        <f>INDEX([3]SACOM!$C$7:$C$335,MATCH(B24,[3]SACOM!$B$7:$B$335,0))</f>
        <v>060310886001</v>
      </c>
      <c r="G24" s="368" t="s">
        <v>228</v>
      </c>
      <c r="H24" s="369">
        <v>1</v>
      </c>
      <c r="I24" s="370">
        <v>5358132</v>
      </c>
      <c r="J24" s="371"/>
      <c r="K24" s="370"/>
      <c r="L24" s="370">
        <f t="shared" si="0"/>
        <v>5358132</v>
      </c>
      <c r="M24" s="370"/>
      <c r="N24" s="370">
        <f t="shared" si="1"/>
        <v>0</v>
      </c>
      <c r="O24" s="370"/>
      <c r="P24" s="370">
        <f t="shared" si="2"/>
        <v>5358132</v>
      </c>
      <c r="Q24" s="370">
        <f t="shared" si="3"/>
        <v>428650.56</v>
      </c>
      <c r="R24" s="372">
        <f t="shared" si="4"/>
        <v>80371.98</v>
      </c>
      <c r="S24" s="370">
        <f t="shared" si="5"/>
        <v>53581.32</v>
      </c>
      <c r="T24" s="372"/>
      <c r="U24" s="372">
        <f t="shared" si="6"/>
        <v>562603.86</v>
      </c>
      <c r="V24" s="372"/>
      <c r="W24" s="374"/>
      <c r="X24" s="374"/>
      <c r="Y24" s="374"/>
      <c r="Z24" s="374"/>
      <c r="AA24" s="378">
        <f t="shared" si="7"/>
        <v>4795528.1399999997</v>
      </c>
      <c r="AB24" s="88">
        <f t="shared" ca="1" si="8"/>
        <v>12</v>
      </c>
      <c r="AC24" s="233"/>
      <c r="AD24" s="233" t="s">
        <v>375</v>
      </c>
      <c r="AE24" s="352"/>
      <c r="AF24" s="353"/>
      <c r="AG24" s="503"/>
      <c r="AH24" s="32"/>
      <c r="AI24" s="32"/>
      <c r="AJ24" s="32"/>
      <c r="AK24" s="48"/>
      <c r="AL24" s="32"/>
      <c r="AM24" s="32"/>
    </row>
    <row r="25" spans="1:39" s="91" customFormat="1" ht="36.75" customHeight="1">
      <c r="A25" s="181">
        <f ca="1">_xlfn.AGGREGATE(4,7,A$12:A24)+1</f>
        <v>13</v>
      </c>
      <c r="B25" s="385" t="s">
        <v>125</v>
      </c>
      <c r="C25" s="99" t="s">
        <v>159</v>
      </c>
      <c r="D25" s="205" t="s">
        <v>223</v>
      </c>
      <c r="E25" s="188" t="s">
        <v>200</v>
      </c>
      <c r="F25" s="202" t="str">
        <f>INDEX([3]SACOM!$C$7:$C$335,MATCH(B25,[3]SACOM!$B$7:$B$335,0))</f>
        <v>060310828079</v>
      </c>
      <c r="G25" s="375" t="s">
        <v>228</v>
      </c>
      <c r="H25" s="422">
        <v>7</v>
      </c>
      <c r="I25" s="370">
        <v>8041111</v>
      </c>
      <c r="J25" s="371"/>
      <c r="K25" s="370"/>
      <c r="L25" s="370">
        <f t="shared" si="0"/>
        <v>8041111</v>
      </c>
      <c r="M25" s="370"/>
      <c r="N25" s="370">
        <f t="shared" si="1"/>
        <v>0</v>
      </c>
      <c r="O25" s="370"/>
      <c r="P25" s="370">
        <f t="shared" si="2"/>
        <v>8041111</v>
      </c>
      <c r="Q25" s="370">
        <f t="shared" si="3"/>
        <v>643288.88</v>
      </c>
      <c r="R25" s="372">
        <f t="shared" si="4"/>
        <v>120616.66499999999</v>
      </c>
      <c r="S25" s="370">
        <f t="shared" si="5"/>
        <v>80411.11</v>
      </c>
      <c r="T25" s="372"/>
      <c r="U25" s="372">
        <f t="shared" si="6"/>
        <v>844316.65500000003</v>
      </c>
      <c r="V25" s="372"/>
      <c r="W25" s="372"/>
      <c r="X25" s="372"/>
      <c r="Y25" s="372"/>
      <c r="Z25" s="372"/>
      <c r="AA25" s="378">
        <f t="shared" si="7"/>
        <v>7196794.3449999997</v>
      </c>
      <c r="AB25" s="88">
        <f t="shared" ca="1" si="8"/>
        <v>13</v>
      </c>
      <c r="AC25" s="89"/>
      <c r="AD25" s="90" t="s">
        <v>60</v>
      </c>
      <c r="AE25" s="133"/>
      <c r="AG25" s="486"/>
      <c r="AK25" s="92"/>
    </row>
    <row r="26" spans="1:39" s="91" customFormat="1" ht="42.75" customHeight="1">
      <c r="A26" s="181">
        <f ca="1">_xlfn.AGGREGATE(4,7,A$12:A25)+1</f>
        <v>14</v>
      </c>
      <c r="B26" s="385" t="s">
        <v>268</v>
      </c>
      <c r="C26" s="99" t="s">
        <v>272</v>
      </c>
      <c r="D26" s="206"/>
      <c r="E26" s="202" t="s">
        <v>302</v>
      </c>
      <c r="F26" s="202" t="str">
        <f>INDEX([3]SACOM!$C$7:$C$335,MATCH(B26,[3]SACOM!$B$7:$B$335,0))</f>
        <v>060310836772</v>
      </c>
      <c r="G26" s="368" t="s">
        <v>228</v>
      </c>
      <c r="H26" s="369">
        <v>2</v>
      </c>
      <c r="I26" s="370">
        <v>5733201</v>
      </c>
      <c r="J26" s="371"/>
      <c r="K26" s="370"/>
      <c r="L26" s="370">
        <f t="shared" si="0"/>
        <v>5733201</v>
      </c>
      <c r="M26" s="370"/>
      <c r="N26" s="370">
        <f t="shared" si="1"/>
        <v>0</v>
      </c>
      <c r="O26" s="370"/>
      <c r="P26" s="370">
        <f t="shared" si="2"/>
        <v>5733201</v>
      </c>
      <c r="Q26" s="370">
        <f t="shared" si="3"/>
        <v>458656.08</v>
      </c>
      <c r="R26" s="372">
        <f t="shared" si="4"/>
        <v>85998.014999999999</v>
      </c>
      <c r="S26" s="370">
        <f t="shared" si="5"/>
        <v>57332.01</v>
      </c>
      <c r="T26" s="372"/>
      <c r="U26" s="372">
        <f t="shared" si="6"/>
        <v>601986.10499999998</v>
      </c>
      <c r="V26" s="372"/>
      <c r="W26" s="374"/>
      <c r="X26" s="374"/>
      <c r="Y26" s="374"/>
      <c r="Z26" s="374"/>
      <c r="AA26" s="378">
        <f t="shared" si="7"/>
        <v>5131214.8949999996</v>
      </c>
      <c r="AB26" s="88">
        <f t="shared" ca="1" si="8"/>
        <v>14</v>
      </c>
      <c r="AC26" s="233"/>
      <c r="AD26" s="233" t="s">
        <v>269</v>
      </c>
      <c r="AE26" s="104"/>
      <c r="AF26" s="125"/>
      <c r="AG26" s="486"/>
      <c r="AK26" s="92"/>
    </row>
    <row r="27" spans="1:39" s="486" customFormat="1" ht="36" customHeight="1">
      <c r="A27" s="181">
        <f ca="1">_xlfn.AGGREGATE(4,7,A$12:A26)+1</f>
        <v>15</v>
      </c>
      <c r="B27" s="513" t="s">
        <v>400</v>
      </c>
      <c r="C27" s="99" t="s">
        <v>225</v>
      </c>
      <c r="D27" s="204" t="s">
        <v>219</v>
      </c>
      <c r="E27" s="202" t="s">
        <v>189</v>
      </c>
      <c r="F27" s="202" t="str">
        <f>INDEX([3]SACOM!$C$7:$C$335,MATCH(B27,[3]SACOM!$B$7:$B$335,0))</f>
        <v>0358800688</v>
      </c>
      <c r="G27" s="375" t="s">
        <v>231</v>
      </c>
      <c r="H27" s="369">
        <v>5</v>
      </c>
      <c r="I27" s="370">
        <v>6086769</v>
      </c>
      <c r="J27" s="371"/>
      <c r="K27" s="370"/>
      <c r="L27" s="370">
        <f t="shared" si="0"/>
        <v>6086769</v>
      </c>
      <c r="M27" s="370"/>
      <c r="N27" s="370">
        <f t="shared" si="1"/>
        <v>0</v>
      </c>
      <c r="O27" s="370"/>
      <c r="P27" s="370">
        <f t="shared" si="2"/>
        <v>6086769</v>
      </c>
      <c r="Q27" s="370">
        <f t="shared" si="3"/>
        <v>486941.52</v>
      </c>
      <c r="R27" s="372">
        <f t="shared" si="4"/>
        <v>91301.535000000003</v>
      </c>
      <c r="S27" s="370">
        <f t="shared" si="5"/>
        <v>60867.69</v>
      </c>
      <c r="T27" s="372"/>
      <c r="U27" s="372">
        <f t="shared" si="6"/>
        <v>639110.74500000011</v>
      </c>
      <c r="V27" s="373"/>
      <c r="W27" s="372"/>
      <c r="X27" s="373"/>
      <c r="Y27" s="372"/>
      <c r="Z27" s="372"/>
      <c r="AA27" s="378">
        <f t="shared" si="7"/>
        <v>5447658.2549999999</v>
      </c>
      <c r="AB27" s="88">
        <f t="shared" ca="1" si="8"/>
        <v>15</v>
      </c>
      <c r="AC27" s="89"/>
      <c r="AD27" s="104">
        <f>'ND 111'!AD27*10.5%</f>
        <v>486013.5</v>
      </c>
      <c r="AE27" s="652"/>
      <c r="AF27" s="653"/>
      <c r="AG27" s="653"/>
      <c r="AH27" s="653"/>
      <c r="AK27" s="106"/>
    </row>
    <row r="28" spans="1:39" s="91" customFormat="1" ht="37.5" customHeight="1">
      <c r="A28" s="181">
        <f ca="1">_xlfn.AGGREGATE(4,7,A$12:A27)+1</f>
        <v>16</v>
      </c>
      <c r="B28" s="421" t="s">
        <v>399</v>
      </c>
      <c r="C28" s="99" t="s">
        <v>272</v>
      </c>
      <c r="D28" s="204" t="s">
        <v>218</v>
      </c>
      <c r="E28" s="188" t="s">
        <v>196</v>
      </c>
      <c r="F28" s="202" t="str">
        <f>INDEX([3]SACOM!$C$7:$C$335,MATCH(B28,[3]SACOM!$B$7:$B$335,0))</f>
        <v>060278335766</v>
      </c>
      <c r="G28" s="375" t="s">
        <v>228</v>
      </c>
      <c r="H28" s="369">
        <v>2</v>
      </c>
      <c r="I28" s="370">
        <v>5733201</v>
      </c>
      <c r="J28" s="371"/>
      <c r="K28" s="370"/>
      <c r="L28" s="370">
        <f t="shared" si="0"/>
        <v>5733201</v>
      </c>
      <c r="M28" s="370"/>
      <c r="N28" s="370">
        <f t="shared" si="1"/>
        <v>0</v>
      </c>
      <c r="O28" s="370"/>
      <c r="P28" s="370">
        <f t="shared" si="2"/>
        <v>5733201</v>
      </c>
      <c r="Q28" s="370">
        <f t="shared" si="3"/>
        <v>458656.08</v>
      </c>
      <c r="R28" s="372">
        <f t="shared" si="4"/>
        <v>85998.014999999999</v>
      </c>
      <c r="S28" s="370">
        <f t="shared" si="5"/>
        <v>57332.01</v>
      </c>
      <c r="T28" s="372"/>
      <c r="U28" s="372">
        <f t="shared" si="6"/>
        <v>601986.10499999998</v>
      </c>
      <c r="V28" s="372"/>
      <c r="W28" s="372"/>
      <c r="X28" s="372"/>
      <c r="Y28" s="372"/>
      <c r="Z28" s="372"/>
      <c r="AA28" s="378">
        <f t="shared" si="7"/>
        <v>5131214.8949999996</v>
      </c>
      <c r="AB28" s="88">
        <f t="shared" ca="1" si="8"/>
        <v>16</v>
      </c>
      <c r="AC28" s="105"/>
      <c r="AD28" s="120" t="s">
        <v>106</v>
      </c>
      <c r="AE28" s="135"/>
      <c r="AF28" s="109"/>
      <c r="AG28" s="97"/>
      <c r="AH28" s="97"/>
      <c r="AK28" s="98"/>
    </row>
    <row r="29" spans="1:39" s="486" customFormat="1" ht="42.75" customHeight="1">
      <c r="A29" s="181">
        <f>_xlfn.AGGREGATE(4,7,A$12:A12)+1</f>
        <v>1</v>
      </c>
      <c r="B29" s="385" t="s">
        <v>296</v>
      </c>
      <c r="C29" s="99" t="s">
        <v>380</v>
      </c>
      <c r="D29" s="205" t="s">
        <v>313</v>
      </c>
      <c r="E29" s="266" t="s">
        <v>314</v>
      </c>
      <c r="F29" s="202" t="str">
        <f>INDEX([3]SACOM!$C$7:$C$335,MATCH(B29,[3]SACOM!$B$7:$B$335,0))</f>
        <v>060310951679</v>
      </c>
      <c r="G29" s="368" t="s">
        <v>228</v>
      </c>
      <c r="H29" s="369">
        <v>1</v>
      </c>
      <c r="I29" s="370">
        <v>5358132</v>
      </c>
      <c r="J29" s="371"/>
      <c r="K29" s="370"/>
      <c r="L29" s="370">
        <f t="shared" si="0"/>
        <v>5358132</v>
      </c>
      <c r="M29" s="370"/>
      <c r="N29" s="370">
        <f t="shared" si="1"/>
        <v>0</v>
      </c>
      <c r="O29" s="370"/>
      <c r="P29" s="370">
        <f t="shared" si="2"/>
        <v>5358132</v>
      </c>
      <c r="Q29" s="370">
        <f t="shared" si="3"/>
        <v>428650.56</v>
      </c>
      <c r="R29" s="372">
        <f t="shared" si="4"/>
        <v>80371.98</v>
      </c>
      <c r="S29" s="370">
        <f t="shared" si="5"/>
        <v>53581.32</v>
      </c>
      <c r="T29" s="372"/>
      <c r="U29" s="372">
        <f t="shared" si="6"/>
        <v>562603.86</v>
      </c>
      <c r="V29" s="372"/>
      <c r="W29" s="374"/>
      <c r="X29" s="374"/>
      <c r="Y29" s="374"/>
      <c r="Z29" s="374"/>
      <c r="AA29" s="378">
        <f t="shared" si="7"/>
        <v>4795528.1399999997</v>
      </c>
      <c r="AB29" s="88">
        <f t="shared" si="8"/>
        <v>1</v>
      </c>
      <c r="AC29" s="233"/>
      <c r="AD29" s="233" t="s">
        <v>298</v>
      </c>
      <c r="AE29" s="104"/>
      <c r="AF29" s="125"/>
      <c r="AK29" s="485"/>
    </row>
    <row r="30" spans="1:39" s="91" customFormat="1" ht="42.75" customHeight="1">
      <c r="A30" s="181">
        <f ca="1">_xlfn.AGGREGATE(4,7,A$12:A28)+1</f>
        <v>17</v>
      </c>
      <c r="B30" s="385" t="s">
        <v>290</v>
      </c>
      <c r="C30" s="99" t="s">
        <v>272</v>
      </c>
      <c r="D30" s="206"/>
      <c r="E30" s="202"/>
      <c r="F30" s="202" t="str">
        <f>INDEX([3]SACOM!$C$7:$C$335,MATCH(B30,[3]SACOM!$B$7:$B$335,0))</f>
        <v>060278713264</v>
      </c>
      <c r="G30" s="368" t="s">
        <v>228</v>
      </c>
      <c r="H30" s="369">
        <v>2</v>
      </c>
      <c r="I30" s="370">
        <v>5733201</v>
      </c>
      <c r="J30" s="371"/>
      <c r="K30" s="370"/>
      <c r="L30" s="370">
        <f t="shared" si="0"/>
        <v>5733201</v>
      </c>
      <c r="M30" s="370"/>
      <c r="N30" s="370">
        <f t="shared" si="1"/>
        <v>0</v>
      </c>
      <c r="O30" s="370"/>
      <c r="P30" s="370">
        <f t="shared" si="2"/>
        <v>5733201</v>
      </c>
      <c r="Q30" s="370">
        <f t="shared" si="3"/>
        <v>458656.08</v>
      </c>
      <c r="R30" s="372">
        <f t="shared" si="4"/>
        <v>85998.014999999999</v>
      </c>
      <c r="S30" s="370">
        <f t="shared" si="5"/>
        <v>57332.01</v>
      </c>
      <c r="T30" s="372"/>
      <c r="U30" s="372">
        <f t="shared" si="6"/>
        <v>601986.10499999998</v>
      </c>
      <c r="V30" s="372"/>
      <c r="W30" s="374"/>
      <c r="X30" s="374"/>
      <c r="Y30" s="374"/>
      <c r="Z30" s="374"/>
      <c r="AA30" s="378">
        <f t="shared" si="7"/>
        <v>5131214.8949999996</v>
      </c>
      <c r="AB30" s="88">
        <f t="shared" ca="1" si="8"/>
        <v>17</v>
      </c>
      <c r="AC30" s="233"/>
      <c r="AD30" s="233" t="s">
        <v>291</v>
      </c>
      <c r="AE30" s="104"/>
      <c r="AF30" s="125"/>
      <c r="AG30" s="486"/>
      <c r="AK30" s="92"/>
    </row>
    <row r="31" spans="1:39" s="486" customFormat="1" ht="41.25" customHeight="1">
      <c r="A31" s="181">
        <f ca="1">_xlfn.AGGREGATE(4,7,A$12:A30)+1</f>
        <v>18</v>
      </c>
      <c r="B31" s="385" t="s">
        <v>121</v>
      </c>
      <c r="C31" s="99" t="s">
        <v>320</v>
      </c>
      <c r="D31" s="206" t="str">
        <f>VLOOKUP(B31,[2]T3!$B$2:$D$328,3,FALSE)</f>
        <v>025804258</v>
      </c>
      <c r="E31" s="202" t="s">
        <v>193</v>
      </c>
      <c r="F31" s="202" t="str">
        <f>INDEX([3]SACOM!$C$7:$C$335,MATCH(B31,[3]SACOM!$B$7:$B$335,0))</f>
        <v>060310837000</v>
      </c>
      <c r="G31" s="375" t="s">
        <v>231</v>
      </c>
      <c r="H31" s="376">
        <v>5</v>
      </c>
      <c r="I31" s="370">
        <v>6086769</v>
      </c>
      <c r="J31" s="371"/>
      <c r="K31" s="370"/>
      <c r="L31" s="370">
        <f t="shared" si="0"/>
        <v>6086769</v>
      </c>
      <c r="M31" s="370"/>
      <c r="N31" s="370">
        <f t="shared" si="1"/>
        <v>0</v>
      </c>
      <c r="O31" s="370"/>
      <c r="P31" s="370">
        <f t="shared" si="2"/>
        <v>6086769</v>
      </c>
      <c r="Q31" s="370">
        <f t="shared" si="3"/>
        <v>486941.52</v>
      </c>
      <c r="R31" s="372">
        <f t="shared" si="4"/>
        <v>91301.535000000003</v>
      </c>
      <c r="S31" s="370">
        <f t="shared" si="5"/>
        <v>60867.69</v>
      </c>
      <c r="T31" s="372"/>
      <c r="U31" s="372">
        <f t="shared" si="6"/>
        <v>639110.74500000011</v>
      </c>
      <c r="V31" s="372"/>
      <c r="W31" s="374"/>
      <c r="X31" s="374"/>
      <c r="Y31" s="374"/>
      <c r="Z31" s="374"/>
      <c r="AA31" s="378">
        <f t="shared" si="7"/>
        <v>5447658.2549999999</v>
      </c>
      <c r="AB31" s="88">
        <f t="shared" ca="1" si="8"/>
        <v>18</v>
      </c>
      <c r="AC31" s="89"/>
      <c r="AD31" s="89" t="s">
        <v>94</v>
      </c>
      <c r="AE31" s="96"/>
      <c r="AF31" s="97"/>
      <c r="AG31" s="97"/>
      <c r="AH31" s="97"/>
      <c r="AI31" s="97"/>
      <c r="AJ31" s="96"/>
      <c r="AK31" s="98"/>
    </row>
    <row r="32" spans="1:39" s="486" customFormat="1" ht="41.25" customHeight="1">
      <c r="A32" s="181">
        <f ca="1">_xlfn.AGGREGATE(4,7,A$12:A31)+1</f>
        <v>19</v>
      </c>
      <c r="B32" s="385" t="s">
        <v>372</v>
      </c>
      <c r="C32" s="99" t="s">
        <v>320</v>
      </c>
      <c r="D32" s="206"/>
      <c r="E32" s="202"/>
      <c r="F32" s="202" t="str">
        <f>INDEX([3]SACOM!$C$7:$C$335,MATCH(B32,[3]SACOM!$B$7:$B$335,0))</f>
        <v>060310936742</v>
      </c>
      <c r="G32" s="375" t="s">
        <v>231</v>
      </c>
      <c r="H32" s="376">
        <v>1</v>
      </c>
      <c r="I32" s="370">
        <v>5007600</v>
      </c>
      <c r="J32" s="371"/>
      <c r="K32" s="370"/>
      <c r="L32" s="370">
        <f t="shared" si="0"/>
        <v>5007600</v>
      </c>
      <c r="M32" s="370"/>
      <c r="N32" s="370">
        <f t="shared" si="1"/>
        <v>0</v>
      </c>
      <c r="O32" s="370"/>
      <c r="P32" s="370">
        <f t="shared" si="2"/>
        <v>5007600</v>
      </c>
      <c r="Q32" s="370">
        <f t="shared" si="3"/>
        <v>400608</v>
      </c>
      <c r="R32" s="372">
        <f t="shared" si="4"/>
        <v>75114</v>
      </c>
      <c r="S32" s="370">
        <f t="shared" si="5"/>
        <v>50076</v>
      </c>
      <c r="T32" s="372"/>
      <c r="U32" s="372">
        <f t="shared" si="6"/>
        <v>525798</v>
      </c>
      <c r="V32" s="372"/>
      <c r="W32" s="374"/>
      <c r="X32" s="374"/>
      <c r="Y32" s="374"/>
      <c r="Z32" s="374"/>
      <c r="AA32" s="378">
        <f t="shared" si="7"/>
        <v>4481802</v>
      </c>
      <c r="AB32" s="88">
        <f t="shared" ca="1" si="8"/>
        <v>19</v>
      </c>
      <c r="AC32" s="89"/>
      <c r="AD32" s="126" t="s">
        <v>373</v>
      </c>
      <c r="AE32" s="96"/>
      <c r="AF32" s="97"/>
      <c r="AG32" s="97"/>
      <c r="AH32" s="97"/>
      <c r="AI32" s="97"/>
      <c r="AJ32" s="96"/>
      <c r="AK32" s="98"/>
    </row>
    <row r="33" spans="1:39" s="91" customFormat="1" ht="33" customHeight="1">
      <c r="A33" s="181">
        <f ca="1">_xlfn.AGGREGATE(4,7,A$12:A32)+1</f>
        <v>20</v>
      </c>
      <c r="B33" s="385" t="s">
        <v>115</v>
      </c>
      <c r="C33" s="99" t="s">
        <v>173</v>
      </c>
      <c r="D33" s="206" t="str">
        <f>VLOOKUP(B33,[2]T3!$B$2:$D$328,3,FALSE)</f>
        <v>024759058</v>
      </c>
      <c r="E33" s="188" t="s">
        <v>210</v>
      </c>
      <c r="F33" s="202" t="str">
        <f>INDEX([3]SACOM!$C$7:$C$335,MATCH(B33,[3]SACOM!$B$7:$B$335,0))</f>
        <v>060311001951</v>
      </c>
      <c r="G33" s="375" t="s">
        <v>228</v>
      </c>
      <c r="H33" s="422">
        <v>2</v>
      </c>
      <c r="I33" s="370">
        <v>5733201</v>
      </c>
      <c r="J33" s="371"/>
      <c r="K33" s="370"/>
      <c r="L33" s="370">
        <f t="shared" si="0"/>
        <v>5733201</v>
      </c>
      <c r="M33" s="370"/>
      <c r="N33" s="370">
        <f t="shared" si="1"/>
        <v>0</v>
      </c>
      <c r="O33" s="370"/>
      <c r="P33" s="370">
        <f t="shared" si="2"/>
        <v>5733201</v>
      </c>
      <c r="Q33" s="370">
        <f t="shared" si="3"/>
        <v>458656.08</v>
      </c>
      <c r="R33" s="372">
        <f t="shared" si="4"/>
        <v>85998.014999999999</v>
      </c>
      <c r="S33" s="370">
        <f t="shared" si="5"/>
        <v>57332.01</v>
      </c>
      <c r="T33" s="372"/>
      <c r="U33" s="372">
        <f t="shared" si="6"/>
        <v>601986.10499999998</v>
      </c>
      <c r="V33" s="372"/>
      <c r="W33" s="378"/>
      <c r="X33" s="378"/>
      <c r="Y33" s="378"/>
      <c r="Z33" s="378"/>
      <c r="AA33" s="378">
        <f t="shared" si="7"/>
        <v>5131214.8949999996</v>
      </c>
      <c r="AB33" s="88">
        <f t="shared" ca="1" si="8"/>
        <v>20</v>
      </c>
      <c r="AC33" s="89"/>
      <c r="AD33" s="126" t="s">
        <v>113</v>
      </c>
      <c r="AE33" s="486"/>
      <c r="AF33" s="486"/>
      <c r="AJ33" s="92"/>
    </row>
    <row r="34" spans="1:39" s="91" customFormat="1" ht="31.15" customHeight="1">
      <c r="A34" s="181">
        <f ca="1">_xlfn.AGGREGATE(4,7,A$12:A33)+1</f>
        <v>21</v>
      </c>
      <c r="B34" s="385" t="s">
        <v>128</v>
      </c>
      <c r="C34" s="99" t="s">
        <v>173</v>
      </c>
      <c r="D34" s="206" t="str">
        <f>VLOOKUP(B34,[2]T3!$B$2:$D$328,3,FALSE)</f>
        <v>025128010</v>
      </c>
      <c r="E34" s="188" t="s">
        <v>202</v>
      </c>
      <c r="F34" s="202" t="str">
        <f>INDEX([3]SACOM!$C$7:$C$335,MATCH(B34,[3]SACOM!$B$7:$B$335,0))</f>
        <v>060311390204</v>
      </c>
      <c r="G34" s="375" t="s">
        <v>228</v>
      </c>
      <c r="H34" s="376">
        <v>4</v>
      </c>
      <c r="I34" s="370">
        <v>6563942</v>
      </c>
      <c r="J34" s="371"/>
      <c r="K34" s="370"/>
      <c r="L34" s="370">
        <f t="shared" si="0"/>
        <v>6563942</v>
      </c>
      <c r="M34" s="370"/>
      <c r="N34" s="370">
        <f t="shared" si="1"/>
        <v>0</v>
      </c>
      <c r="O34" s="370"/>
      <c r="P34" s="370">
        <f t="shared" si="2"/>
        <v>6563942</v>
      </c>
      <c r="Q34" s="370">
        <f t="shared" si="3"/>
        <v>525115.36</v>
      </c>
      <c r="R34" s="372">
        <f t="shared" si="4"/>
        <v>98459.12999999999</v>
      </c>
      <c r="S34" s="370">
        <f t="shared" si="5"/>
        <v>65639.42</v>
      </c>
      <c r="T34" s="372"/>
      <c r="U34" s="372">
        <f t="shared" si="6"/>
        <v>689213.91</v>
      </c>
      <c r="V34" s="372"/>
      <c r="W34" s="372"/>
      <c r="X34" s="372"/>
      <c r="Y34" s="372"/>
      <c r="Z34" s="372"/>
      <c r="AA34" s="378">
        <f t="shared" si="7"/>
        <v>5874728.0899999999</v>
      </c>
      <c r="AB34" s="88">
        <f t="shared" ca="1" si="8"/>
        <v>21</v>
      </c>
      <c r="AC34" s="89"/>
      <c r="AD34" s="108" t="s">
        <v>103</v>
      </c>
      <c r="AE34" s="96"/>
      <c r="AF34" s="107"/>
      <c r="AG34" s="97"/>
      <c r="AH34" s="97"/>
      <c r="AK34" s="98"/>
    </row>
    <row r="35" spans="1:39" s="91" customFormat="1" ht="31.9" customHeight="1">
      <c r="A35" s="181">
        <f ca="1">_xlfn.AGGREGATE(4,7,A$12:A34)+1</f>
        <v>22</v>
      </c>
      <c r="B35" s="385" t="s">
        <v>150</v>
      </c>
      <c r="C35" s="99" t="s">
        <v>173</v>
      </c>
      <c r="D35" s="206" t="str">
        <f>VLOOKUP(B35,[2]T3!$B$2:$D$328,3,FALSE)</f>
        <v>290936998</v>
      </c>
      <c r="E35" s="188" t="s">
        <v>207</v>
      </c>
      <c r="F35" s="202" t="str">
        <f>INDEX([3]SACOM!$C$7:$C$335,MATCH(B35,[3]SACOM!$B$7:$B$335,0))</f>
        <v>060310828656</v>
      </c>
      <c r="G35" s="368" t="s">
        <v>228</v>
      </c>
      <c r="H35" s="369">
        <v>6</v>
      </c>
      <c r="I35" s="370">
        <v>7515057</v>
      </c>
      <c r="J35" s="371"/>
      <c r="K35" s="370"/>
      <c r="L35" s="370">
        <f t="shared" si="0"/>
        <v>7515057</v>
      </c>
      <c r="M35" s="370"/>
      <c r="N35" s="370">
        <f t="shared" si="1"/>
        <v>0</v>
      </c>
      <c r="O35" s="370"/>
      <c r="P35" s="370">
        <f t="shared" si="2"/>
        <v>7515057</v>
      </c>
      <c r="Q35" s="370">
        <f t="shared" si="3"/>
        <v>601204.56000000006</v>
      </c>
      <c r="R35" s="372">
        <f t="shared" si="4"/>
        <v>112725.855</v>
      </c>
      <c r="S35" s="370">
        <f t="shared" si="5"/>
        <v>75150.570000000007</v>
      </c>
      <c r="T35" s="372"/>
      <c r="U35" s="372">
        <f t="shared" si="6"/>
        <v>789080.9850000001</v>
      </c>
      <c r="V35" s="372"/>
      <c r="W35" s="372"/>
      <c r="X35" s="372"/>
      <c r="Y35" s="372"/>
      <c r="Z35" s="372"/>
      <c r="AA35" s="378">
        <f t="shared" si="7"/>
        <v>6725976.0149999997</v>
      </c>
      <c r="AB35" s="88">
        <f t="shared" ca="1" si="8"/>
        <v>22</v>
      </c>
      <c r="AC35" s="105"/>
      <c r="AD35" s="135"/>
      <c r="AE35" s="135"/>
      <c r="AF35" s="109"/>
      <c r="AG35" s="97"/>
      <c r="AH35" s="97"/>
      <c r="AK35" s="98"/>
    </row>
    <row r="36" spans="1:39" s="91" customFormat="1" ht="33" customHeight="1">
      <c r="A36" s="181">
        <f ca="1">_xlfn.AGGREGATE(4,7,A$12:A35)+1</f>
        <v>23</v>
      </c>
      <c r="B36" s="385" t="s">
        <v>133</v>
      </c>
      <c r="C36" s="99" t="s">
        <v>173</v>
      </c>
      <c r="D36" s="206" t="str">
        <f>VLOOKUP(B36,[2]T3!$B$2:$D$328,3,FALSE)</f>
        <v>001186011890</v>
      </c>
      <c r="E36" s="188" t="s">
        <v>208</v>
      </c>
      <c r="F36" s="202" t="str">
        <f>INDEX([3]SACOM!$C$7:$C$335,MATCH(B36,[3]SACOM!$B$7:$B$335,0))</f>
        <v>060310826122</v>
      </c>
      <c r="G36" s="368" t="s">
        <v>228</v>
      </c>
      <c r="H36" s="369">
        <v>7</v>
      </c>
      <c r="I36" s="370">
        <v>8041111</v>
      </c>
      <c r="J36" s="371"/>
      <c r="K36" s="370"/>
      <c r="L36" s="370">
        <f t="shared" si="0"/>
        <v>8041111</v>
      </c>
      <c r="M36" s="370"/>
      <c r="N36" s="370">
        <f t="shared" si="1"/>
        <v>0</v>
      </c>
      <c r="O36" s="370"/>
      <c r="P36" s="370">
        <f t="shared" si="2"/>
        <v>8041111</v>
      </c>
      <c r="Q36" s="370">
        <f t="shared" si="3"/>
        <v>643288.88</v>
      </c>
      <c r="R36" s="372">
        <f t="shared" si="4"/>
        <v>120616.66499999999</v>
      </c>
      <c r="S36" s="370">
        <f t="shared" si="5"/>
        <v>80411.11</v>
      </c>
      <c r="T36" s="372"/>
      <c r="U36" s="372">
        <f t="shared" si="6"/>
        <v>844316.65500000003</v>
      </c>
      <c r="V36" s="372"/>
      <c r="W36" s="374"/>
      <c r="X36" s="374"/>
      <c r="Y36" s="374"/>
      <c r="Z36" s="374"/>
      <c r="AA36" s="378">
        <f t="shared" si="7"/>
        <v>7196794.3449999997</v>
      </c>
      <c r="AB36" s="88">
        <f t="shared" ca="1" si="8"/>
        <v>23</v>
      </c>
      <c r="AC36" s="233"/>
      <c r="AD36" s="90"/>
      <c r="AE36" s="90" t="s">
        <v>54</v>
      </c>
      <c r="AF36" s="89"/>
      <c r="AG36" s="486"/>
      <c r="AK36" s="92"/>
    </row>
    <row r="37" spans="1:39" s="91" customFormat="1" ht="33" customHeight="1">
      <c r="A37" s="181">
        <f ca="1">_xlfn.AGGREGATE(4,7,A$12:A36)+1</f>
        <v>24</v>
      </c>
      <c r="B37" s="421" t="s">
        <v>391</v>
      </c>
      <c r="C37" s="99" t="s">
        <v>173</v>
      </c>
      <c r="D37" s="206"/>
      <c r="E37" s="188"/>
      <c r="F37" s="202" t="str">
        <f>INDEX([3]SACOM!$C$7:$C$335,MATCH(B37,[3]SACOM!$B$7:$B$335,0))</f>
        <v>060311004101</v>
      </c>
      <c r="G37" s="368" t="s">
        <v>228</v>
      </c>
      <c r="H37" s="369">
        <v>1</v>
      </c>
      <c r="I37" s="370">
        <v>5358132</v>
      </c>
      <c r="J37" s="371"/>
      <c r="K37" s="370"/>
      <c r="L37" s="370">
        <f t="shared" si="0"/>
        <v>5358132</v>
      </c>
      <c r="M37" s="370"/>
      <c r="N37" s="370">
        <f t="shared" si="1"/>
        <v>0</v>
      </c>
      <c r="O37" s="370"/>
      <c r="P37" s="370">
        <f t="shared" si="2"/>
        <v>5358132</v>
      </c>
      <c r="Q37" s="370">
        <f t="shared" si="3"/>
        <v>428650.56</v>
      </c>
      <c r="R37" s="372">
        <f t="shared" si="4"/>
        <v>80371.98</v>
      </c>
      <c r="S37" s="370">
        <f t="shared" si="5"/>
        <v>53581.32</v>
      </c>
      <c r="T37" s="372"/>
      <c r="U37" s="372">
        <f t="shared" si="6"/>
        <v>562603.86</v>
      </c>
      <c r="V37" s="372"/>
      <c r="W37" s="374"/>
      <c r="X37" s="374"/>
      <c r="Y37" s="374"/>
      <c r="Z37" s="374"/>
      <c r="AA37" s="378">
        <f t="shared" si="7"/>
        <v>4795528.1399999997</v>
      </c>
      <c r="AB37" s="88"/>
      <c r="AC37" s="233"/>
      <c r="AD37" s="233" t="s">
        <v>392</v>
      </c>
      <c r="AE37" s="90"/>
      <c r="AF37" s="125"/>
      <c r="AG37" s="486"/>
      <c r="AK37" s="92"/>
    </row>
    <row r="38" spans="1:39" s="91" customFormat="1" ht="36.75" customHeight="1">
      <c r="A38" s="181">
        <f ca="1">_xlfn.AGGREGATE(4,7,A$12:A37)+1</f>
        <v>25</v>
      </c>
      <c r="B38" s="386" t="s">
        <v>124</v>
      </c>
      <c r="C38" s="99" t="s">
        <v>174</v>
      </c>
      <c r="D38" s="206" t="str">
        <f>VLOOKUP(B38,[2]T3!$B$2:$D$328,3,FALSE)</f>
        <v>095189000070</v>
      </c>
      <c r="E38" s="188" t="s">
        <v>199</v>
      </c>
      <c r="F38" s="202" t="str">
        <f>INDEX([3]SACOM!$C$7:$C$335,MATCH(B38,[3]SACOM!$B$7:$B$335,0))</f>
        <v>060282013358</v>
      </c>
      <c r="G38" s="368" t="s">
        <v>228</v>
      </c>
      <c r="H38" s="422">
        <v>6</v>
      </c>
      <c r="I38" s="370">
        <v>7515057</v>
      </c>
      <c r="J38" s="371"/>
      <c r="K38" s="370"/>
      <c r="L38" s="370">
        <f t="shared" si="0"/>
        <v>7515057</v>
      </c>
      <c r="M38" s="370"/>
      <c r="N38" s="370">
        <f t="shared" si="1"/>
        <v>0</v>
      </c>
      <c r="O38" s="370"/>
      <c r="P38" s="370">
        <f t="shared" si="2"/>
        <v>7515057</v>
      </c>
      <c r="Q38" s="370">
        <f t="shared" si="3"/>
        <v>601204.56000000006</v>
      </c>
      <c r="R38" s="372">
        <f t="shared" si="4"/>
        <v>112725.855</v>
      </c>
      <c r="S38" s="370">
        <f t="shared" si="5"/>
        <v>75150.570000000007</v>
      </c>
      <c r="T38" s="372"/>
      <c r="U38" s="372">
        <f t="shared" si="6"/>
        <v>789080.9850000001</v>
      </c>
      <c r="V38" s="372"/>
      <c r="W38" s="372"/>
      <c r="X38" s="372"/>
      <c r="Y38" s="372"/>
      <c r="Z38" s="372"/>
      <c r="AA38" s="378">
        <f t="shared" si="7"/>
        <v>6725976.0149999997</v>
      </c>
      <c r="AB38" s="88">
        <f t="shared" ref="AB38:AB46" ca="1" si="9">A38</f>
        <v>25</v>
      </c>
      <c r="AC38" s="115"/>
      <c r="AD38" s="89" t="s">
        <v>71</v>
      </c>
      <c r="AE38" s="89" t="s">
        <v>100</v>
      </c>
      <c r="AG38" s="486"/>
      <c r="AK38" s="92"/>
    </row>
    <row r="39" spans="1:39" s="91" customFormat="1" ht="31.5" customHeight="1">
      <c r="A39" s="181">
        <f ca="1">_xlfn.AGGREGATE(4,7,A$12:A38)+1</f>
        <v>26</v>
      </c>
      <c r="B39" s="385" t="s">
        <v>123</v>
      </c>
      <c r="C39" s="99" t="s">
        <v>175</v>
      </c>
      <c r="D39" s="206" t="str">
        <f>VLOOKUP(B39,[2]T3!$B$2:$D$328,3,FALSE)</f>
        <v>023680986</v>
      </c>
      <c r="E39" s="188" t="s">
        <v>198</v>
      </c>
      <c r="F39" s="202" t="str">
        <f>INDEX([3]SACOM!$C$7:$C$335,MATCH(B39,[3]SACOM!$B$7:$B$335,0))</f>
        <v xml:space="preserve">060310667458 </v>
      </c>
      <c r="G39" s="368" t="s">
        <v>228</v>
      </c>
      <c r="H39" s="369">
        <v>6</v>
      </c>
      <c r="I39" s="370">
        <v>7515057</v>
      </c>
      <c r="J39" s="371"/>
      <c r="K39" s="370"/>
      <c r="L39" s="370">
        <f t="shared" si="0"/>
        <v>7515057</v>
      </c>
      <c r="M39" s="370"/>
      <c r="N39" s="370">
        <f t="shared" si="1"/>
        <v>0</v>
      </c>
      <c r="O39" s="370"/>
      <c r="P39" s="370">
        <f t="shared" si="2"/>
        <v>7515057</v>
      </c>
      <c r="Q39" s="370">
        <f t="shared" si="3"/>
        <v>601204.56000000006</v>
      </c>
      <c r="R39" s="372">
        <f t="shared" si="4"/>
        <v>112725.855</v>
      </c>
      <c r="S39" s="370">
        <f t="shared" si="5"/>
        <v>75150.570000000007</v>
      </c>
      <c r="T39" s="372"/>
      <c r="U39" s="372">
        <f t="shared" si="6"/>
        <v>789080.9850000001</v>
      </c>
      <c r="V39" s="372"/>
      <c r="W39" s="423"/>
      <c r="X39" s="423"/>
      <c r="Y39" s="423"/>
      <c r="Z39" s="423"/>
      <c r="AA39" s="378">
        <f t="shared" si="7"/>
        <v>6725976.0149999997</v>
      </c>
      <c r="AB39" s="88">
        <f t="shared" ca="1" si="9"/>
        <v>26</v>
      </c>
      <c r="AC39" s="105"/>
      <c r="AD39" s="101" t="s">
        <v>95</v>
      </c>
      <c r="AE39" s="102"/>
      <c r="AF39" s="102"/>
      <c r="AG39" s="102"/>
      <c r="AH39" s="102"/>
      <c r="AK39" s="92"/>
    </row>
    <row r="40" spans="1:39" s="91" customFormat="1" ht="33" customHeight="1">
      <c r="A40" s="181">
        <f ca="1">_xlfn.AGGREGATE(4,7,A$12:A39)+1</f>
        <v>27</v>
      </c>
      <c r="B40" s="385" t="s">
        <v>280</v>
      </c>
      <c r="C40" s="99" t="s">
        <v>175</v>
      </c>
      <c r="D40" s="206"/>
      <c r="E40" s="202" t="s">
        <v>303</v>
      </c>
      <c r="F40" s="202" t="str">
        <f>INDEX([3]SACOM!$C$7:$C$335,MATCH(B40,[3]SACOM!$B$7:$B$335,0))</f>
        <v>060310701389</v>
      </c>
      <c r="G40" s="368" t="s">
        <v>228</v>
      </c>
      <c r="H40" s="369">
        <v>2</v>
      </c>
      <c r="I40" s="370">
        <v>5733201</v>
      </c>
      <c r="J40" s="371"/>
      <c r="K40" s="370"/>
      <c r="L40" s="370">
        <f t="shared" si="0"/>
        <v>5733201</v>
      </c>
      <c r="M40" s="370"/>
      <c r="N40" s="370">
        <f t="shared" si="1"/>
        <v>0</v>
      </c>
      <c r="O40" s="370"/>
      <c r="P40" s="370">
        <f t="shared" si="2"/>
        <v>5733201</v>
      </c>
      <c r="Q40" s="370">
        <f t="shared" si="3"/>
        <v>458656.08</v>
      </c>
      <c r="R40" s="372">
        <f t="shared" si="4"/>
        <v>85998.014999999999</v>
      </c>
      <c r="S40" s="370">
        <f t="shared" si="5"/>
        <v>57332.01</v>
      </c>
      <c r="T40" s="372"/>
      <c r="U40" s="372">
        <f t="shared" si="6"/>
        <v>601986.10499999998</v>
      </c>
      <c r="V40" s="372"/>
      <c r="W40" s="374"/>
      <c r="X40" s="374"/>
      <c r="Y40" s="374"/>
      <c r="Z40" s="374"/>
      <c r="AA40" s="378">
        <f t="shared" si="7"/>
        <v>5131214.8949999996</v>
      </c>
      <c r="AB40" s="88">
        <f t="shared" ca="1" si="9"/>
        <v>27</v>
      </c>
      <c r="AC40" s="233"/>
      <c r="AD40" s="233" t="s">
        <v>281</v>
      </c>
      <c r="AE40" s="104"/>
      <c r="AF40" s="125"/>
      <c r="AG40" s="486"/>
      <c r="AK40" s="92"/>
    </row>
    <row r="41" spans="1:39" s="91" customFormat="1" ht="55.5" customHeight="1">
      <c r="A41" s="181">
        <f ca="1">_xlfn.AGGREGATE(4,7,A$12:A40)+1</f>
        <v>28</v>
      </c>
      <c r="B41" s="461" t="s">
        <v>168</v>
      </c>
      <c r="C41" s="320" t="s">
        <v>337</v>
      </c>
      <c r="D41" s="321" t="str">
        <f>VLOOKUP(B41,[2]T3!$B$2:$D$328,3,FALSE)</f>
        <v>025273555</v>
      </c>
      <c r="E41" s="322" t="s">
        <v>209</v>
      </c>
      <c r="F41" s="202" t="str">
        <f>INDEX([3]SACOM!$C$7:$C$335,MATCH(B41,[3]SACOM!$B$7:$B$335,0))</f>
        <v>060310668179</v>
      </c>
      <c r="G41" s="462" t="s">
        <v>232</v>
      </c>
      <c r="H41" s="463">
        <v>4</v>
      </c>
      <c r="I41" s="464">
        <v>5417685</v>
      </c>
      <c r="J41" s="465"/>
      <c r="K41" s="464"/>
      <c r="L41" s="464">
        <f t="shared" si="0"/>
        <v>5417685</v>
      </c>
      <c r="M41" s="464">
        <v>12</v>
      </c>
      <c r="N41" s="464">
        <f t="shared" si="1"/>
        <v>2500470</v>
      </c>
      <c r="O41" s="464"/>
      <c r="P41" s="464">
        <f t="shared" si="2"/>
        <v>2917215</v>
      </c>
      <c r="Q41" s="464">
        <f t="shared" si="3"/>
        <v>433414.8</v>
      </c>
      <c r="R41" s="466">
        <f t="shared" si="4"/>
        <v>81265.274999999994</v>
      </c>
      <c r="S41" s="464">
        <f t="shared" si="5"/>
        <v>54176.85</v>
      </c>
      <c r="T41" s="466"/>
      <c r="U41" s="466">
        <f t="shared" si="6"/>
        <v>568856.92499999993</v>
      </c>
      <c r="V41" s="466"/>
      <c r="W41" s="467"/>
      <c r="X41" s="467"/>
      <c r="Y41" s="467"/>
      <c r="Z41" s="467"/>
      <c r="AA41" s="468">
        <f t="shared" si="7"/>
        <v>2348358.0750000002</v>
      </c>
      <c r="AB41" s="328">
        <f t="shared" ca="1" si="9"/>
        <v>28</v>
      </c>
      <c r="AC41" s="332" t="s">
        <v>396</v>
      </c>
      <c r="AD41" s="126" t="s">
        <v>170</v>
      </c>
      <c r="AE41" s="104"/>
      <c r="AF41" s="125"/>
      <c r="AG41" s="486"/>
      <c r="AK41" s="92"/>
    </row>
    <row r="42" spans="1:39" s="91" customFormat="1" ht="37.9" customHeight="1">
      <c r="A42" s="181">
        <f ca="1">_xlfn.AGGREGATE(4,7,A$12:A41)+1</f>
        <v>29</v>
      </c>
      <c r="B42" s="385" t="s">
        <v>371</v>
      </c>
      <c r="C42" s="99" t="s">
        <v>368</v>
      </c>
      <c r="D42" s="206"/>
      <c r="E42" s="188"/>
      <c r="F42" s="202" t="str">
        <f>INDEX([3]SACOM!$C$7:$C$335,MATCH(B42,[3]SACOM!$B$7:$B$335,0))</f>
        <v>060310987118</v>
      </c>
      <c r="G42" s="368" t="s">
        <v>231</v>
      </c>
      <c r="H42" s="369">
        <v>1</v>
      </c>
      <c r="I42" s="370">
        <v>5007600</v>
      </c>
      <c r="J42" s="371"/>
      <c r="K42" s="370"/>
      <c r="L42" s="370">
        <f t="shared" si="0"/>
        <v>5007600</v>
      </c>
      <c r="M42" s="370"/>
      <c r="N42" s="370">
        <f t="shared" si="1"/>
        <v>0</v>
      </c>
      <c r="O42" s="370"/>
      <c r="P42" s="370">
        <f t="shared" si="2"/>
        <v>5007600</v>
      </c>
      <c r="Q42" s="370">
        <f t="shared" si="3"/>
        <v>400608</v>
      </c>
      <c r="R42" s="372">
        <f t="shared" si="4"/>
        <v>75114</v>
      </c>
      <c r="S42" s="370">
        <f t="shared" si="5"/>
        <v>50076</v>
      </c>
      <c r="T42" s="372"/>
      <c r="U42" s="372">
        <f t="shared" si="6"/>
        <v>525798</v>
      </c>
      <c r="V42" s="372"/>
      <c r="W42" s="372"/>
      <c r="X42" s="372"/>
      <c r="Y42" s="372"/>
      <c r="Z42" s="372"/>
      <c r="AA42" s="378">
        <f t="shared" si="7"/>
        <v>4481802</v>
      </c>
      <c r="AB42" s="88">
        <f t="shared" ca="1" si="9"/>
        <v>29</v>
      </c>
      <c r="AC42" s="105"/>
      <c r="AD42" s="343" t="s">
        <v>369</v>
      </c>
      <c r="AE42" s="355"/>
      <c r="AF42" s="356"/>
      <c r="AG42" s="49"/>
      <c r="AH42" s="49"/>
      <c r="AI42" s="32"/>
      <c r="AJ42" s="32"/>
      <c r="AK42" s="351"/>
      <c r="AL42" s="32"/>
      <c r="AM42" s="32"/>
    </row>
    <row r="43" spans="1:39" s="486" customFormat="1" ht="31.9" customHeight="1">
      <c r="A43" s="181">
        <f ca="1">_xlfn.AGGREGATE(4,7,A$12:A42)+1</f>
        <v>30</v>
      </c>
      <c r="B43" s="385" t="s">
        <v>130</v>
      </c>
      <c r="C43" s="99" t="s">
        <v>10</v>
      </c>
      <c r="D43" s="206" t="str">
        <f>VLOOKUP(B43,[2]T3!$B$2:$D$328,3,FALSE)</f>
        <v>273417648</v>
      </c>
      <c r="E43" s="202" t="s">
        <v>205</v>
      </c>
      <c r="F43" s="202" t="str">
        <f>INDEX([3]SACOM!$C$7:$C$335,MATCH(B43,[3]SACOM!$B$7:$B$335,0))</f>
        <v>060310837061</v>
      </c>
      <c r="G43" s="375" t="s">
        <v>228</v>
      </c>
      <c r="H43" s="376">
        <v>4</v>
      </c>
      <c r="I43" s="370">
        <v>6563942</v>
      </c>
      <c r="J43" s="371"/>
      <c r="K43" s="370"/>
      <c r="L43" s="370">
        <f t="shared" si="0"/>
        <v>6563942</v>
      </c>
      <c r="M43" s="370"/>
      <c r="N43" s="370">
        <f t="shared" si="1"/>
        <v>0</v>
      </c>
      <c r="O43" s="370"/>
      <c r="P43" s="370">
        <f t="shared" si="2"/>
        <v>6563942</v>
      </c>
      <c r="Q43" s="370">
        <f t="shared" si="3"/>
        <v>525115.36</v>
      </c>
      <c r="R43" s="372">
        <f t="shared" si="4"/>
        <v>98459.12999999999</v>
      </c>
      <c r="S43" s="370">
        <f t="shared" si="5"/>
        <v>65639.42</v>
      </c>
      <c r="T43" s="372"/>
      <c r="U43" s="372">
        <f t="shared" si="6"/>
        <v>689213.91</v>
      </c>
      <c r="V43" s="372"/>
      <c r="W43" s="372"/>
      <c r="X43" s="370"/>
      <c r="Y43" s="370"/>
      <c r="Z43" s="372"/>
      <c r="AA43" s="378">
        <f t="shared" si="7"/>
        <v>5874728.0899999999</v>
      </c>
      <c r="AB43" s="88">
        <f t="shared" ca="1" si="9"/>
        <v>30</v>
      </c>
      <c r="AC43" s="89"/>
      <c r="AD43" s="104" t="s">
        <v>104</v>
      </c>
      <c r="AE43" s="96"/>
      <c r="AF43" s="107"/>
      <c r="AG43" s="97"/>
      <c r="AH43" s="97"/>
      <c r="AK43" s="98"/>
    </row>
    <row r="44" spans="1:39" s="91" customFormat="1" ht="31.5" customHeight="1">
      <c r="A44" s="181">
        <f ca="1">_xlfn.AGGREGATE(4,7,A$12:A43)+1</f>
        <v>31</v>
      </c>
      <c r="B44" s="385" t="s">
        <v>288</v>
      </c>
      <c r="C44" s="99" t="s">
        <v>289</v>
      </c>
      <c r="D44" s="206"/>
      <c r="E44" s="202"/>
      <c r="F44" s="202" t="str">
        <f>INDEX([3]SACOM!$C$7:$C$335,MATCH(B44,[3]SACOM!$B$7:$B$335,0))</f>
        <v>060311028599</v>
      </c>
      <c r="G44" s="368" t="s">
        <v>231</v>
      </c>
      <c r="H44" s="369">
        <v>2</v>
      </c>
      <c r="I44" s="370">
        <v>5257980</v>
      </c>
      <c r="J44" s="371"/>
      <c r="K44" s="370"/>
      <c r="L44" s="370">
        <f t="shared" si="0"/>
        <v>5257980</v>
      </c>
      <c r="M44" s="370"/>
      <c r="N44" s="370">
        <f t="shared" si="1"/>
        <v>0</v>
      </c>
      <c r="O44" s="370"/>
      <c r="P44" s="370">
        <f t="shared" si="2"/>
        <v>5257980</v>
      </c>
      <c r="Q44" s="370">
        <f t="shared" si="3"/>
        <v>420638.4</v>
      </c>
      <c r="R44" s="372">
        <f t="shared" si="4"/>
        <v>78869.7</v>
      </c>
      <c r="S44" s="370">
        <f t="shared" si="5"/>
        <v>52579.8</v>
      </c>
      <c r="T44" s="372"/>
      <c r="U44" s="372">
        <f t="shared" si="6"/>
        <v>552087.9</v>
      </c>
      <c r="V44" s="372"/>
      <c r="W44" s="374"/>
      <c r="X44" s="459"/>
      <c r="Y44" s="460"/>
      <c r="Z44" s="374"/>
      <c r="AA44" s="378">
        <f>P44-U44+W44+X45+Z44</f>
        <v>4705892.0999999996</v>
      </c>
      <c r="AB44" s="88">
        <f t="shared" ca="1" si="9"/>
        <v>31</v>
      </c>
      <c r="AC44" s="233"/>
      <c r="AD44" s="233" t="s">
        <v>287</v>
      </c>
      <c r="AE44" s="104"/>
      <c r="AF44" s="125"/>
      <c r="AG44" s="486"/>
      <c r="AK44" s="92"/>
    </row>
    <row r="45" spans="1:39" s="91" customFormat="1" ht="30" customHeight="1">
      <c r="A45" s="181">
        <f ca="1">_xlfn.AGGREGATE(4,7,A$12:A44)+1</f>
        <v>32</v>
      </c>
      <c r="B45" s="385" t="s">
        <v>129</v>
      </c>
      <c r="C45" s="99" t="s">
        <v>10</v>
      </c>
      <c r="D45" s="206" t="str">
        <f>VLOOKUP(B45,[2]T3!$B$2:$D$328,3,FALSE)</f>
        <v>250835904</v>
      </c>
      <c r="E45" s="202" t="s">
        <v>204</v>
      </c>
      <c r="F45" s="202" t="str">
        <f>INDEX([3]SACOM!$C$7:$C$335,MATCH(B45,[3]SACOM!$B$7:$B$335,0))</f>
        <v>060310750118</v>
      </c>
      <c r="G45" s="375" t="s">
        <v>228</v>
      </c>
      <c r="H45" s="376">
        <v>4</v>
      </c>
      <c r="I45" s="370">
        <v>6563942</v>
      </c>
      <c r="J45" s="371"/>
      <c r="K45" s="370"/>
      <c r="L45" s="370">
        <f t="shared" si="0"/>
        <v>6563942</v>
      </c>
      <c r="M45" s="370"/>
      <c r="N45" s="370">
        <f t="shared" si="1"/>
        <v>0</v>
      </c>
      <c r="O45" s="370"/>
      <c r="P45" s="370">
        <f t="shared" si="2"/>
        <v>6563942</v>
      </c>
      <c r="Q45" s="370">
        <f t="shared" si="3"/>
        <v>525115.36</v>
      </c>
      <c r="R45" s="372">
        <f t="shared" si="4"/>
        <v>98459.12999999999</v>
      </c>
      <c r="S45" s="370">
        <f t="shared" si="5"/>
        <v>65639.42</v>
      </c>
      <c r="T45" s="372"/>
      <c r="U45" s="372">
        <f t="shared" si="6"/>
        <v>689213.91</v>
      </c>
      <c r="V45" s="372"/>
      <c r="W45" s="372"/>
      <c r="X45" s="374"/>
      <c r="Y45" s="372"/>
      <c r="Z45" s="372"/>
      <c r="AA45" s="378">
        <f>P45-U45+W45+Y45+Z45</f>
        <v>5874728.0899999999</v>
      </c>
      <c r="AB45" s="88">
        <f t="shared" ca="1" si="9"/>
        <v>32</v>
      </c>
      <c r="AC45" s="89"/>
      <c r="AD45" s="108" t="s">
        <v>103</v>
      </c>
      <c r="AE45" s="96"/>
      <c r="AF45" s="107"/>
      <c r="AG45" s="97"/>
      <c r="AH45" s="97"/>
      <c r="AK45" s="98"/>
    </row>
    <row r="46" spans="1:39" s="91" customFormat="1" ht="42.75" customHeight="1">
      <c r="A46" s="181">
        <f ca="1">_xlfn.AGGREGATE(4,7,A$12:A45)+1</f>
        <v>33</v>
      </c>
      <c r="B46" s="385" t="s">
        <v>152</v>
      </c>
      <c r="C46" s="99" t="s">
        <v>390</v>
      </c>
      <c r="D46" s="204"/>
      <c r="E46" s="188"/>
      <c r="F46" s="202" t="str">
        <f>INDEX([3]SACOM!$C$7:$C$335,MATCH(B46,[3]SACOM!$B$7:$B$335,0))</f>
        <v>060987245810</v>
      </c>
      <c r="G46" s="375" t="s">
        <v>228</v>
      </c>
      <c r="H46" s="369">
        <v>12</v>
      </c>
      <c r="I46" s="370">
        <v>11278075</v>
      </c>
      <c r="J46" s="377">
        <v>0.11</v>
      </c>
      <c r="K46" s="371">
        <f>I46*J46</f>
        <v>1240588.25</v>
      </c>
      <c r="L46" s="370">
        <f t="shared" si="0"/>
        <v>12518663</v>
      </c>
      <c r="M46" s="370"/>
      <c r="N46" s="370">
        <f t="shared" si="1"/>
        <v>0</v>
      </c>
      <c r="O46" s="370"/>
      <c r="P46" s="370">
        <f t="shared" si="2"/>
        <v>12518663</v>
      </c>
      <c r="Q46" s="370">
        <f t="shared" si="3"/>
        <v>1001493.04</v>
      </c>
      <c r="R46" s="372">
        <f t="shared" si="4"/>
        <v>187779.94500000001</v>
      </c>
      <c r="S46" s="370">
        <f t="shared" si="5"/>
        <v>125186.63</v>
      </c>
      <c r="T46" s="372"/>
      <c r="U46" s="372">
        <f t="shared" si="6"/>
        <v>1314459.6150000002</v>
      </c>
      <c r="V46" s="372"/>
      <c r="W46" s="372"/>
      <c r="X46" s="372"/>
      <c r="Y46" s="372"/>
      <c r="Z46" s="372"/>
      <c r="AA46" s="378">
        <f>P46-U46+W46+Y46+Z46</f>
        <v>11204203.385</v>
      </c>
      <c r="AB46" s="88">
        <f t="shared" ca="1" si="9"/>
        <v>33</v>
      </c>
      <c r="AC46" s="89"/>
      <c r="AD46" s="104"/>
      <c r="AE46" s="485"/>
      <c r="AF46" s="486"/>
      <c r="AG46" s="486"/>
      <c r="AK46" s="92"/>
    </row>
    <row r="47" spans="1:39" s="486" customFormat="1" ht="39" customHeight="1">
      <c r="A47" s="181">
        <f ca="1">_xlfn.AGGREGATE(4,7,A$12:A46)+1</f>
        <v>34</v>
      </c>
      <c r="B47" s="385" t="s">
        <v>321</v>
      </c>
      <c r="C47" s="99" t="s">
        <v>390</v>
      </c>
      <c r="D47" s="206"/>
      <c r="E47" s="188"/>
      <c r="F47" s="202" t="str">
        <f>INDEX([3]SACOM!$C$7:$C$335,MATCH(B47,[3]SACOM!$B$7:$B$335,0))</f>
        <v>060310749136</v>
      </c>
      <c r="G47" s="368" t="s">
        <v>231</v>
      </c>
      <c r="H47" s="369">
        <v>5</v>
      </c>
      <c r="I47" s="370">
        <v>6086769</v>
      </c>
      <c r="J47" s="371"/>
      <c r="K47" s="370"/>
      <c r="L47" s="370">
        <f t="shared" si="0"/>
        <v>6086769</v>
      </c>
      <c r="M47" s="370"/>
      <c r="N47" s="370">
        <f t="shared" si="1"/>
        <v>0</v>
      </c>
      <c r="O47" s="370"/>
      <c r="P47" s="370">
        <f t="shared" si="2"/>
        <v>6086769</v>
      </c>
      <c r="Q47" s="370">
        <f t="shared" si="3"/>
        <v>486941.52</v>
      </c>
      <c r="R47" s="372">
        <f t="shared" si="4"/>
        <v>91301.535000000003</v>
      </c>
      <c r="S47" s="370">
        <f t="shared" si="5"/>
        <v>60867.69</v>
      </c>
      <c r="T47" s="372"/>
      <c r="U47" s="372">
        <f t="shared" si="6"/>
        <v>639110.74500000011</v>
      </c>
      <c r="V47" s="372"/>
      <c r="W47" s="372"/>
      <c r="X47" s="373"/>
      <c r="Y47" s="372"/>
      <c r="Z47" s="372"/>
      <c r="AA47" s="378">
        <f>P47-U47+W47+Y47+Z47</f>
        <v>5447658.2549999999</v>
      </c>
      <c r="AB47" s="88">
        <f t="shared" ref="AB47:AB49" ca="1" si="10">A47</f>
        <v>34</v>
      </c>
      <c r="AC47" s="89"/>
      <c r="AD47" s="89"/>
      <c r="AE47" s="107"/>
      <c r="AF47" s="103"/>
      <c r="AK47" s="485"/>
    </row>
    <row r="48" spans="1:39" s="486" customFormat="1" ht="39" customHeight="1">
      <c r="A48" s="181">
        <f ca="1">_xlfn.AGGREGATE(4,7,A$12:A47)+1</f>
        <v>35</v>
      </c>
      <c r="B48" s="441" t="s">
        <v>387</v>
      </c>
      <c r="C48" s="469" t="s">
        <v>388</v>
      </c>
      <c r="D48" s="243"/>
      <c r="E48" s="339"/>
      <c r="F48" s="202" t="str">
        <f>INDEX([3]SACOM!$C$7:$C$335,MATCH(B48,[3]SACOM!$B$7:$B$335,0))</f>
        <v>060311078200</v>
      </c>
      <c r="G48" s="442" t="s">
        <v>231</v>
      </c>
      <c r="H48" s="443">
        <v>1</v>
      </c>
      <c r="I48" s="444">
        <v>5007600</v>
      </c>
      <c r="J48" s="445"/>
      <c r="K48" s="444"/>
      <c r="L48" s="444">
        <f t="shared" si="0"/>
        <v>5007600</v>
      </c>
      <c r="M48" s="444"/>
      <c r="N48" s="370">
        <f t="shared" si="1"/>
        <v>0</v>
      </c>
      <c r="O48" s="444"/>
      <c r="P48" s="444">
        <f t="shared" si="2"/>
        <v>5007600</v>
      </c>
      <c r="Q48" s="444">
        <f t="shared" si="3"/>
        <v>400608</v>
      </c>
      <c r="R48" s="446">
        <f t="shared" si="4"/>
        <v>75114</v>
      </c>
      <c r="S48" s="444">
        <f t="shared" si="5"/>
        <v>50076</v>
      </c>
      <c r="T48" s="446"/>
      <c r="U48" s="446">
        <f t="shared" si="6"/>
        <v>525798</v>
      </c>
      <c r="V48" s="446"/>
      <c r="W48" s="446"/>
      <c r="X48" s="447"/>
      <c r="Y48" s="446"/>
      <c r="Z48" s="446"/>
      <c r="AA48" s="448">
        <f>P48-U48+W48+Y48+Z48</f>
        <v>4481802</v>
      </c>
      <c r="AB48" s="88">
        <f t="shared" ca="1" si="10"/>
        <v>35</v>
      </c>
      <c r="AC48" s="107" t="s">
        <v>389</v>
      </c>
      <c r="AD48" s="107"/>
      <c r="AE48" s="125"/>
      <c r="AF48" s="103"/>
      <c r="AK48" s="485"/>
    </row>
    <row r="49" spans="1:39" s="91" customFormat="1" ht="34.9" customHeight="1">
      <c r="A49" s="181">
        <f ca="1">_xlfn.AGGREGATE(4,7,A$12:A48)+1</f>
        <v>36</v>
      </c>
      <c r="B49" s="424" t="s">
        <v>266</v>
      </c>
      <c r="C49" s="252" t="s">
        <v>267</v>
      </c>
      <c r="D49" s="208"/>
      <c r="E49" s="253"/>
      <c r="F49" s="253" t="str">
        <f>INDEX([3]SACOM!$C$7:$C$335,MATCH(B49,[3]SACOM!$B$7:$B$335,0))</f>
        <v>060263702789</v>
      </c>
      <c r="G49" s="425" t="s">
        <v>228</v>
      </c>
      <c r="H49" s="426">
        <v>11</v>
      </c>
      <c r="I49" s="427">
        <v>10540257</v>
      </c>
      <c r="J49" s="428"/>
      <c r="K49" s="427"/>
      <c r="L49" s="427">
        <f t="shared" si="0"/>
        <v>10540257</v>
      </c>
      <c r="M49" s="427"/>
      <c r="N49" s="370">
        <f t="shared" si="1"/>
        <v>0</v>
      </c>
      <c r="O49" s="427"/>
      <c r="P49" s="427">
        <f t="shared" si="2"/>
        <v>10540257</v>
      </c>
      <c r="Q49" s="427">
        <v>0</v>
      </c>
      <c r="R49" s="429">
        <v>0</v>
      </c>
      <c r="S49" s="427">
        <v>0</v>
      </c>
      <c r="T49" s="429"/>
      <c r="U49" s="429">
        <f t="shared" si="6"/>
        <v>0</v>
      </c>
      <c r="V49" s="429"/>
      <c r="W49" s="430"/>
      <c r="X49" s="430"/>
      <c r="Y49" s="430"/>
      <c r="Z49" s="430"/>
      <c r="AA49" s="431">
        <f>P49-U49+W49+Y49+Z49</f>
        <v>10540257</v>
      </c>
      <c r="AB49" s="88">
        <f t="shared" ca="1" si="10"/>
        <v>36</v>
      </c>
      <c r="AC49" s="260"/>
      <c r="AD49" s="233" t="s">
        <v>264</v>
      </c>
      <c r="AE49" s="654" t="s">
        <v>308</v>
      </c>
      <c r="AF49" s="655"/>
      <c r="AG49" s="655"/>
      <c r="AK49" s="92"/>
    </row>
    <row r="50" spans="1:39" s="91" customFormat="1" ht="30.75" customHeight="1">
      <c r="A50" s="181">
        <f ca="1">_xlfn.AGGREGATE(4,7,A$12:A49)+1</f>
        <v>37</v>
      </c>
      <c r="B50" s="519"/>
      <c r="C50" s="520"/>
      <c r="D50" s="521"/>
      <c r="E50" s="522"/>
      <c r="F50" s="522"/>
      <c r="G50" s="523"/>
      <c r="H50" s="524"/>
      <c r="I50" s="525"/>
      <c r="J50" s="526"/>
      <c r="K50" s="525"/>
      <c r="L50" s="525"/>
      <c r="M50" s="525"/>
      <c r="N50" s="527"/>
      <c r="O50" s="525"/>
      <c r="P50" s="525"/>
      <c r="Q50" s="525"/>
      <c r="R50" s="528"/>
      <c r="S50" s="525"/>
      <c r="T50" s="528"/>
      <c r="U50" s="528"/>
      <c r="V50" s="528"/>
      <c r="W50" s="529"/>
      <c r="X50" s="529"/>
      <c r="Y50" s="529"/>
      <c r="Z50" s="529"/>
      <c r="AA50" s="530"/>
      <c r="AB50" s="531"/>
      <c r="AC50" s="532"/>
      <c r="AD50" s="533"/>
      <c r="AE50" s="487"/>
      <c r="AF50" s="488"/>
      <c r="AG50" s="488"/>
      <c r="AK50" s="92"/>
    </row>
    <row r="51" spans="1:39" ht="33" customHeight="1">
      <c r="A51" s="75"/>
      <c r="B51" s="489" t="s">
        <v>11</v>
      </c>
      <c r="C51" s="141"/>
      <c r="D51" s="141"/>
      <c r="E51" s="496"/>
      <c r="F51" s="496"/>
      <c r="G51" s="379"/>
      <c r="H51" s="380">
        <f>SUM(H14:H49)</f>
        <v>143</v>
      </c>
      <c r="I51" s="381">
        <f>SUM(I14:I49)+1</f>
        <v>232158828</v>
      </c>
      <c r="J51" s="382">
        <f>SUM(J16:J47)</f>
        <v>0.11</v>
      </c>
      <c r="K51" s="381">
        <f>SUM(K14:K49)</f>
        <v>1240588.25</v>
      </c>
      <c r="L51" s="381">
        <f>SUM(L14:L49)+1</f>
        <v>233399416</v>
      </c>
      <c r="M51" s="381"/>
      <c r="N51" s="381">
        <f>SUM(N14:N49)</f>
        <v>2500470</v>
      </c>
      <c r="O51" s="381">
        <f>SUM(O14:O49)</f>
        <v>0</v>
      </c>
      <c r="P51" s="381">
        <f>SUM(P14:P49)+1</f>
        <v>230898946</v>
      </c>
      <c r="Q51" s="381">
        <f>SUM(Q14:Q49)</f>
        <v>17828732.640000001</v>
      </c>
      <c r="R51" s="381">
        <f>SUM(R14:R49)</f>
        <v>3342887.3699999992</v>
      </c>
      <c r="S51" s="381">
        <f>SUM(S14:S49)+1</f>
        <v>2228592.58</v>
      </c>
      <c r="T51" s="382">
        <f>SUM(T14:T49)</f>
        <v>0</v>
      </c>
      <c r="U51" s="381">
        <f>SUM(U14:U49)+1</f>
        <v>23400212.59</v>
      </c>
      <c r="V51" s="383">
        <f t="shared" ref="V51:AA51" si="11">SUM(V14:V49)</f>
        <v>0</v>
      </c>
      <c r="W51" s="381">
        <f t="shared" si="11"/>
        <v>0</v>
      </c>
      <c r="X51" s="383">
        <f t="shared" si="11"/>
        <v>0</v>
      </c>
      <c r="Y51" s="381">
        <f t="shared" si="11"/>
        <v>0</v>
      </c>
      <c r="Z51" s="384">
        <f t="shared" si="11"/>
        <v>0</v>
      </c>
      <c r="AA51" s="381">
        <f t="shared" si="11"/>
        <v>207498733.40999994</v>
      </c>
      <c r="AB51" s="77"/>
      <c r="AC51" s="78"/>
      <c r="AD51" s="79"/>
      <c r="AE51" s="60" t="s">
        <v>65</v>
      </c>
      <c r="AF51" s="49"/>
      <c r="AG51" s="49"/>
    </row>
    <row r="52" spans="1:39" ht="44.25" hidden="1" customHeight="1">
      <c r="A52" s="512"/>
      <c r="B52" s="123"/>
      <c r="C52" s="142"/>
      <c r="D52" s="142"/>
      <c r="E52" s="183"/>
      <c r="F52" s="183"/>
      <c r="G52" s="37"/>
      <c r="H52" s="495"/>
      <c r="I52" s="42"/>
      <c r="J52" s="495"/>
      <c r="K52" s="42"/>
      <c r="L52" s="42"/>
      <c r="M52" s="42"/>
      <c r="N52" s="42"/>
      <c r="O52" s="42"/>
      <c r="P52" s="42"/>
      <c r="Q52" s="274">
        <v>21574227</v>
      </c>
      <c r="R52" s="274">
        <v>4045167</v>
      </c>
      <c r="S52" s="274">
        <v>2696778</v>
      </c>
      <c r="T52" s="273"/>
      <c r="U52" s="274">
        <v>28316172</v>
      </c>
      <c r="V52" s="273"/>
      <c r="W52" s="273"/>
      <c r="X52" s="273"/>
      <c r="Y52" s="273"/>
      <c r="Z52" s="273"/>
      <c r="AA52" s="274">
        <v>255377566</v>
      </c>
      <c r="AB52" s="44"/>
      <c r="AC52" s="57"/>
      <c r="AD52" s="57"/>
      <c r="AE52" s="58"/>
      <c r="AF52" s="58"/>
      <c r="AG52" s="58"/>
    </row>
    <row r="53" spans="1:39" s="32" customFormat="1" ht="12.6" customHeight="1">
      <c r="A53" s="387"/>
      <c r="B53" s="388"/>
      <c r="C53" s="389"/>
      <c r="D53" s="389"/>
      <c r="E53" s="390"/>
      <c r="F53" s="390"/>
      <c r="G53" s="391"/>
      <c r="H53" s="392"/>
      <c r="I53" s="388"/>
      <c r="J53" s="392"/>
      <c r="K53" s="388"/>
      <c r="L53" s="388"/>
      <c r="M53" s="388"/>
      <c r="N53" s="388"/>
      <c r="O53" s="388"/>
      <c r="P53" s="388"/>
      <c r="Q53" s="393"/>
      <c r="R53" s="393"/>
      <c r="S53" s="393"/>
      <c r="T53" s="388"/>
      <c r="U53" s="393"/>
      <c r="V53" s="388"/>
      <c r="W53" s="388"/>
      <c r="X53" s="388"/>
      <c r="Y53" s="388"/>
      <c r="Z53" s="388"/>
      <c r="AA53" s="393"/>
      <c r="AB53" s="394"/>
      <c r="AC53" s="352"/>
      <c r="AD53" s="352"/>
      <c r="AE53" s="58"/>
      <c r="AF53" s="58"/>
      <c r="AG53" s="58"/>
      <c r="AK53" s="48"/>
    </row>
    <row r="54" spans="1:39" s="32" customFormat="1" ht="18.75" customHeight="1">
      <c r="A54" s="503"/>
      <c r="B54" s="480" t="s">
        <v>12</v>
      </c>
      <c r="C54" s="344" t="s">
        <v>397</v>
      </c>
      <c r="D54" s="344"/>
      <c r="E54" s="395"/>
      <c r="F54" s="395"/>
      <c r="G54" s="396"/>
      <c r="H54" s="396"/>
      <c r="I54" s="396"/>
      <c r="J54" s="508"/>
      <c r="K54" s="396"/>
      <c r="L54" s="396"/>
      <c r="M54" s="396"/>
      <c r="N54" s="396"/>
      <c r="O54" s="396"/>
      <c r="P54" s="396"/>
      <c r="Q54" s="396"/>
      <c r="R54" s="396"/>
      <c r="S54" s="345"/>
      <c r="T54" s="345"/>
      <c r="U54" s="345"/>
      <c r="V54" s="345"/>
      <c r="W54" s="345"/>
      <c r="X54" s="345"/>
      <c r="Y54" s="345"/>
      <c r="Z54" s="345"/>
      <c r="AA54" s="345"/>
      <c r="AB54" s="344"/>
      <c r="AC54" s="398"/>
      <c r="AD54" s="398"/>
      <c r="AE54" s="58"/>
      <c r="AF54" s="49"/>
      <c r="AG54" s="49"/>
      <c r="AK54" s="48"/>
    </row>
    <row r="55" spans="1:39" s="32" customFormat="1" ht="7.5" customHeight="1">
      <c r="A55" s="503"/>
      <c r="B55" s="480"/>
      <c r="C55" s="399"/>
      <c r="D55" s="399"/>
      <c r="E55" s="400"/>
      <c r="F55" s="400"/>
      <c r="G55" s="401"/>
      <c r="H55" s="401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709"/>
      <c r="AC55" s="709"/>
      <c r="AD55" s="504"/>
      <c r="AE55" s="696" t="e">
        <f>1000000-#REF!</f>
        <v>#REF!</v>
      </c>
      <c r="AF55" s="694"/>
      <c r="AG55" s="694"/>
      <c r="AK55" s="48"/>
    </row>
    <row r="56" spans="1:39" s="505" customFormat="1" ht="21" customHeight="1">
      <c r="C56" s="409"/>
      <c r="D56" s="409"/>
      <c r="E56" s="410"/>
      <c r="F56" s="410"/>
      <c r="J56" s="506"/>
      <c r="S56" s="703" t="s">
        <v>394</v>
      </c>
      <c r="T56" s="703"/>
      <c r="U56" s="703"/>
      <c r="V56" s="703"/>
      <c r="W56" s="703"/>
      <c r="X56" s="703"/>
      <c r="Y56" s="703"/>
      <c r="Z56" s="703"/>
      <c r="AA56" s="703"/>
      <c r="AB56" s="703"/>
      <c r="AC56" s="703"/>
      <c r="AD56" s="704"/>
      <c r="AE56" s="700"/>
      <c r="AF56" s="700"/>
      <c r="AG56" s="700"/>
      <c r="AK56" s="412"/>
    </row>
    <row r="57" spans="1:39" s="505" customFormat="1" ht="15.75" customHeight="1">
      <c r="A57" s="701" t="s">
        <v>13</v>
      </c>
      <c r="B57" s="701"/>
      <c r="C57" s="701"/>
      <c r="D57" s="701"/>
      <c r="E57" s="701"/>
      <c r="F57" s="701"/>
      <c r="G57" s="701"/>
      <c r="H57" s="701"/>
      <c r="I57" s="701" t="s">
        <v>169</v>
      </c>
      <c r="J57" s="701"/>
      <c r="K57" s="701"/>
      <c r="L57" s="701"/>
      <c r="M57" s="701"/>
      <c r="N57" s="701"/>
      <c r="O57" s="701"/>
      <c r="P57" s="701"/>
      <c r="Q57" s="701"/>
      <c r="R57" s="701"/>
      <c r="S57" s="701" t="s">
        <v>14</v>
      </c>
      <c r="T57" s="701"/>
      <c r="U57" s="701"/>
      <c r="V57" s="701"/>
      <c r="W57" s="701"/>
      <c r="X57" s="701"/>
      <c r="Y57" s="701"/>
      <c r="Z57" s="701"/>
      <c r="AA57" s="701"/>
      <c r="AB57" s="701"/>
      <c r="AC57" s="701"/>
      <c r="AD57" s="705"/>
      <c r="AE57" s="702"/>
      <c r="AF57" s="702"/>
      <c r="AG57" s="702"/>
      <c r="AK57" s="412"/>
    </row>
    <row r="58" spans="1:39" s="505" customFormat="1" ht="15.75" customHeight="1">
      <c r="B58" s="506"/>
      <c r="C58" s="409"/>
      <c r="D58" s="409"/>
      <c r="E58" s="410"/>
      <c r="F58" s="410"/>
      <c r="I58" s="506"/>
      <c r="J58" s="506"/>
      <c r="K58" s="506"/>
      <c r="L58" s="506"/>
      <c r="M58" s="506"/>
      <c r="N58" s="506"/>
      <c r="O58" s="506"/>
      <c r="P58" s="506"/>
      <c r="Q58" s="413"/>
      <c r="R58" s="506"/>
      <c r="S58" s="506"/>
      <c r="T58" s="506"/>
      <c r="U58" s="506"/>
      <c r="V58" s="506"/>
      <c r="AB58" s="698"/>
      <c r="AC58" s="698"/>
      <c r="AD58" s="506"/>
      <c r="AE58" s="700"/>
      <c r="AF58" s="700"/>
      <c r="AG58" s="700"/>
      <c r="AK58" s="412"/>
    </row>
    <row r="59" spans="1:39" s="505" customFormat="1" ht="15.75" customHeight="1">
      <c r="C59" s="409"/>
      <c r="D59" s="409"/>
      <c r="E59" s="410"/>
      <c r="F59" s="410"/>
      <c r="I59" s="506"/>
      <c r="J59" s="506"/>
      <c r="K59" s="506"/>
      <c r="L59" s="506"/>
      <c r="M59" s="506"/>
      <c r="N59" s="506"/>
      <c r="O59" s="506"/>
      <c r="P59" s="506"/>
      <c r="Q59" s="506"/>
      <c r="S59" s="414"/>
      <c r="T59" s="414"/>
      <c r="U59" s="414"/>
      <c r="V59" s="414"/>
      <c r="W59" s="414"/>
      <c r="X59" s="414"/>
      <c r="Y59" s="414"/>
      <c r="Z59" s="414"/>
      <c r="AA59" s="414"/>
      <c r="AB59" s="414"/>
      <c r="AC59" s="414"/>
      <c r="AD59" s="414"/>
      <c r="AE59" s="414"/>
      <c r="AF59" s="415"/>
      <c r="AG59" s="415"/>
      <c r="AH59" s="415"/>
      <c r="AI59" s="415"/>
      <c r="AJ59" s="415"/>
      <c r="AK59" s="415"/>
      <c r="AL59" s="415"/>
      <c r="AM59" s="415"/>
    </row>
    <row r="60" spans="1:39" s="505" customFormat="1" ht="15.75" customHeight="1">
      <c r="C60" s="409"/>
      <c r="D60" s="409"/>
      <c r="E60" s="410"/>
      <c r="F60" s="410"/>
      <c r="I60" s="506"/>
      <c r="J60" s="506"/>
      <c r="K60" s="506"/>
      <c r="L60" s="506"/>
      <c r="M60" s="506"/>
      <c r="N60" s="506"/>
      <c r="O60" s="506"/>
      <c r="P60" s="506"/>
      <c r="Q60" s="506"/>
      <c r="R60" s="506"/>
      <c r="S60" s="506"/>
      <c r="T60" s="506"/>
      <c r="U60" s="506"/>
      <c r="V60" s="506"/>
      <c r="AC60" s="415"/>
      <c r="AD60" s="415"/>
      <c r="AE60" s="415"/>
      <c r="AF60" s="415"/>
      <c r="AG60" s="415"/>
      <c r="AH60" s="415"/>
      <c r="AI60" s="415"/>
      <c r="AJ60" s="415"/>
      <c r="AK60" s="415"/>
      <c r="AL60" s="415"/>
      <c r="AM60" s="415"/>
    </row>
    <row r="61" spans="1:39" s="505" customFormat="1" ht="9.75" customHeight="1">
      <c r="C61" s="409"/>
      <c r="D61" s="409"/>
      <c r="E61" s="410"/>
      <c r="F61" s="410"/>
      <c r="I61" s="506"/>
      <c r="J61" s="506"/>
      <c r="K61" s="506"/>
      <c r="L61" s="506"/>
      <c r="M61" s="506"/>
      <c r="N61" s="506"/>
      <c r="O61" s="506"/>
      <c r="P61" s="506"/>
      <c r="Q61" s="506"/>
      <c r="R61" s="506"/>
      <c r="S61" s="506"/>
      <c r="T61" s="506"/>
      <c r="U61" s="506"/>
      <c r="V61" s="506"/>
      <c r="AB61" s="698"/>
      <c r="AC61" s="698"/>
      <c r="AD61" s="506"/>
      <c r="AE61" s="699"/>
      <c r="AF61" s="700"/>
      <c r="AG61" s="700"/>
      <c r="AK61" s="412"/>
    </row>
    <row r="62" spans="1:39" s="505" customFormat="1" ht="15.75" customHeight="1">
      <c r="C62" s="409"/>
      <c r="D62" s="409"/>
      <c r="E62" s="410"/>
      <c r="F62" s="410"/>
      <c r="I62" s="506"/>
      <c r="J62" s="506"/>
      <c r="K62" s="506"/>
      <c r="L62" s="506"/>
      <c r="M62" s="506"/>
      <c r="N62" s="506"/>
      <c r="O62" s="506"/>
      <c r="P62" s="506"/>
      <c r="Q62" s="506"/>
      <c r="R62" s="506"/>
      <c r="S62" s="506"/>
      <c r="T62" s="506"/>
      <c r="U62" s="506"/>
      <c r="V62" s="506"/>
      <c r="AB62" s="698"/>
      <c r="AC62" s="698"/>
      <c r="AD62" s="506"/>
      <c r="AE62" s="699"/>
      <c r="AF62" s="700"/>
      <c r="AG62" s="700"/>
      <c r="AK62" s="412"/>
    </row>
    <row r="63" spans="1:39" s="505" customFormat="1" ht="15.75" customHeight="1">
      <c r="C63" s="409"/>
      <c r="D63" s="409"/>
      <c r="E63" s="410"/>
      <c r="F63" s="410"/>
      <c r="I63" s="506"/>
      <c r="J63" s="506"/>
      <c r="K63" s="506"/>
      <c r="L63" s="506"/>
      <c r="M63" s="506"/>
      <c r="N63" s="506"/>
      <c r="O63" s="506"/>
      <c r="P63" s="506"/>
      <c r="Q63" s="506"/>
      <c r="R63" s="506"/>
      <c r="S63" s="506"/>
      <c r="T63" s="506"/>
      <c r="U63" s="506"/>
      <c r="V63" s="506"/>
      <c r="AB63" s="698"/>
      <c r="AC63" s="698"/>
      <c r="AD63" s="506"/>
      <c r="AE63" s="699"/>
      <c r="AF63" s="700"/>
      <c r="AG63" s="700"/>
      <c r="AK63" s="412"/>
    </row>
    <row r="64" spans="1:39" s="505" customFormat="1" ht="15.75" customHeight="1">
      <c r="A64" s="701" t="s">
        <v>211</v>
      </c>
      <c r="B64" s="701"/>
      <c r="C64" s="701"/>
      <c r="D64" s="701"/>
      <c r="E64" s="701"/>
      <c r="F64" s="701"/>
      <c r="G64" s="701"/>
      <c r="H64" s="701"/>
      <c r="I64" s="701" t="s">
        <v>109</v>
      </c>
      <c r="J64" s="701"/>
      <c r="K64" s="701"/>
      <c r="L64" s="701"/>
      <c r="M64" s="701"/>
      <c r="N64" s="701"/>
      <c r="O64" s="701"/>
      <c r="P64" s="701"/>
      <c r="Q64" s="701"/>
      <c r="R64" s="701"/>
      <c r="S64" s="701" t="s">
        <v>107</v>
      </c>
      <c r="T64" s="701"/>
      <c r="U64" s="701"/>
      <c r="V64" s="701"/>
      <c r="W64" s="701"/>
      <c r="X64" s="701"/>
      <c r="Y64" s="701"/>
      <c r="Z64" s="701"/>
      <c r="AA64" s="701"/>
      <c r="AB64" s="701"/>
      <c r="AC64" s="701"/>
      <c r="AD64" s="507"/>
      <c r="AE64" s="702"/>
      <c r="AF64" s="702"/>
      <c r="AG64" s="702"/>
      <c r="AK64" s="412"/>
    </row>
    <row r="65" spans="1:37" s="32" customFormat="1">
      <c r="A65" s="403"/>
      <c r="B65" s="404"/>
      <c r="C65" s="405"/>
      <c r="D65" s="405"/>
      <c r="E65" s="406"/>
      <c r="F65" s="406"/>
      <c r="G65" s="404"/>
      <c r="H65" s="404"/>
      <c r="I65" s="404"/>
      <c r="J65" s="509"/>
      <c r="K65" s="404"/>
      <c r="L65" s="404"/>
      <c r="M65" s="404"/>
      <c r="N65" s="404"/>
      <c r="O65" s="404"/>
      <c r="P65" s="404"/>
      <c r="Q65" s="404"/>
      <c r="R65" s="404"/>
      <c r="S65" s="404"/>
      <c r="T65" s="404"/>
      <c r="U65" s="404"/>
      <c r="V65" s="404"/>
      <c r="W65" s="404"/>
      <c r="X65" s="404"/>
      <c r="Y65" s="404"/>
      <c r="Z65" s="404"/>
      <c r="AA65" s="404"/>
      <c r="AB65" s="695"/>
      <c r="AC65" s="695"/>
      <c r="AD65" s="509"/>
      <c r="AE65" s="696"/>
      <c r="AF65" s="694"/>
      <c r="AG65" s="694"/>
      <c r="AK65" s="48"/>
    </row>
    <row r="66" spans="1:37" s="32" customFormat="1">
      <c r="A66" s="503"/>
      <c r="B66" s="503"/>
      <c r="C66" s="408"/>
      <c r="D66" s="408"/>
      <c r="E66" s="395"/>
      <c r="F66" s="395"/>
      <c r="G66" s="396"/>
      <c r="H66" s="396"/>
      <c r="I66" s="396"/>
      <c r="J66" s="508"/>
      <c r="K66" s="396"/>
      <c r="L66" s="396"/>
      <c r="M66" s="396"/>
      <c r="N66" s="396"/>
      <c r="O66" s="396"/>
      <c r="P66" s="396"/>
      <c r="Q66" s="396"/>
      <c r="R66" s="396"/>
      <c r="S66" s="396"/>
      <c r="T66" s="396"/>
      <c r="U66" s="396"/>
      <c r="V66" s="396"/>
      <c r="W66" s="396"/>
      <c r="X66" s="396"/>
      <c r="Y66" s="396"/>
      <c r="Z66" s="396"/>
      <c r="AA66" s="396"/>
      <c r="AB66" s="697"/>
      <c r="AC66" s="697"/>
      <c r="AD66" s="508"/>
      <c r="AE66" s="694"/>
      <c r="AF66" s="694"/>
      <c r="AG66" s="694"/>
      <c r="AK66" s="48"/>
    </row>
    <row r="67" spans="1:37" s="32" customFormat="1">
      <c r="A67" s="503"/>
      <c r="B67" s="503"/>
      <c r="C67" s="408"/>
      <c r="D67" s="408"/>
      <c r="E67" s="395"/>
      <c r="F67" s="395"/>
      <c r="G67" s="396"/>
      <c r="H67" s="396"/>
      <c r="I67" s="396"/>
      <c r="J67" s="508"/>
      <c r="K67" s="396"/>
      <c r="L67" s="396"/>
      <c r="M67" s="396"/>
      <c r="N67" s="396"/>
      <c r="O67" s="396"/>
      <c r="P67" s="396"/>
      <c r="Q67" s="396"/>
      <c r="R67" s="396"/>
      <c r="S67" s="396"/>
      <c r="T67" s="396"/>
      <c r="U67" s="396"/>
      <c r="V67" s="396"/>
      <c r="W67" s="396"/>
      <c r="X67" s="396"/>
      <c r="Y67" s="396"/>
      <c r="Z67" s="396"/>
      <c r="AA67" s="396"/>
      <c r="AB67" s="697"/>
      <c r="AC67" s="697"/>
      <c r="AD67" s="508"/>
      <c r="AE67" s="694"/>
      <c r="AF67" s="694"/>
      <c r="AG67" s="694"/>
      <c r="AK67" s="48"/>
    </row>
    <row r="68" spans="1:37">
      <c r="A68" s="481"/>
      <c r="B68" s="481"/>
      <c r="AB68" s="646"/>
      <c r="AC68" s="646"/>
      <c r="AD68" s="482"/>
      <c r="AE68" s="694"/>
      <c r="AF68" s="694"/>
      <c r="AG68" s="694"/>
    </row>
    <row r="69" spans="1:37">
      <c r="A69" s="481"/>
      <c r="B69" s="481"/>
      <c r="AB69" s="646"/>
      <c r="AC69" s="646"/>
      <c r="AD69" s="482"/>
      <c r="AE69" s="694"/>
      <c r="AF69" s="694"/>
      <c r="AG69" s="694"/>
    </row>
    <row r="70" spans="1:37">
      <c r="A70" s="481"/>
      <c r="B70" s="481"/>
      <c r="AB70" s="646"/>
      <c r="AC70" s="646"/>
      <c r="AD70" s="482"/>
      <c r="AE70" s="694"/>
      <c r="AF70" s="694"/>
      <c r="AG70" s="694"/>
    </row>
    <row r="71" spans="1:37">
      <c r="A71" s="481"/>
      <c r="B71" s="481"/>
      <c r="AB71" s="646"/>
      <c r="AC71" s="646"/>
      <c r="AD71" s="482"/>
      <c r="AE71" s="694"/>
      <c r="AF71" s="694"/>
      <c r="AG71" s="694"/>
    </row>
    <row r="72" spans="1:37">
      <c r="A72" s="481"/>
      <c r="B72" s="481"/>
      <c r="AB72" s="646"/>
      <c r="AC72" s="646"/>
      <c r="AD72" s="482"/>
      <c r="AE72" s="694"/>
      <c r="AF72" s="694"/>
      <c r="AG72" s="694"/>
    </row>
    <row r="73" spans="1:37">
      <c r="A73" s="481"/>
      <c r="B73" s="481"/>
      <c r="AB73" s="646"/>
      <c r="AC73" s="646"/>
      <c r="AD73" s="482"/>
      <c r="AE73" s="694"/>
      <c r="AF73" s="694"/>
      <c r="AG73" s="694"/>
    </row>
    <row r="74" spans="1:37">
      <c r="A74" s="481"/>
      <c r="B74" s="481"/>
      <c r="AB74" s="646"/>
      <c r="AC74" s="646"/>
      <c r="AD74" s="482"/>
      <c r="AE74" s="694"/>
      <c r="AF74" s="694"/>
      <c r="AG74" s="694"/>
    </row>
    <row r="75" spans="1:37">
      <c r="A75" s="481"/>
      <c r="B75" s="481"/>
      <c r="AB75" s="646"/>
      <c r="AC75" s="646"/>
      <c r="AD75" s="482"/>
      <c r="AE75" s="694"/>
      <c r="AF75" s="694"/>
      <c r="AG75" s="694"/>
    </row>
    <row r="76" spans="1:37">
      <c r="A76" s="481"/>
      <c r="B76" s="481"/>
      <c r="AB76" s="646"/>
      <c r="AC76" s="646"/>
      <c r="AD76" s="482"/>
      <c r="AE76" s="694"/>
      <c r="AF76" s="694"/>
      <c r="AG76" s="694"/>
    </row>
    <row r="77" spans="1:37">
      <c r="A77" s="481"/>
      <c r="B77" s="481"/>
      <c r="AB77" s="646"/>
      <c r="AC77" s="646"/>
      <c r="AD77" s="482"/>
      <c r="AE77" s="694"/>
      <c r="AF77" s="694"/>
      <c r="AG77" s="694"/>
    </row>
    <row r="78" spans="1:37">
      <c r="A78" s="481"/>
      <c r="B78" s="481"/>
      <c r="AB78" s="646"/>
      <c r="AC78" s="646"/>
      <c r="AD78" s="482"/>
      <c r="AE78" s="694"/>
      <c r="AF78" s="694"/>
      <c r="AG78" s="694"/>
    </row>
    <row r="79" spans="1:37">
      <c r="A79" s="481"/>
      <c r="B79" s="481"/>
      <c r="AB79" s="646"/>
      <c r="AC79" s="646"/>
      <c r="AD79" s="482"/>
      <c r="AE79" s="694"/>
      <c r="AF79" s="694"/>
      <c r="AG79" s="694"/>
    </row>
    <row r="80" spans="1:37">
      <c r="A80" s="481"/>
      <c r="B80" s="481"/>
      <c r="AB80" s="646"/>
      <c r="AC80" s="646"/>
      <c r="AD80" s="482"/>
      <c r="AE80" s="694"/>
      <c r="AF80" s="694"/>
      <c r="AG80" s="694"/>
    </row>
    <row r="81" spans="1:33">
      <c r="A81" s="481"/>
      <c r="B81" s="481"/>
      <c r="AB81" s="646"/>
      <c r="AC81" s="646"/>
      <c r="AD81" s="482"/>
      <c r="AE81" s="694"/>
      <c r="AF81" s="694"/>
      <c r="AG81" s="694"/>
    </row>
    <row r="82" spans="1:33">
      <c r="A82" s="481"/>
      <c r="B82" s="481"/>
      <c r="AB82" s="646"/>
      <c r="AC82" s="646"/>
      <c r="AD82" s="482"/>
      <c r="AE82" s="694"/>
      <c r="AF82" s="694"/>
      <c r="AG82" s="694"/>
    </row>
  </sheetData>
  <mergeCells count="95">
    <mergeCell ref="AH3:AI3"/>
    <mergeCell ref="A1:H1"/>
    <mergeCell ref="A2:H2"/>
    <mergeCell ref="Q3:AA3"/>
    <mergeCell ref="AB3:AC3"/>
    <mergeCell ref="AF3:AG3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AB12:AC12"/>
    <mergeCell ref="B13:I13"/>
    <mergeCell ref="AE27:AH27"/>
    <mergeCell ref="AE49:AG49"/>
    <mergeCell ref="AB55:AC55"/>
    <mergeCell ref="AE55:AG55"/>
    <mergeCell ref="S56:AC56"/>
    <mergeCell ref="AD56:AD57"/>
    <mergeCell ref="AE56:AG56"/>
    <mergeCell ref="A57:H57"/>
    <mergeCell ref="I57:R57"/>
    <mergeCell ref="S57:AC57"/>
    <mergeCell ref="AE57:AG57"/>
    <mergeCell ref="AB58:AC58"/>
    <mergeCell ref="AE58:AG58"/>
    <mergeCell ref="AB61:AC61"/>
    <mergeCell ref="AE61:AG61"/>
    <mergeCell ref="AB62:AC62"/>
    <mergeCell ref="AE62:AG62"/>
    <mergeCell ref="AB63:AC63"/>
    <mergeCell ref="AE63:AG63"/>
    <mergeCell ref="A64:H64"/>
    <mergeCell ref="I64:R64"/>
    <mergeCell ref="S64:AC64"/>
    <mergeCell ref="AE64:AG64"/>
    <mergeCell ref="AB65:AC65"/>
    <mergeCell ref="AE65:AG65"/>
    <mergeCell ref="AB66:AC66"/>
    <mergeCell ref="AE66:AG66"/>
    <mergeCell ref="AB67:AC67"/>
    <mergeCell ref="AE67:AG67"/>
    <mergeCell ref="AB68:AC68"/>
    <mergeCell ref="AE68:AG68"/>
    <mergeCell ref="AB69:AC69"/>
    <mergeCell ref="AE69:AG69"/>
    <mergeCell ref="AB70:AC70"/>
    <mergeCell ref="AE70:AG70"/>
    <mergeCell ref="AB71:AC71"/>
    <mergeCell ref="AE71:AG71"/>
    <mergeCell ref="AB72:AC72"/>
    <mergeCell ref="AE72:AG72"/>
    <mergeCell ref="AB73:AC73"/>
    <mergeCell ref="AE73:AG73"/>
    <mergeCell ref="AB74:AC74"/>
    <mergeCell ref="AE74:AG74"/>
    <mergeCell ref="AB75:AC75"/>
    <mergeCell ref="AE75:AG75"/>
    <mergeCell ref="AB76:AC76"/>
    <mergeCell ref="AE76:AG76"/>
    <mergeCell ref="AB77:AC77"/>
    <mergeCell ref="AE77:AG77"/>
    <mergeCell ref="AB78:AC78"/>
    <mergeCell ref="AE78:AG78"/>
    <mergeCell ref="AB79:AC79"/>
    <mergeCell ref="AE79:AG79"/>
    <mergeCell ref="AB80:AC80"/>
    <mergeCell ref="AE80:AG80"/>
    <mergeCell ref="AB81:AC81"/>
    <mergeCell ref="AE81:AG81"/>
    <mergeCell ref="AB82:AC82"/>
    <mergeCell ref="AE82:AG82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5" customWidth="1"/>
    <col min="2" max="2" width="15.375" style="34" customWidth="1"/>
    <col min="3" max="3" width="11.25" style="145" customWidth="1"/>
    <col min="4" max="4" width="13" style="145" hidden="1" customWidth="1"/>
    <col min="5" max="5" width="17.125" style="184" bestFit="1" customWidth="1"/>
    <col min="6" max="6" width="17.125" style="184" customWidth="1"/>
    <col min="7" max="7" width="7.25" style="34" customWidth="1"/>
    <col min="8" max="8" width="6.625" style="34" customWidth="1"/>
    <col min="9" max="9" width="11.25" style="34" customWidth="1"/>
    <col min="10" max="10" width="5.5" style="35" hidden="1" customWidth="1"/>
    <col min="11" max="11" width="8.375" style="34" customWidth="1"/>
    <col min="12" max="12" width="10.875" style="34" customWidth="1"/>
    <col min="13" max="13" width="2.37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7.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9" style="276" hidden="1" customWidth="1"/>
    <col min="27" max="27" width="9.75" style="34" customWidth="1"/>
    <col min="28" max="28" width="2.5" style="34" customWidth="1"/>
    <col min="29" max="29" width="13.25" style="5" customWidth="1"/>
    <col min="30" max="30" width="20.25" style="5" customWidth="1"/>
    <col min="31" max="41" width="9" style="32"/>
    <col min="42" max="16384" width="9" style="15"/>
  </cols>
  <sheetData>
    <row r="1" spans="1:41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270"/>
      <c r="AA1" s="16"/>
      <c r="AB1" s="16"/>
      <c r="AC1" s="16"/>
      <c r="AD1" s="7"/>
    </row>
    <row r="2" spans="1:41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271"/>
      <c r="AA2" s="17"/>
      <c r="AB2" s="17"/>
      <c r="AC2" s="17"/>
      <c r="AD2" s="20"/>
    </row>
    <row r="3" spans="1:41" ht="3.75" customHeight="1">
      <c r="A3" s="3"/>
      <c r="B3" s="35"/>
      <c r="C3" s="483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35"/>
    </row>
    <row r="4" spans="1:41" ht="22.5" customHeight="1">
      <c r="A4" s="693" t="s">
        <v>379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93"/>
      <c r="AD4" s="61"/>
    </row>
    <row r="5" spans="1:41" ht="22.5" customHeight="1">
      <c r="A5" s="693" t="s">
        <v>393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1"/>
    </row>
    <row r="6" spans="1:41" ht="18" customHeight="1">
      <c r="A6" s="7"/>
      <c r="B6" s="40"/>
      <c r="C6" s="659"/>
      <c r="D6" s="659"/>
      <c r="E6" s="659"/>
      <c r="F6" s="659"/>
      <c r="G6" s="659"/>
      <c r="H6" s="659"/>
      <c r="Q6" s="38" t="s">
        <v>214</v>
      </c>
      <c r="R6" s="38"/>
      <c r="S6" s="38"/>
      <c r="T6" s="38"/>
      <c r="U6" s="38"/>
      <c r="V6" s="38"/>
      <c r="W6" s="38"/>
      <c r="X6" s="38"/>
      <c r="Y6" s="38"/>
      <c r="Z6" s="272"/>
      <c r="AA6" s="38"/>
      <c r="AB6" s="38"/>
      <c r="AC6" s="56"/>
      <c r="AD6" s="56"/>
    </row>
    <row r="7" spans="1:41">
      <c r="A7" s="7"/>
      <c r="B7" s="127">
        <v>1490000</v>
      </c>
      <c r="C7" s="659"/>
      <c r="D7" s="659"/>
      <c r="E7" s="659"/>
      <c r="F7" s="659"/>
      <c r="G7" s="659"/>
      <c r="H7" s="65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272"/>
      <c r="AA7" s="38"/>
      <c r="AB7" s="38"/>
    </row>
    <row r="8" spans="1:41">
      <c r="A8" s="7"/>
      <c r="B8" s="40"/>
      <c r="C8" s="686"/>
      <c r="D8" s="686"/>
      <c r="E8" s="686"/>
      <c r="F8" s="686"/>
      <c r="G8" s="686"/>
      <c r="H8" s="68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273"/>
      <c r="AA8" s="42"/>
      <c r="AB8" s="42"/>
      <c r="AC8" s="55"/>
      <c r="AD8" s="55"/>
    </row>
    <row r="9" spans="1:41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272"/>
      <c r="AA9" s="38"/>
      <c r="AB9" s="43"/>
    </row>
    <row r="10" spans="1:41" s="33" customFormat="1" ht="27.75" customHeight="1">
      <c r="A10" s="687" t="s">
        <v>2</v>
      </c>
      <c r="B10" s="687" t="s">
        <v>3</v>
      </c>
      <c r="C10" s="688" t="s">
        <v>43</v>
      </c>
      <c r="D10" s="684" t="s">
        <v>221</v>
      </c>
      <c r="E10" s="689" t="s">
        <v>15</v>
      </c>
      <c r="F10" s="498"/>
      <c r="G10" s="671" t="s">
        <v>116</v>
      </c>
      <c r="H10" s="684" t="s">
        <v>256</v>
      </c>
      <c r="I10" s="680" t="s">
        <v>166</v>
      </c>
      <c r="J10" s="680" t="s">
        <v>252</v>
      </c>
      <c r="K10" s="680" t="s">
        <v>253</v>
      </c>
      <c r="L10" s="680" t="s">
        <v>156</v>
      </c>
      <c r="M10" s="682"/>
      <c r="N10" s="684" t="s">
        <v>134</v>
      </c>
      <c r="O10" s="684" t="s">
        <v>135</v>
      </c>
      <c r="P10" s="671" t="s">
        <v>136</v>
      </c>
      <c r="Q10" s="664" t="s">
        <v>57</v>
      </c>
      <c r="R10" s="665"/>
      <c r="S10" s="665"/>
      <c r="T10" s="665"/>
      <c r="U10" s="666"/>
      <c r="V10" s="667" t="s">
        <v>154</v>
      </c>
      <c r="W10" s="668"/>
      <c r="X10" s="667" t="s">
        <v>155</v>
      </c>
      <c r="Y10" s="668"/>
      <c r="Z10" s="673" t="s">
        <v>258</v>
      </c>
      <c r="AA10" s="671" t="s">
        <v>140</v>
      </c>
      <c r="AB10" s="673" t="s">
        <v>5</v>
      </c>
      <c r="AC10" s="674"/>
      <c r="AD10" s="71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</row>
    <row r="11" spans="1:41" s="33" customFormat="1" ht="41.25" customHeight="1">
      <c r="A11" s="687"/>
      <c r="B11" s="687"/>
      <c r="C11" s="688"/>
      <c r="D11" s="685"/>
      <c r="E11" s="690"/>
      <c r="F11" s="499"/>
      <c r="G11" s="672"/>
      <c r="H11" s="685"/>
      <c r="I11" s="681"/>
      <c r="J11" s="681"/>
      <c r="K11" s="681"/>
      <c r="L11" s="681"/>
      <c r="M11" s="683"/>
      <c r="N11" s="685"/>
      <c r="O11" s="685"/>
      <c r="P11" s="672"/>
      <c r="Q11" s="121" t="s">
        <v>101</v>
      </c>
      <c r="R11" s="121" t="s">
        <v>58</v>
      </c>
      <c r="S11" s="121" t="s">
        <v>52</v>
      </c>
      <c r="T11" s="119" t="s">
        <v>137</v>
      </c>
      <c r="U11" s="119" t="s">
        <v>138</v>
      </c>
      <c r="V11" s="119" t="s">
        <v>72</v>
      </c>
      <c r="W11" s="269" t="s">
        <v>156</v>
      </c>
      <c r="X11" s="119" t="s">
        <v>72</v>
      </c>
      <c r="Y11" s="269" t="s">
        <v>156</v>
      </c>
      <c r="Z11" s="675"/>
      <c r="AA11" s="672"/>
      <c r="AB11" s="675"/>
      <c r="AC11" s="676"/>
      <c r="AD11" s="71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1" s="33" customFormat="1" ht="27.75" customHeight="1">
      <c r="A12" s="69" t="s">
        <v>141</v>
      </c>
      <c r="B12" s="230" t="s">
        <v>142</v>
      </c>
      <c r="C12" s="70" t="s">
        <v>143</v>
      </c>
      <c r="D12" s="70"/>
      <c r="E12" s="129"/>
      <c r="F12" s="129"/>
      <c r="G12" s="141" t="s">
        <v>144</v>
      </c>
      <c r="H12" s="130" t="s">
        <v>39</v>
      </c>
      <c r="I12" s="232" t="s">
        <v>37</v>
      </c>
      <c r="J12" s="232"/>
      <c r="K12" s="232" t="s">
        <v>38</v>
      </c>
      <c r="L12" s="232" t="s">
        <v>254</v>
      </c>
      <c r="M12" s="130"/>
      <c r="N12" s="130" t="s">
        <v>62</v>
      </c>
      <c r="O12" s="130" t="s">
        <v>40</v>
      </c>
      <c r="P12" s="232" t="s">
        <v>162</v>
      </c>
      <c r="Q12" s="130" t="s">
        <v>63</v>
      </c>
      <c r="R12" s="130" t="s">
        <v>64</v>
      </c>
      <c r="S12" s="130" t="s">
        <v>145</v>
      </c>
      <c r="T12" s="130" t="s">
        <v>146</v>
      </c>
      <c r="U12" s="232" t="s">
        <v>163</v>
      </c>
      <c r="V12" s="130" t="s">
        <v>147</v>
      </c>
      <c r="W12" s="130" t="s">
        <v>148</v>
      </c>
      <c r="X12" s="130" t="s">
        <v>149</v>
      </c>
      <c r="Y12" s="130" t="s">
        <v>157</v>
      </c>
      <c r="Z12" s="279"/>
      <c r="AA12" s="232" t="s">
        <v>164</v>
      </c>
      <c r="AB12" s="678" t="s">
        <v>158</v>
      </c>
      <c r="AC12" s="679"/>
      <c r="AD12" s="71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</row>
    <row r="13" spans="1:41" s="91" customFormat="1" ht="40.5" customHeight="1">
      <c r="A13" s="216">
        <f>_xlfn.AGGREGATE(4,7,A$12:A12)+1</f>
        <v>1</v>
      </c>
      <c r="B13" s="217" t="s">
        <v>118</v>
      </c>
      <c r="C13" s="219" t="s">
        <v>330</v>
      </c>
      <c r="D13" s="220" t="str">
        <f>VLOOKUP(B13,[2]T3!$B$2:$D$328,3,FALSE)</f>
        <v>079083003027</v>
      </c>
      <c r="E13" s="471" t="s">
        <v>190</v>
      </c>
      <c r="F13" s="471"/>
      <c r="G13" s="472" t="s">
        <v>232</v>
      </c>
      <c r="H13" s="473">
        <v>8</v>
      </c>
      <c r="I13" s="224">
        <v>6585230</v>
      </c>
      <c r="J13" s="225"/>
      <c r="K13" s="224"/>
      <c r="L13" s="224">
        <f t="shared" ref="L13:L24" si="0">ROUND(I13+K13,0)</f>
        <v>6585230</v>
      </c>
      <c r="M13" s="224"/>
      <c r="N13" s="224">
        <f>L13/26*M13</f>
        <v>0</v>
      </c>
      <c r="O13" s="224"/>
      <c r="P13" s="224">
        <f t="shared" ref="P13:P24" si="1">L13-N13+O13</f>
        <v>6585230</v>
      </c>
      <c r="Q13" s="85">
        <f t="shared" ref="Q13:Q17" si="2">L13*8%</f>
        <v>526818.4</v>
      </c>
      <c r="R13" s="86">
        <f t="shared" ref="R13:R17" si="3">L13*1.5%</f>
        <v>98778.45</v>
      </c>
      <c r="S13" s="224">
        <f>L13*1%</f>
        <v>65852.3</v>
      </c>
      <c r="T13" s="226"/>
      <c r="U13" s="226">
        <f t="shared" ref="U13:U24" si="4">SUM(Q13:T13)</f>
        <v>691449.15</v>
      </c>
      <c r="V13" s="226"/>
      <c r="W13" s="226"/>
      <c r="X13" s="474"/>
      <c r="Y13" s="226"/>
      <c r="Z13" s="226"/>
      <c r="AA13" s="226">
        <f t="shared" ref="AA13:AA24" si="5">P13-U13+W13+Y13+Z13</f>
        <v>5893780.8499999996</v>
      </c>
      <c r="AB13" s="228">
        <f t="shared" ref="AB13:AB22" si="6">A13</f>
        <v>1</v>
      </c>
      <c r="AC13" s="229"/>
      <c r="AD13" s="107" t="s">
        <v>73</v>
      </c>
    </row>
    <row r="14" spans="1:41" s="91" customFormat="1" ht="30" customHeight="1">
      <c r="A14" s="216">
        <f>_xlfn.AGGREGATE(4,7,A$12:A13)+1</f>
        <v>2</v>
      </c>
      <c r="B14" s="81" t="s">
        <v>237</v>
      </c>
      <c r="C14" s="99" t="s">
        <v>330</v>
      </c>
      <c r="D14" s="206"/>
      <c r="E14" s="188" t="str">
        <f>VLOOKUP(B14,[1]LuongBC_T01!$B$277:$C$292,2,FALSE)</f>
        <v>0016100006651008</v>
      </c>
      <c r="F14" s="188"/>
      <c r="G14" s="84" t="s">
        <v>232</v>
      </c>
      <c r="H14" s="211">
        <v>6</v>
      </c>
      <c r="I14" s="85">
        <v>5972998</v>
      </c>
      <c r="J14" s="100"/>
      <c r="K14" s="85"/>
      <c r="L14" s="85">
        <f t="shared" si="0"/>
        <v>5972998</v>
      </c>
      <c r="M14" s="85"/>
      <c r="N14" s="85">
        <f>L14/26*M14</f>
        <v>0</v>
      </c>
      <c r="O14" s="85"/>
      <c r="P14" s="85">
        <f t="shared" si="1"/>
        <v>5972998</v>
      </c>
      <c r="Q14" s="85">
        <f t="shared" si="2"/>
        <v>477839.84</v>
      </c>
      <c r="R14" s="86">
        <f t="shared" si="3"/>
        <v>89594.97</v>
      </c>
      <c r="S14" s="85">
        <f>L14*1%</f>
        <v>59729.98</v>
      </c>
      <c r="T14" s="86"/>
      <c r="U14" s="86">
        <f t="shared" si="4"/>
        <v>627164.79</v>
      </c>
      <c r="V14" s="86"/>
      <c r="W14" s="86"/>
      <c r="X14" s="132"/>
      <c r="Y14" s="86"/>
      <c r="Z14" s="86"/>
      <c r="AA14" s="86">
        <f t="shared" si="5"/>
        <v>5345833.21</v>
      </c>
      <c r="AB14" s="88">
        <f t="shared" si="6"/>
        <v>2</v>
      </c>
      <c r="AC14" s="89"/>
      <c r="AD14" s="107"/>
    </row>
    <row r="15" spans="1:41" s="91" customFormat="1" ht="30.75" customHeight="1">
      <c r="A15" s="216">
        <f>_xlfn.AGGREGATE(4,7,A$12:A14)+1</f>
        <v>3</v>
      </c>
      <c r="B15" s="81" t="s">
        <v>238</v>
      </c>
      <c r="C15" s="99" t="s">
        <v>330</v>
      </c>
      <c r="D15" s="206"/>
      <c r="E15" s="188" t="str">
        <f>VLOOKUP(B15,[1]LuongBC_T01!$B$277:$C$292,2,FALSE)</f>
        <v>0016100006666005</v>
      </c>
      <c r="F15" s="188"/>
      <c r="G15" s="84" t="s">
        <v>232</v>
      </c>
      <c r="H15" s="211">
        <v>6</v>
      </c>
      <c r="I15" s="85">
        <v>5972998</v>
      </c>
      <c r="J15" s="100"/>
      <c r="K15" s="85"/>
      <c r="L15" s="85">
        <f t="shared" si="0"/>
        <v>5972998</v>
      </c>
      <c r="M15" s="85"/>
      <c r="N15" s="85">
        <f t="shared" ref="N15:N17" si="7">L15/26*M15</f>
        <v>0</v>
      </c>
      <c r="O15" s="85"/>
      <c r="P15" s="85">
        <f t="shared" si="1"/>
        <v>5972998</v>
      </c>
      <c r="Q15" s="85">
        <f t="shared" si="2"/>
        <v>477839.84</v>
      </c>
      <c r="R15" s="86">
        <f t="shared" si="3"/>
        <v>89594.97</v>
      </c>
      <c r="S15" s="85">
        <f t="shared" ref="S15:S17" si="8">L15*1%</f>
        <v>59729.98</v>
      </c>
      <c r="T15" s="86"/>
      <c r="U15" s="86">
        <f t="shared" si="4"/>
        <v>627164.79</v>
      </c>
      <c r="V15" s="86"/>
      <c r="W15" s="86"/>
      <c r="X15" s="132"/>
      <c r="Y15" s="86"/>
      <c r="Z15" s="86"/>
      <c r="AA15" s="86">
        <f t="shared" si="5"/>
        <v>5345833.21</v>
      </c>
      <c r="AB15" s="88">
        <f t="shared" si="6"/>
        <v>3</v>
      </c>
      <c r="AC15" s="89"/>
      <c r="AD15" s="107"/>
    </row>
    <row r="16" spans="1:41" s="91" customFormat="1" ht="29.25" customHeight="1">
      <c r="A16" s="181">
        <f>_xlfn.AGGREGATE(4,7,A$12:A15)+1</f>
        <v>4</v>
      </c>
      <c r="B16" s="81" t="s">
        <v>212</v>
      </c>
      <c r="C16" s="99" t="s">
        <v>330</v>
      </c>
      <c r="D16" s="206" t="str">
        <f>VLOOKUP(B16,[2]T3!$B$2:$D$328,3,FALSE)</f>
        <v>024110707</v>
      </c>
      <c r="E16" s="188"/>
      <c r="F16" s="188"/>
      <c r="G16" s="84" t="s">
        <v>232</v>
      </c>
      <c r="H16" s="211">
        <v>2</v>
      </c>
      <c r="I16" s="85">
        <v>4914000</v>
      </c>
      <c r="J16" s="100"/>
      <c r="K16" s="85"/>
      <c r="L16" s="85">
        <f t="shared" si="0"/>
        <v>4914000</v>
      </c>
      <c r="M16" s="85"/>
      <c r="N16" s="85">
        <f t="shared" si="7"/>
        <v>0</v>
      </c>
      <c r="O16" s="85"/>
      <c r="P16" s="85">
        <f t="shared" si="1"/>
        <v>4914000</v>
      </c>
      <c r="Q16" s="85">
        <f t="shared" si="2"/>
        <v>393120</v>
      </c>
      <c r="R16" s="86">
        <f t="shared" si="3"/>
        <v>73710</v>
      </c>
      <c r="S16" s="85">
        <f t="shared" si="8"/>
        <v>49140</v>
      </c>
      <c r="T16" s="86"/>
      <c r="U16" s="86">
        <f t="shared" si="4"/>
        <v>515970</v>
      </c>
      <c r="V16" s="86"/>
      <c r="W16" s="86"/>
      <c r="X16" s="132"/>
      <c r="Y16" s="86"/>
      <c r="Z16" s="86"/>
      <c r="AA16" s="86">
        <f t="shared" si="5"/>
        <v>4398030</v>
      </c>
      <c r="AB16" s="88">
        <f t="shared" si="6"/>
        <v>4</v>
      </c>
      <c r="AC16" s="89"/>
      <c r="AD16" s="89" t="s">
        <v>213</v>
      </c>
    </row>
    <row r="17" spans="1:39" s="486" customFormat="1" ht="31.5" customHeight="1">
      <c r="A17" s="181">
        <f>_xlfn.AGGREGATE(4,7,A$12:A16)+1</f>
        <v>5</v>
      </c>
      <c r="B17" s="385" t="s">
        <v>316</v>
      </c>
      <c r="C17" s="99" t="s">
        <v>47</v>
      </c>
      <c r="D17" s="202"/>
      <c r="E17" s="202" t="str">
        <f>INDEX([3]SACOM!$C$7:$C$335,MATCH(B17,[3]SACOM!$B$7:$B$335,0))</f>
        <v xml:space="preserve">060310667083 </v>
      </c>
      <c r="F17" s="202"/>
      <c r="G17" s="368" t="s">
        <v>231</v>
      </c>
      <c r="H17" s="369">
        <v>12</v>
      </c>
      <c r="I17" s="370">
        <v>8564695</v>
      </c>
      <c r="J17" s="377">
        <v>0.05</v>
      </c>
      <c r="K17" s="370">
        <f>I17*J17</f>
        <v>428234.75</v>
      </c>
      <c r="L17" s="370">
        <f t="shared" si="0"/>
        <v>8992930</v>
      </c>
      <c r="M17" s="370"/>
      <c r="N17" s="370">
        <f t="shared" si="7"/>
        <v>0</v>
      </c>
      <c r="O17" s="370"/>
      <c r="P17" s="370">
        <f t="shared" si="1"/>
        <v>8992930</v>
      </c>
      <c r="Q17" s="370">
        <f t="shared" si="2"/>
        <v>719434.4</v>
      </c>
      <c r="R17" s="372">
        <f t="shared" si="3"/>
        <v>134893.94999999998</v>
      </c>
      <c r="S17" s="370">
        <f t="shared" si="8"/>
        <v>89929.3</v>
      </c>
      <c r="T17" s="372"/>
      <c r="U17" s="372">
        <f t="shared" si="4"/>
        <v>944257.65</v>
      </c>
      <c r="V17" s="372"/>
      <c r="W17" s="372"/>
      <c r="X17" s="373"/>
      <c r="Y17" s="372"/>
      <c r="Z17" s="372"/>
      <c r="AA17" s="378">
        <f t="shared" si="5"/>
        <v>8048672.3499999996</v>
      </c>
      <c r="AB17" s="88">
        <f t="shared" si="6"/>
        <v>5</v>
      </c>
      <c r="AC17" s="89"/>
      <c r="AD17" s="89"/>
      <c r="AE17" s="107"/>
      <c r="AF17" s="103"/>
      <c r="AK17" s="485"/>
    </row>
    <row r="18" spans="1:39" s="486" customFormat="1" ht="29.25" customHeight="1">
      <c r="A18" s="181">
        <f>_xlfn.AGGREGATE(4,7,A$12:A17)+1</f>
        <v>6</v>
      </c>
      <c r="B18" s="385" t="s">
        <v>177</v>
      </c>
      <c r="C18" s="99" t="s">
        <v>47</v>
      </c>
      <c r="D18" s="202" t="s">
        <v>191</v>
      </c>
      <c r="E18" s="202" t="str">
        <f>INDEX([3]SACOM!$C$7:$C$335,MATCH(B18,[3]SACOM!$B$7:$B$335,0))</f>
        <v>060311132469</v>
      </c>
      <c r="F18" s="202"/>
      <c r="G18" s="368" t="s">
        <v>232</v>
      </c>
      <c r="H18" s="369">
        <v>4</v>
      </c>
      <c r="I18" s="370">
        <v>5417685</v>
      </c>
      <c r="J18" s="371"/>
      <c r="K18" s="370"/>
      <c r="L18" s="370">
        <f t="shared" si="0"/>
        <v>5417685</v>
      </c>
      <c r="M18" s="370"/>
      <c r="N18" s="370">
        <f>L18/26*M18</f>
        <v>0</v>
      </c>
      <c r="O18" s="370"/>
      <c r="P18" s="370">
        <f t="shared" si="1"/>
        <v>5417685</v>
      </c>
      <c r="Q18" s="370">
        <f>L18*8%</f>
        <v>433414.8</v>
      </c>
      <c r="R18" s="372">
        <f>L18*1.5%</f>
        <v>81265.274999999994</v>
      </c>
      <c r="S18" s="370">
        <f>L18*1%</f>
        <v>54176.85</v>
      </c>
      <c r="T18" s="372"/>
      <c r="U18" s="372">
        <f t="shared" si="4"/>
        <v>568856.92499999993</v>
      </c>
      <c r="V18" s="372"/>
      <c r="W18" s="372"/>
      <c r="X18" s="373"/>
      <c r="Y18" s="372"/>
      <c r="Z18" s="372"/>
      <c r="AA18" s="378">
        <f t="shared" si="5"/>
        <v>4848828.0750000002</v>
      </c>
      <c r="AB18" s="88">
        <f t="shared" si="6"/>
        <v>6</v>
      </c>
      <c r="AC18" s="89"/>
      <c r="AD18" s="89" t="s">
        <v>217</v>
      </c>
      <c r="AE18" s="107"/>
      <c r="AF18" s="103"/>
      <c r="AK18" s="485"/>
    </row>
    <row r="19" spans="1:39" s="486" customFormat="1" ht="30.75" customHeight="1">
      <c r="A19" s="216">
        <f>_xlfn.AGGREGATE(4,7,A$12:A18)+1</f>
        <v>7</v>
      </c>
      <c r="B19" s="385" t="s">
        <v>236</v>
      </c>
      <c r="C19" s="99" t="s">
        <v>47</v>
      </c>
      <c r="D19" s="202" t="str">
        <f>VLOOKUP(B19,[1]LuongBC_T01!$B$277:$C$292,2,FALSE)</f>
        <v>0016100006668008</v>
      </c>
      <c r="E19" s="202" t="str">
        <f>INDEX([3]SACOM!$C$7:$C$335,MATCH(B19,[3]SACOM!$B$7:$B$335,0))</f>
        <v>060311132264</v>
      </c>
      <c r="F19" s="202"/>
      <c r="G19" s="368" t="s">
        <v>232</v>
      </c>
      <c r="H19" s="369">
        <v>9</v>
      </c>
      <c r="I19" s="370">
        <v>6914491</v>
      </c>
      <c r="J19" s="371"/>
      <c r="K19" s="370"/>
      <c r="L19" s="370">
        <f t="shared" si="0"/>
        <v>6914491</v>
      </c>
      <c r="M19" s="370"/>
      <c r="N19" s="370">
        <f>L19/26*M19</f>
        <v>0</v>
      </c>
      <c r="O19" s="370"/>
      <c r="P19" s="370">
        <f t="shared" si="1"/>
        <v>6914491</v>
      </c>
      <c r="Q19" s="370">
        <f>L19*8%</f>
        <v>553159.28</v>
      </c>
      <c r="R19" s="372">
        <f>L19*1.5%</f>
        <v>103717.36499999999</v>
      </c>
      <c r="S19" s="370">
        <f>L19*1%</f>
        <v>69144.91</v>
      </c>
      <c r="T19" s="372"/>
      <c r="U19" s="372">
        <f t="shared" si="4"/>
        <v>726021.55500000005</v>
      </c>
      <c r="V19" s="372"/>
      <c r="W19" s="372"/>
      <c r="X19" s="373"/>
      <c r="Y19" s="372"/>
      <c r="Z19" s="372"/>
      <c r="AA19" s="378">
        <f t="shared" si="5"/>
        <v>6188469.4450000003</v>
      </c>
      <c r="AB19" s="88">
        <f t="shared" si="6"/>
        <v>7</v>
      </c>
      <c r="AC19" s="89"/>
      <c r="AD19" s="485"/>
      <c r="AE19" s="350"/>
      <c r="AF19" s="503"/>
      <c r="AG19" s="503"/>
      <c r="AH19" s="503"/>
      <c r="AI19" s="503"/>
      <c r="AJ19" s="503"/>
      <c r="AK19" s="350"/>
      <c r="AL19" s="503"/>
      <c r="AM19" s="503"/>
    </row>
    <row r="20" spans="1:39" s="486" customFormat="1" ht="34.5" customHeight="1">
      <c r="A20" s="216">
        <f>_xlfn.AGGREGATE(4,7,A$12:A19)+1</f>
        <v>8</v>
      </c>
      <c r="B20" s="385" t="s">
        <v>229</v>
      </c>
      <c r="C20" s="99" t="s">
        <v>47</v>
      </c>
      <c r="D20" s="202"/>
      <c r="E20" s="202" t="str">
        <f>INDEX([3]SACOM!$C$7:$C$335,MATCH(B20,[3]SACOM!$B$7:$B$335,0))</f>
        <v>060310664343</v>
      </c>
      <c r="F20" s="202"/>
      <c r="G20" s="368" t="s">
        <v>228</v>
      </c>
      <c r="H20" s="369">
        <v>3</v>
      </c>
      <c r="I20" s="370">
        <v>6134525</v>
      </c>
      <c r="J20" s="371"/>
      <c r="K20" s="370"/>
      <c r="L20" s="370">
        <f t="shared" si="0"/>
        <v>6134525</v>
      </c>
      <c r="M20" s="370"/>
      <c r="N20" s="370">
        <f>L20/26*M20</f>
        <v>0</v>
      </c>
      <c r="O20" s="370"/>
      <c r="P20" s="370">
        <f t="shared" si="1"/>
        <v>6134525</v>
      </c>
      <c r="Q20" s="370"/>
      <c r="R20" s="372"/>
      <c r="S20" s="370"/>
      <c r="T20" s="372"/>
      <c r="U20" s="372">
        <f t="shared" si="4"/>
        <v>0</v>
      </c>
      <c r="V20" s="372"/>
      <c r="W20" s="372"/>
      <c r="X20" s="372"/>
      <c r="Y20" s="372"/>
      <c r="Z20" s="372"/>
      <c r="AA20" s="378">
        <f t="shared" si="5"/>
        <v>6134525</v>
      </c>
      <c r="AB20" s="88">
        <f t="shared" si="6"/>
        <v>8</v>
      </c>
      <c r="AC20" s="105"/>
      <c r="AD20" s="296"/>
      <c r="AE20" s="210"/>
      <c r="AF20" s="210"/>
      <c r="AG20" s="97"/>
      <c r="AH20" s="97"/>
      <c r="AK20" s="98"/>
    </row>
    <row r="21" spans="1:39" s="486" customFormat="1" ht="35.450000000000003" customHeight="1">
      <c r="A21" s="216">
        <f>_xlfn.AGGREGATE(4,7,A$12:A20)+1</f>
        <v>9</v>
      </c>
      <c r="B21" s="385" t="s">
        <v>235</v>
      </c>
      <c r="C21" s="99" t="s">
        <v>47</v>
      </c>
      <c r="D21" s="202" t="str">
        <f>VLOOKUP(B21,[1]LuongBC_T01!$B$277:$C$292,2,FALSE)</f>
        <v>0016100006650001</v>
      </c>
      <c r="E21" s="202" t="str">
        <f>INDEX([3]SACOM!$C$7:$C$335,MATCH(B21,[3]SACOM!$B$7:$B$335,0))</f>
        <v>060282740322</v>
      </c>
      <c r="F21" s="202"/>
      <c r="G21" s="368" t="s">
        <v>232</v>
      </c>
      <c r="H21" s="369">
        <v>11</v>
      </c>
      <c r="I21" s="370">
        <v>7623227</v>
      </c>
      <c r="J21" s="371"/>
      <c r="K21" s="370"/>
      <c r="L21" s="370">
        <f t="shared" si="0"/>
        <v>7623227</v>
      </c>
      <c r="M21" s="370"/>
      <c r="N21" s="370">
        <f>L21/26*M21</f>
        <v>0</v>
      </c>
      <c r="O21" s="370"/>
      <c r="P21" s="370">
        <f t="shared" si="1"/>
        <v>7623227</v>
      </c>
      <c r="Q21" s="370">
        <f t="shared" ref="Q21:Q24" si="9">L21*8%</f>
        <v>609858.16</v>
      </c>
      <c r="R21" s="372">
        <f t="shared" ref="R21:R24" si="10">L21*1.5%</f>
        <v>114348.405</v>
      </c>
      <c r="S21" s="370">
        <f t="shared" ref="S21:S24" si="11">L21*1%</f>
        <v>76232.27</v>
      </c>
      <c r="T21" s="372"/>
      <c r="U21" s="372">
        <f t="shared" si="4"/>
        <v>800438.83500000008</v>
      </c>
      <c r="V21" s="372"/>
      <c r="W21" s="372"/>
      <c r="X21" s="373"/>
      <c r="Y21" s="372"/>
      <c r="Z21" s="372"/>
      <c r="AA21" s="378">
        <f t="shared" si="5"/>
        <v>6822788.165</v>
      </c>
      <c r="AB21" s="88">
        <f t="shared" si="6"/>
        <v>9</v>
      </c>
      <c r="AC21" s="89"/>
      <c r="AD21" s="485"/>
      <c r="AE21" s="485"/>
      <c r="AK21" s="485"/>
    </row>
    <row r="22" spans="1:39" s="486" customFormat="1" ht="30" customHeight="1">
      <c r="A22" s="216">
        <f>_xlfn.AGGREGATE(4,7,A$12:A21)+1</f>
        <v>10</v>
      </c>
      <c r="B22" s="385" t="s">
        <v>285</v>
      </c>
      <c r="C22" s="99" t="s">
        <v>47</v>
      </c>
      <c r="D22" s="202"/>
      <c r="E22" s="202" t="str">
        <f>INDEX([3]SACOM!$C$7:$C$335,MATCH(B22,[3]SACOM!$B$7:$B$335,0))</f>
        <v xml:space="preserve">060310672796 </v>
      </c>
      <c r="F22" s="202"/>
      <c r="G22" s="368" t="s">
        <v>228</v>
      </c>
      <c r="H22" s="369">
        <v>2</v>
      </c>
      <c r="I22" s="370">
        <v>5733201</v>
      </c>
      <c r="J22" s="371"/>
      <c r="K22" s="370"/>
      <c r="L22" s="370">
        <f t="shared" si="0"/>
        <v>5733201</v>
      </c>
      <c r="M22" s="370"/>
      <c r="N22" s="370">
        <f t="shared" ref="N22:N24" si="12">L22/26*M22</f>
        <v>0</v>
      </c>
      <c r="O22" s="370"/>
      <c r="P22" s="370">
        <f t="shared" si="1"/>
        <v>5733201</v>
      </c>
      <c r="Q22" s="370">
        <f t="shared" si="9"/>
        <v>458656.08</v>
      </c>
      <c r="R22" s="372">
        <f t="shared" si="10"/>
        <v>85998.014999999999</v>
      </c>
      <c r="S22" s="370">
        <f t="shared" si="11"/>
        <v>57332.01</v>
      </c>
      <c r="T22" s="372"/>
      <c r="U22" s="372">
        <f t="shared" si="4"/>
        <v>601986.10499999998</v>
      </c>
      <c r="V22" s="372"/>
      <c r="W22" s="374"/>
      <c r="X22" s="374"/>
      <c r="Y22" s="374"/>
      <c r="Z22" s="374"/>
      <c r="AA22" s="378">
        <f t="shared" si="5"/>
        <v>5131214.8949999996</v>
      </c>
      <c r="AB22" s="88">
        <f t="shared" si="6"/>
        <v>10</v>
      </c>
      <c r="AC22" s="233"/>
      <c r="AD22" s="233" t="s">
        <v>287</v>
      </c>
      <c r="AE22" s="104"/>
      <c r="AF22" s="125"/>
      <c r="AK22" s="485"/>
    </row>
    <row r="23" spans="1:39" s="486" customFormat="1" ht="30" customHeight="1">
      <c r="A23" s="216">
        <f>_xlfn.AGGREGATE(4,7,A$12:A22)+1</f>
        <v>11</v>
      </c>
      <c r="B23" s="421" t="s">
        <v>381</v>
      </c>
      <c r="C23" s="99" t="s">
        <v>47</v>
      </c>
      <c r="D23" s="202"/>
      <c r="E23" s="202" t="str">
        <f>INDEX([3]SACOM!$C$7:$C$335,MATCH(B23,[3]SACOM!$B$7:$B$335,0))</f>
        <v>060901910739</v>
      </c>
      <c r="F23" s="202"/>
      <c r="G23" s="368" t="s">
        <v>232</v>
      </c>
      <c r="H23" s="369">
        <v>1</v>
      </c>
      <c r="I23" s="370">
        <v>4680000</v>
      </c>
      <c r="J23" s="371"/>
      <c r="K23" s="370"/>
      <c r="L23" s="370">
        <f t="shared" si="0"/>
        <v>4680000</v>
      </c>
      <c r="M23" s="370"/>
      <c r="N23" s="370">
        <f t="shared" si="12"/>
        <v>0</v>
      </c>
      <c r="O23" s="370"/>
      <c r="P23" s="370">
        <f t="shared" si="1"/>
        <v>4680000</v>
      </c>
      <c r="Q23" s="370">
        <f t="shared" si="9"/>
        <v>374400</v>
      </c>
      <c r="R23" s="372">
        <f t="shared" si="10"/>
        <v>70200</v>
      </c>
      <c r="S23" s="370">
        <f t="shared" si="11"/>
        <v>46800</v>
      </c>
      <c r="T23" s="372"/>
      <c r="U23" s="372">
        <f t="shared" si="4"/>
        <v>491400</v>
      </c>
      <c r="V23" s="372"/>
      <c r="W23" s="374"/>
      <c r="X23" s="374"/>
      <c r="Y23" s="374"/>
      <c r="Z23" s="374"/>
      <c r="AA23" s="378">
        <f t="shared" si="5"/>
        <v>4188600</v>
      </c>
      <c r="AB23" s="88"/>
      <c r="AC23" s="233"/>
      <c r="AD23" s="233" t="s">
        <v>384</v>
      </c>
      <c r="AE23" s="104"/>
      <c r="AF23" s="125"/>
      <c r="AK23" s="485"/>
    </row>
    <row r="24" spans="1:39" s="486" customFormat="1" ht="30" customHeight="1">
      <c r="A24" s="216">
        <f>_xlfn.AGGREGATE(4,7,A$12:A23)+1</f>
        <v>12</v>
      </c>
      <c r="B24" s="421" t="s">
        <v>386</v>
      </c>
      <c r="C24" s="99" t="s">
        <v>47</v>
      </c>
      <c r="D24" s="202"/>
      <c r="E24" s="202" t="str">
        <f>INDEX([3]SACOM!$C$7:$C$335,MATCH(B24,[3]SACOM!$B$7:$B$335,0))</f>
        <v>060311114691</v>
      </c>
      <c r="F24" s="202"/>
      <c r="G24" s="368" t="s">
        <v>232</v>
      </c>
      <c r="H24" s="369">
        <v>1</v>
      </c>
      <c r="I24" s="370">
        <v>4680000</v>
      </c>
      <c r="J24" s="371"/>
      <c r="K24" s="370"/>
      <c r="L24" s="370">
        <f t="shared" si="0"/>
        <v>4680000</v>
      </c>
      <c r="M24" s="370"/>
      <c r="N24" s="370">
        <f t="shared" si="12"/>
        <v>0</v>
      </c>
      <c r="O24" s="370"/>
      <c r="P24" s="370">
        <f t="shared" si="1"/>
        <v>4680000</v>
      </c>
      <c r="Q24" s="370">
        <f t="shared" si="9"/>
        <v>374400</v>
      </c>
      <c r="R24" s="372">
        <f t="shared" si="10"/>
        <v>70200</v>
      </c>
      <c r="S24" s="370">
        <f t="shared" si="11"/>
        <v>46800</v>
      </c>
      <c r="T24" s="372"/>
      <c r="U24" s="372">
        <f t="shared" si="4"/>
        <v>491400</v>
      </c>
      <c r="V24" s="372"/>
      <c r="W24" s="374"/>
      <c r="X24" s="374"/>
      <c r="Y24" s="374"/>
      <c r="Z24" s="374"/>
      <c r="AA24" s="378">
        <f t="shared" si="5"/>
        <v>4188600</v>
      </c>
      <c r="AB24" s="88"/>
      <c r="AC24" s="233"/>
      <c r="AD24" s="233" t="s">
        <v>385</v>
      </c>
      <c r="AE24" s="104"/>
      <c r="AF24" s="125"/>
      <c r="AK24" s="485"/>
    </row>
    <row r="25" spans="1:39" s="91" customFormat="1" ht="28.5" customHeight="1">
      <c r="A25" s="216">
        <f>_xlfn.AGGREGATE(4,7,A$12:A24)+1</f>
        <v>13</v>
      </c>
      <c r="B25" s="81" t="s">
        <v>274</v>
      </c>
      <c r="C25" s="99" t="s">
        <v>328</v>
      </c>
      <c r="D25" s="243"/>
      <c r="E25" s="202" t="s">
        <v>301</v>
      </c>
      <c r="F25" s="202"/>
      <c r="G25" s="84" t="s">
        <v>232</v>
      </c>
      <c r="H25" s="211">
        <v>3</v>
      </c>
      <c r="I25" s="85">
        <v>5159700</v>
      </c>
      <c r="J25" s="100"/>
      <c r="K25" s="85"/>
      <c r="L25" s="244">
        <f t="shared" ref="L25:L39" si="13">ROUND(I25+K25,0)</f>
        <v>5159700</v>
      </c>
      <c r="M25" s="85"/>
      <c r="N25" s="85">
        <f t="shared" ref="N25:N39" si="14">L25/26*M25</f>
        <v>0</v>
      </c>
      <c r="O25" s="85"/>
      <c r="P25" s="85">
        <f t="shared" ref="P25:P39" si="15">L25-N25+O25</f>
        <v>5159700</v>
      </c>
      <c r="Q25" s="85">
        <f t="shared" ref="Q25:Q39" si="16">L25*8%</f>
        <v>412776</v>
      </c>
      <c r="R25" s="86">
        <f t="shared" ref="R25:R39" si="17">L25*1.5%</f>
        <v>77395.5</v>
      </c>
      <c r="S25" s="85">
        <f t="shared" ref="S25:S39" si="18">L25*1%</f>
        <v>51597</v>
      </c>
      <c r="T25" s="86"/>
      <c r="U25" s="86">
        <f t="shared" ref="U25:U39" si="19">SUM(Q25:T25)</f>
        <v>541768.5</v>
      </c>
      <c r="V25" s="86"/>
      <c r="W25" s="87"/>
      <c r="X25" s="87"/>
      <c r="Y25" s="87"/>
      <c r="Z25" s="87"/>
      <c r="AA25" s="86">
        <f t="shared" ref="AA25:AA39" si="20">P25-U25+W25+Y25+Z25</f>
        <v>4617931.5</v>
      </c>
      <c r="AB25" s="88">
        <f t="shared" ref="AB25:AB38" si="21">A25</f>
        <v>13</v>
      </c>
      <c r="AC25" s="89"/>
      <c r="AD25" s="233" t="s">
        <v>269</v>
      </c>
    </row>
    <row r="26" spans="1:39" s="91" customFormat="1" ht="36.75" customHeight="1">
      <c r="A26" s="216">
        <f>_xlfn.AGGREGATE(4,7,A$12:A25)+1</f>
        <v>14</v>
      </c>
      <c r="B26" s="81" t="s">
        <v>271</v>
      </c>
      <c r="C26" s="99" t="s">
        <v>329</v>
      </c>
      <c r="D26" s="243"/>
      <c r="E26" s="202" t="s">
        <v>300</v>
      </c>
      <c r="F26" s="202"/>
      <c r="G26" s="84" t="s">
        <v>231</v>
      </c>
      <c r="H26" s="211">
        <v>2</v>
      </c>
      <c r="I26" s="85">
        <v>5257980</v>
      </c>
      <c r="J26" s="100"/>
      <c r="K26" s="85"/>
      <c r="L26" s="244">
        <f t="shared" si="13"/>
        <v>5257980</v>
      </c>
      <c r="M26" s="85"/>
      <c r="N26" s="85">
        <f t="shared" si="14"/>
        <v>0</v>
      </c>
      <c r="O26" s="85"/>
      <c r="P26" s="85">
        <f t="shared" si="15"/>
        <v>5257980</v>
      </c>
      <c r="Q26" s="85">
        <f t="shared" si="16"/>
        <v>420638.4</v>
      </c>
      <c r="R26" s="86">
        <f t="shared" si="17"/>
        <v>78869.7</v>
      </c>
      <c r="S26" s="85">
        <f t="shared" si="18"/>
        <v>52579.8</v>
      </c>
      <c r="T26" s="86"/>
      <c r="U26" s="86">
        <f t="shared" si="19"/>
        <v>552087.9</v>
      </c>
      <c r="V26" s="86"/>
      <c r="W26" s="87"/>
      <c r="X26" s="87"/>
      <c r="Y26" s="87"/>
      <c r="Z26" s="87"/>
      <c r="AA26" s="86">
        <f t="shared" si="20"/>
        <v>4705892.0999999996</v>
      </c>
      <c r="AB26" s="88">
        <f t="shared" si="21"/>
        <v>14</v>
      </c>
      <c r="AC26" s="89"/>
      <c r="AD26" s="233" t="s">
        <v>269</v>
      </c>
    </row>
    <row r="27" spans="1:39" s="420" customFormat="1" ht="29.45" customHeight="1">
      <c r="A27" s="216">
        <f>_xlfn.AGGREGATE(4,7,A$12:A26)+1</f>
        <v>15</v>
      </c>
      <c r="B27" s="513" t="s">
        <v>398</v>
      </c>
      <c r="C27" s="99" t="s">
        <v>153</v>
      </c>
      <c r="D27" s="202" t="s">
        <v>188</v>
      </c>
      <c r="E27" s="202" t="str">
        <f>INDEX([3]SACOM!$C$7:$C$335,MATCH(B27,[3]SACOM!$B$7:$B$335,0))</f>
        <v>060310750274</v>
      </c>
      <c r="F27" s="202"/>
      <c r="G27" s="375" t="s">
        <v>231</v>
      </c>
      <c r="H27" s="376">
        <v>6</v>
      </c>
      <c r="I27" s="370">
        <v>6391108</v>
      </c>
      <c r="J27" s="371"/>
      <c r="K27" s="370"/>
      <c r="L27" s="370">
        <f t="shared" si="13"/>
        <v>6391108</v>
      </c>
      <c r="M27" s="370"/>
      <c r="N27" s="370">
        <f t="shared" si="14"/>
        <v>0</v>
      </c>
      <c r="O27" s="370"/>
      <c r="P27" s="370">
        <f t="shared" si="15"/>
        <v>6391108</v>
      </c>
      <c r="Q27" s="370">
        <f t="shared" si="16"/>
        <v>511288.64</v>
      </c>
      <c r="R27" s="372">
        <f t="shared" si="17"/>
        <v>95866.62</v>
      </c>
      <c r="S27" s="370">
        <f t="shared" si="18"/>
        <v>63911.08</v>
      </c>
      <c r="T27" s="372"/>
      <c r="U27" s="372">
        <f t="shared" si="19"/>
        <v>671066.34</v>
      </c>
      <c r="V27" s="372"/>
      <c r="W27" s="372"/>
      <c r="X27" s="372"/>
      <c r="Y27" s="372"/>
      <c r="Z27" s="372"/>
      <c r="AA27" s="378">
        <f t="shared" si="20"/>
        <v>5720041.6600000001</v>
      </c>
      <c r="AB27" s="88">
        <f t="shared" si="21"/>
        <v>15</v>
      </c>
      <c r="AC27" s="89"/>
      <c r="AD27" s="104">
        <f>3.33*1390000</f>
        <v>4628700</v>
      </c>
      <c r="AE27" s="652"/>
      <c r="AF27" s="653"/>
      <c r="AG27" s="653"/>
      <c r="AK27" s="106"/>
    </row>
    <row r="28" spans="1:39" s="420" customFormat="1" ht="37.5" customHeight="1">
      <c r="A28" s="216">
        <f>_xlfn.AGGREGATE(4,7,A$12:A27)+1</f>
        <v>16</v>
      </c>
      <c r="B28" s="385" t="s">
        <v>242</v>
      </c>
      <c r="C28" s="99" t="s">
        <v>243</v>
      </c>
      <c r="D28" s="202" t="str">
        <f>VLOOKUP(B28,[1]LuongBC_T01!$B$277:$C$292,2,FALSE)</f>
        <v>0016100006675004</v>
      </c>
      <c r="E28" s="202" t="str">
        <f>INDEX([3]SACOM!$C$7:$C$335,MATCH(B28,[3]SACOM!$B$7:$B$335,0))</f>
        <v>060310749314</v>
      </c>
      <c r="F28" s="202"/>
      <c r="G28" s="375" t="s">
        <v>231</v>
      </c>
      <c r="H28" s="376">
        <v>5</v>
      </c>
      <c r="I28" s="370">
        <v>6086769</v>
      </c>
      <c r="J28" s="371"/>
      <c r="K28" s="370"/>
      <c r="L28" s="370">
        <f t="shared" si="13"/>
        <v>6086769</v>
      </c>
      <c r="M28" s="370"/>
      <c r="N28" s="370">
        <f t="shared" si="14"/>
        <v>0</v>
      </c>
      <c r="O28" s="370"/>
      <c r="P28" s="370">
        <f t="shared" si="15"/>
        <v>6086769</v>
      </c>
      <c r="Q28" s="370">
        <f t="shared" si="16"/>
        <v>486941.52</v>
      </c>
      <c r="R28" s="372">
        <f t="shared" si="17"/>
        <v>91301.535000000003</v>
      </c>
      <c r="S28" s="370">
        <f t="shared" si="18"/>
        <v>60867.69</v>
      </c>
      <c r="T28" s="372"/>
      <c r="U28" s="372">
        <f t="shared" si="19"/>
        <v>639110.74500000011</v>
      </c>
      <c r="V28" s="372"/>
      <c r="W28" s="374"/>
      <c r="X28" s="374"/>
      <c r="Y28" s="374"/>
      <c r="Z28" s="374"/>
      <c r="AA28" s="378">
        <f t="shared" si="20"/>
        <v>5447658.2549999999</v>
      </c>
      <c r="AB28" s="88">
        <f t="shared" si="21"/>
        <v>16</v>
      </c>
      <c r="AC28" s="89"/>
      <c r="AD28" s="89"/>
      <c r="AE28" s="96"/>
      <c r="AF28" s="97"/>
      <c r="AG28" s="97"/>
      <c r="AH28" s="97"/>
      <c r="AI28" s="97"/>
      <c r="AJ28" s="96"/>
      <c r="AK28" s="98"/>
    </row>
    <row r="29" spans="1:39" s="436" customFormat="1" ht="32.450000000000003" customHeight="1">
      <c r="A29" s="216">
        <f>_xlfn.AGGREGATE(4,7,A$12:A28)+1</f>
        <v>17</v>
      </c>
      <c r="B29" s="385" t="s">
        <v>234</v>
      </c>
      <c r="C29" s="99" t="s">
        <v>8</v>
      </c>
      <c r="D29" s="202" t="str">
        <f>VLOOKUP(B29,[1]LuongBC_T01!$B$277:$C$292,2,FALSE)</f>
        <v>0016100006677007</v>
      </c>
      <c r="E29" s="202" t="str">
        <f>INDEX([3]SACOM!$C$7:$C$335,MATCH(B29,[3]SACOM!$B$7:$B$335,0))</f>
        <v>060310750797</v>
      </c>
      <c r="F29" s="202"/>
      <c r="G29" s="375" t="s">
        <v>232</v>
      </c>
      <c r="H29" s="369">
        <v>12</v>
      </c>
      <c r="I29" s="370">
        <v>8004388</v>
      </c>
      <c r="J29" s="371"/>
      <c r="K29" s="370"/>
      <c r="L29" s="370">
        <f t="shared" si="13"/>
        <v>8004388</v>
      </c>
      <c r="M29" s="370"/>
      <c r="N29" s="370">
        <f t="shared" si="14"/>
        <v>0</v>
      </c>
      <c r="O29" s="370"/>
      <c r="P29" s="370">
        <f t="shared" si="15"/>
        <v>8004388</v>
      </c>
      <c r="Q29" s="370">
        <f t="shared" si="16"/>
        <v>640351.04</v>
      </c>
      <c r="R29" s="372">
        <f t="shared" si="17"/>
        <v>120065.81999999999</v>
      </c>
      <c r="S29" s="370">
        <f t="shared" si="18"/>
        <v>80043.88</v>
      </c>
      <c r="T29" s="372"/>
      <c r="U29" s="372">
        <f t="shared" si="19"/>
        <v>840460.74</v>
      </c>
      <c r="V29" s="373"/>
      <c r="W29" s="372"/>
      <c r="X29" s="372"/>
      <c r="Y29" s="372"/>
      <c r="Z29" s="372"/>
      <c r="AA29" s="378">
        <f t="shared" si="20"/>
        <v>7163927.2599999998</v>
      </c>
      <c r="AB29" s="88">
        <f t="shared" si="21"/>
        <v>17</v>
      </c>
      <c r="AC29" s="89"/>
      <c r="AD29" s="104"/>
      <c r="AE29" s="212"/>
      <c r="AF29" s="97"/>
      <c r="AG29" s="97"/>
      <c r="AI29" s="125"/>
      <c r="AK29" s="98"/>
    </row>
    <row r="30" spans="1:39" s="290" customFormat="1" ht="29.25" customHeight="1">
      <c r="A30" s="216">
        <f>_xlfn.AGGREGATE(4,7,A$12:A29)+1</f>
        <v>18</v>
      </c>
      <c r="B30" s="385" t="s">
        <v>239</v>
      </c>
      <c r="C30" s="99" t="s">
        <v>8</v>
      </c>
      <c r="D30" s="202"/>
      <c r="E30" s="202" t="str">
        <f>INDEX([3]SACOM!$C$7:$C$335,MATCH(B30,[3]SACOM!$B$7:$B$335,0))</f>
        <v>060310748369</v>
      </c>
      <c r="F30" s="202"/>
      <c r="G30" s="368" t="s">
        <v>232</v>
      </c>
      <c r="H30" s="369">
        <v>2</v>
      </c>
      <c r="I30" s="370">
        <v>4914000</v>
      </c>
      <c r="J30" s="371"/>
      <c r="K30" s="370"/>
      <c r="L30" s="370">
        <f t="shared" si="13"/>
        <v>4914000</v>
      </c>
      <c r="M30" s="370"/>
      <c r="N30" s="370">
        <f t="shared" si="14"/>
        <v>0</v>
      </c>
      <c r="O30" s="370"/>
      <c r="P30" s="370">
        <f t="shared" si="15"/>
        <v>4914000</v>
      </c>
      <c r="Q30" s="370">
        <f t="shared" si="16"/>
        <v>393120</v>
      </c>
      <c r="R30" s="372">
        <f t="shared" si="17"/>
        <v>73710</v>
      </c>
      <c r="S30" s="370">
        <f t="shared" si="18"/>
        <v>49140</v>
      </c>
      <c r="T30" s="372"/>
      <c r="U30" s="372">
        <f t="shared" si="19"/>
        <v>515970</v>
      </c>
      <c r="V30" s="372"/>
      <c r="W30" s="372"/>
      <c r="X30" s="373"/>
      <c r="Y30" s="372"/>
      <c r="Z30" s="372"/>
      <c r="AA30" s="378">
        <f t="shared" si="20"/>
        <v>4398030</v>
      </c>
      <c r="AB30" s="88">
        <f t="shared" si="21"/>
        <v>18</v>
      </c>
      <c r="AC30" s="89"/>
      <c r="AD30" s="89"/>
      <c r="AE30" s="347"/>
      <c r="AF30" s="348"/>
      <c r="AG30" s="349"/>
      <c r="AH30" s="435"/>
      <c r="AI30" s="349"/>
      <c r="AJ30" s="349"/>
      <c r="AK30" s="350"/>
      <c r="AL30" s="349"/>
      <c r="AM30" s="349"/>
    </row>
    <row r="31" spans="1:39" s="91" customFormat="1" ht="39" customHeight="1">
      <c r="A31" s="216">
        <f>_xlfn.AGGREGATE(4,7,A$12:A30)+1</f>
        <v>19</v>
      </c>
      <c r="B31" s="385" t="s">
        <v>262</v>
      </c>
      <c r="C31" s="99" t="s">
        <v>263</v>
      </c>
      <c r="D31" s="202"/>
      <c r="E31" s="202" t="str">
        <f>INDEX([3]SACOM!$C$7:$C$335,MATCH(B31,[3]SACOM!$B$7:$B$335,0))</f>
        <v>060310750339</v>
      </c>
      <c r="F31" s="202"/>
      <c r="G31" s="368" t="s">
        <v>232</v>
      </c>
      <c r="H31" s="369">
        <v>2</v>
      </c>
      <c r="I31" s="370">
        <v>4914000</v>
      </c>
      <c r="J31" s="371"/>
      <c r="K31" s="370"/>
      <c r="L31" s="370">
        <f t="shared" si="13"/>
        <v>4914000</v>
      </c>
      <c r="M31" s="370"/>
      <c r="N31" s="370">
        <f t="shared" si="14"/>
        <v>0</v>
      </c>
      <c r="O31" s="370"/>
      <c r="P31" s="370">
        <f t="shared" si="15"/>
        <v>4914000</v>
      </c>
      <c r="Q31" s="370">
        <f t="shared" si="16"/>
        <v>393120</v>
      </c>
      <c r="R31" s="372">
        <f t="shared" si="17"/>
        <v>73710</v>
      </c>
      <c r="S31" s="370">
        <f t="shared" si="18"/>
        <v>49140</v>
      </c>
      <c r="T31" s="372"/>
      <c r="U31" s="372">
        <f t="shared" si="19"/>
        <v>515970</v>
      </c>
      <c r="V31" s="372"/>
      <c r="W31" s="374"/>
      <c r="X31" s="374"/>
      <c r="Y31" s="374"/>
      <c r="Z31" s="374"/>
      <c r="AA31" s="378">
        <f t="shared" si="20"/>
        <v>4398030</v>
      </c>
      <c r="AB31" s="88">
        <f t="shared" si="21"/>
        <v>19</v>
      </c>
      <c r="AC31" s="233"/>
      <c r="AD31" s="233" t="s">
        <v>264</v>
      </c>
      <c r="AE31" s="352"/>
      <c r="AF31" s="353"/>
      <c r="AG31" s="349"/>
      <c r="AH31" s="32"/>
      <c r="AI31" s="32"/>
      <c r="AJ31" s="32"/>
      <c r="AK31" s="48"/>
      <c r="AL31" s="32"/>
      <c r="AM31" s="32"/>
    </row>
    <row r="32" spans="1:39" s="91" customFormat="1" ht="38.25" customHeight="1">
      <c r="A32" s="216">
        <f>_xlfn.AGGREGATE(4,7,A$12:A31)+1</f>
        <v>20</v>
      </c>
      <c r="B32" s="385" t="s">
        <v>282</v>
      </c>
      <c r="C32" s="99" t="s">
        <v>283</v>
      </c>
      <c r="D32" s="202"/>
      <c r="E32" s="202" t="str">
        <f>INDEX([3]SACOM!$C$7:$C$335,MATCH(B32,[3]SACOM!$B$7:$B$335,0))</f>
        <v>060311534699</v>
      </c>
      <c r="F32" s="202"/>
      <c r="G32" s="368" t="s">
        <v>232</v>
      </c>
      <c r="H32" s="369">
        <v>2</v>
      </c>
      <c r="I32" s="370">
        <v>4914000</v>
      </c>
      <c r="J32" s="371"/>
      <c r="K32" s="370"/>
      <c r="L32" s="370">
        <f t="shared" si="13"/>
        <v>4914000</v>
      </c>
      <c r="M32" s="370"/>
      <c r="N32" s="370">
        <f t="shared" si="14"/>
        <v>0</v>
      </c>
      <c r="O32" s="370"/>
      <c r="P32" s="370">
        <f t="shared" si="15"/>
        <v>4914000</v>
      </c>
      <c r="Q32" s="370">
        <f t="shared" si="16"/>
        <v>393120</v>
      </c>
      <c r="R32" s="372">
        <f t="shared" si="17"/>
        <v>73710</v>
      </c>
      <c r="S32" s="370">
        <f t="shared" si="18"/>
        <v>49140</v>
      </c>
      <c r="T32" s="372"/>
      <c r="U32" s="372">
        <f t="shared" si="19"/>
        <v>515970</v>
      </c>
      <c r="V32" s="372"/>
      <c r="W32" s="374"/>
      <c r="X32" s="374"/>
      <c r="Y32" s="374"/>
      <c r="Z32" s="374"/>
      <c r="AA32" s="378">
        <f t="shared" si="20"/>
        <v>4398030</v>
      </c>
      <c r="AB32" s="88">
        <f t="shared" si="21"/>
        <v>20</v>
      </c>
      <c r="AC32" s="89"/>
      <c r="AD32" s="233" t="s">
        <v>293</v>
      </c>
      <c r="AE32" s="104"/>
      <c r="AF32" s="125"/>
      <c r="AG32" s="416"/>
      <c r="AK32" s="92"/>
    </row>
    <row r="33" spans="1:39" s="91" customFormat="1" ht="39.75" customHeight="1">
      <c r="A33" s="216">
        <f>_xlfn.AGGREGATE(4,7,A$12:A32)+1</f>
        <v>21</v>
      </c>
      <c r="B33" s="385" t="s">
        <v>284</v>
      </c>
      <c r="C33" s="99" t="s">
        <v>283</v>
      </c>
      <c r="D33" s="202"/>
      <c r="E33" s="202" t="str">
        <f>INDEX([3]SACOM!$C$7:$C$335,MATCH(B33,[3]SACOM!$B$7:$B$335,0))</f>
        <v>060310749349</v>
      </c>
      <c r="F33" s="202"/>
      <c r="G33" s="368" t="s">
        <v>232</v>
      </c>
      <c r="H33" s="369">
        <v>2</v>
      </c>
      <c r="I33" s="370">
        <v>4914000</v>
      </c>
      <c r="J33" s="371"/>
      <c r="K33" s="370"/>
      <c r="L33" s="370">
        <f t="shared" si="13"/>
        <v>4914000</v>
      </c>
      <c r="M33" s="370"/>
      <c r="N33" s="370">
        <f t="shared" si="14"/>
        <v>0</v>
      </c>
      <c r="O33" s="370"/>
      <c r="P33" s="370">
        <f t="shared" si="15"/>
        <v>4914000</v>
      </c>
      <c r="Q33" s="370">
        <f t="shared" si="16"/>
        <v>393120</v>
      </c>
      <c r="R33" s="372">
        <f t="shared" si="17"/>
        <v>73710</v>
      </c>
      <c r="S33" s="370">
        <f t="shared" si="18"/>
        <v>49140</v>
      </c>
      <c r="T33" s="372"/>
      <c r="U33" s="372">
        <f t="shared" si="19"/>
        <v>515970</v>
      </c>
      <c r="V33" s="372"/>
      <c r="W33" s="374"/>
      <c r="X33" s="374"/>
      <c r="Y33" s="374"/>
      <c r="Z33" s="374"/>
      <c r="AA33" s="378">
        <f t="shared" si="20"/>
        <v>4398030</v>
      </c>
      <c r="AB33" s="88">
        <f t="shared" si="21"/>
        <v>21</v>
      </c>
      <c r="AC33" s="89"/>
      <c r="AD33" s="233" t="s">
        <v>294</v>
      </c>
      <c r="AE33" s="104"/>
      <c r="AF33" s="125"/>
      <c r="AG33" s="416"/>
      <c r="AK33" s="92"/>
    </row>
    <row r="34" spans="1:39" s="91" customFormat="1" ht="39.75" customHeight="1">
      <c r="A34" s="216">
        <f>_xlfn.AGGREGATE(4,7,A$12:A33)+1</f>
        <v>22</v>
      </c>
      <c r="B34" s="385" t="s">
        <v>343</v>
      </c>
      <c r="C34" s="99" t="s">
        <v>344</v>
      </c>
      <c r="D34" s="202"/>
      <c r="E34" s="202" t="str">
        <f>INDEX([3]SACOM!$C$7:$C$335,MATCH(B34,[3]SACOM!$B$7:$B$335,0))</f>
        <v>060310747923</v>
      </c>
      <c r="F34" s="202"/>
      <c r="G34" s="368" t="s">
        <v>232</v>
      </c>
      <c r="H34" s="369">
        <v>1</v>
      </c>
      <c r="I34" s="370">
        <v>4680000</v>
      </c>
      <c r="J34" s="371"/>
      <c r="K34" s="370"/>
      <c r="L34" s="370">
        <f t="shared" si="13"/>
        <v>4680000</v>
      </c>
      <c r="M34" s="370"/>
      <c r="N34" s="370">
        <f t="shared" si="14"/>
        <v>0</v>
      </c>
      <c r="O34" s="370"/>
      <c r="P34" s="370">
        <f t="shared" si="15"/>
        <v>4680000</v>
      </c>
      <c r="Q34" s="370">
        <f t="shared" si="16"/>
        <v>374400</v>
      </c>
      <c r="R34" s="372">
        <f t="shared" si="17"/>
        <v>70200</v>
      </c>
      <c r="S34" s="370">
        <f t="shared" si="18"/>
        <v>46800</v>
      </c>
      <c r="T34" s="372"/>
      <c r="U34" s="372">
        <f t="shared" si="19"/>
        <v>491400</v>
      </c>
      <c r="V34" s="372"/>
      <c r="W34" s="374"/>
      <c r="X34" s="374"/>
      <c r="Y34" s="374"/>
      <c r="Z34" s="374"/>
      <c r="AA34" s="378">
        <f t="shared" si="20"/>
        <v>4188600</v>
      </c>
      <c r="AB34" s="88">
        <f t="shared" si="21"/>
        <v>22</v>
      </c>
      <c r="AC34" s="233"/>
      <c r="AD34" s="233" t="s">
        <v>374</v>
      </c>
      <c r="AE34" s="352"/>
      <c r="AF34" s="353"/>
      <c r="AG34" s="349"/>
      <c r="AH34" s="32"/>
      <c r="AI34" s="32"/>
      <c r="AJ34" s="32"/>
      <c r="AK34" s="48"/>
      <c r="AL34" s="32"/>
      <c r="AM34" s="32"/>
    </row>
    <row r="35" spans="1:39" s="91" customFormat="1" ht="34.9" customHeight="1">
      <c r="A35" s="216">
        <f>_xlfn.AGGREGATE(4,7,A$12:A34)+1</f>
        <v>23</v>
      </c>
      <c r="B35" s="421" t="s">
        <v>376</v>
      </c>
      <c r="C35" s="99" t="s">
        <v>283</v>
      </c>
      <c r="D35" s="202"/>
      <c r="E35" s="202" t="str">
        <f>INDEX([3]SACOM!$C$7:$C$335,MATCH(B35,[3]SACOM!$B$7:$B$335,0))</f>
        <v>060311210605</v>
      </c>
      <c r="F35" s="202"/>
      <c r="G35" s="368" t="s">
        <v>232</v>
      </c>
      <c r="H35" s="369">
        <v>1</v>
      </c>
      <c r="I35" s="370">
        <v>4680000</v>
      </c>
      <c r="J35" s="371"/>
      <c r="K35" s="370"/>
      <c r="L35" s="370">
        <f t="shared" si="13"/>
        <v>4680000</v>
      </c>
      <c r="M35" s="370"/>
      <c r="N35" s="370">
        <f t="shared" si="14"/>
        <v>0</v>
      </c>
      <c r="O35" s="370"/>
      <c r="P35" s="370">
        <f t="shared" si="15"/>
        <v>4680000</v>
      </c>
      <c r="Q35" s="370">
        <f t="shared" si="16"/>
        <v>374400</v>
      </c>
      <c r="R35" s="372">
        <f t="shared" si="17"/>
        <v>70200</v>
      </c>
      <c r="S35" s="370">
        <f t="shared" si="18"/>
        <v>46800</v>
      </c>
      <c r="T35" s="372"/>
      <c r="U35" s="372">
        <f t="shared" si="19"/>
        <v>491400</v>
      </c>
      <c r="V35" s="372"/>
      <c r="W35" s="374"/>
      <c r="X35" s="374"/>
      <c r="Y35" s="374"/>
      <c r="Z35" s="374"/>
      <c r="AA35" s="378">
        <f t="shared" si="20"/>
        <v>4188600</v>
      </c>
      <c r="AB35" s="88">
        <f t="shared" si="21"/>
        <v>23</v>
      </c>
      <c r="AC35" s="233" t="s">
        <v>378</v>
      </c>
      <c r="AD35" s="233" t="s">
        <v>377</v>
      </c>
      <c r="AE35" s="104"/>
      <c r="AF35" s="125"/>
      <c r="AG35" s="420"/>
      <c r="AK35" s="92"/>
    </row>
    <row r="36" spans="1:39" s="91" customFormat="1" ht="30.75" customHeight="1">
      <c r="A36" s="216">
        <f>_xlfn.AGGREGATE(4,7,A$12:A35)+1</f>
        <v>24</v>
      </c>
      <c r="B36" s="81" t="s">
        <v>297</v>
      </c>
      <c r="C36" s="99" t="s">
        <v>263</v>
      </c>
      <c r="D36" s="433" t="s">
        <v>310</v>
      </c>
      <c r="E36" s="266" t="s">
        <v>309</v>
      </c>
      <c r="F36" s="266"/>
      <c r="G36" s="84" t="s">
        <v>232</v>
      </c>
      <c r="H36" s="211">
        <v>2</v>
      </c>
      <c r="I36" s="85">
        <v>4914000</v>
      </c>
      <c r="J36" s="100"/>
      <c r="K36" s="85"/>
      <c r="L36" s="244">
        <f t="shared" si="13"/>
        <v>4914000</v>
      </c>
      <c r="M36" s="85"/>
      <c r="N36" s="85">
        <f t="shared" si="14"/>
        <v>0</v>
      </c>
      <c r="O36" s="85"/>
      <c r="P36" s="85">
        <f t="shared" si="15"/>
        <v>4914000</v>
      </c>
      <c r="Q36" s="85">
        <f t="shared" si="16"/>
        <v>393120</v>
      </c>
      <c r="R36" s="86">
        <f t="shared" si="17"/>
        <v>73710</v>
      </c>
      <c r="S36" s="85">
        <f t="shared" si="18"/>
        <v>49140</v>
      </c>
      <c r="T36" s="86"/>
      <c r="U36" s="86">
        <f t="shared" si="19"/>
        <v>515970</v>
      </c>
      <c r="V36" s="86"/>
      <c r="W36" s="87"/>
      <c r="X36" s="87"/>
      <c r="Y36" s="87"/>
      <c r="Z36" s="87"/>
      <c r="AA36" s="86">
        <f t="shared" si="20"/>
        <v>4398030</v>
      </c>
      <c r="AB36" s="88">
        <f t="shared" si="21"/>
        <v>24</v>
      </c>
      <c r="AC36" s="89"/>
      <c r="AD36" s="233" t="s">
        <v>298</v>
      </c>
    </row>
    <row r="37" spans="1:39" s="91" customFormat="1" ht="29.25" customHeight="1">
      <c r="A37" s="216">
        <f>_xlfn.AGGREGATE(4,7,A$12:A36)+1</f>
        <v>25</v>
      </c>
      <c r="B37" s="81" t="s">
        <v>299</v>
      </c>
      <c r="C37" s="99" t="s">
        <v>263</v>
      </c>
      <c r="D37" s="433" t="s">
        <v>311</v>
      </c>
      <c r="E37" s="266" t="s">
        <v>312</v>
      </c>
      <c r="F37" s="266"/>
      <c r="G37" s="84" t="s">
        <v>232</v>
      </c>
      <c r="H37" s="211">
        <v>2</v>
      </c>
      <c r="I37" s="85">
        <v>4914000</v>
      </c>
      <c r="J37" s="100"/>
      <c r="K37" s="85"/>
      <c r="L37" s="244">
        <f t="shared" si="13"/>
        <v>4914000</v>
      </c>
      <c r="M37" s="85"/>
      <c r="N37" s="85">
        <f t="shared" si="14"/>
        <v>0</v>
      </c>
      <c r="O37" s="85"/>
      <c r="P37" s="85">
        <f t="shared" si="15"/>
        <v>4914000</v>
      </c>
      <c r="Q37" s="85">
        <f t="shared" si="16"/>
        <v>393120</v>
      </c>
      <c r="R37" s="86">
        <f t="shared" si="17"/>
        <v>73710</v>
      </c>
      <c r="S37" s="85">
        <f t="shared" si="18"/>
        <v>49140</v>
      </c>
      <c r="T37" s="86"/>
      <c r="U37" s="86">
        <f t="shared" si="19"/>
        <v>515970</v>
      </c>
      <c r="V37" s="86"/>
      <c r="W37" s="87"/>
      <c r="X37" s="87"/>
      <c r="Y37" s="87"/>
      <c r="Z37" s="87"/>
      <c r="AA37" s="86">
        <f t="shared" si="20"/>
        <v>4398030</v>
      </c>
      <c r="AB37" s="88">
        <f t="shared" si="21"/>
        <v>25</v>
      </c>
      <c r="AC37" s="89"/>
      <c r="AD37" s="233" t="s">
        <v>298</v>
      </c>
    </row>
    <row r="38" spans="1:39" s="289" customFormat="1" ht="31.5" customHeight="1">
      <c r="A38" s="216">
        <f>_xlfn.AGGREGATE(4,7,A$12:A37)+1</f>
        <v>26</v>
      </c>
      <c r="B38" s="385" t="s">
        <v>240</v>
      </c>
      <c r="C38" s="99" t="s">
        <v>241</v>
      </c>
      <c r="D38" s="202"/>
      <c r="E38" s="202" t="str">
        <f>INDEX([3]SACOM!$C$7:$C$335,MATCH(B38,[3]SACOM!$B$7:$B$335,0))</f>
        <v>060310682015</v>
      </c>
      <c r="F38" s="202"/>
      <c r="G38" s="375" t="s">
        <v>231</v>
      </c>
      <c r="H38" s="376">
        <v>7</v>
      </c>
      <c r="I38" s="370">
        <v>6710663</v>
      </c>
      <c r="J38" s="371"/>
      <c r="K38" s="370"/>
      <c r="L38" s="370">
        <f t="shared" si="13"/>
        <v>6710663</v>
      </c>
      <c r="M38" s="370"/>
      <c r="N38" s="370">
        <f t="shared" si="14"/>
        <v>0</v>
      </c>
      <c r="O38" s="370"/>
      <c r="P38" s="370">
        <f t="shared" si="15"/>
        <v>6710663</v>
      </c>
      <c r="Q38" s="370">
        <f t="shared" si="16"/>
        <v>536853.04</v>
      </c>
      <c r="R38" s="372">
        <f t="shared" si="17"/>
        <v>100659.94499999999</v>
      </c>
      <c r="S38" s="370">
        <f t="shared" si="18"/>
        <v>67106.63</v>
      </c>
      <c r="T38" s="372"/>
      <c r="U38" s="372">
        <f t="shared" si="19"/>
        <v>704619.61499999999</v>
      </c>
      <c r="V38" s="372"/>
      <c r="W38" s="374"/>
      <c r="X38" s="374"/>
      <c r="Y38" s="374"/>
      <c r="Z38" s="374">
        <v>852000</v>
      </c>
      <c r="AA38" s="378">
        <f t="shared" si="20"/>
        <v>6858043.3849999998</v>
      </c>
      <c r="AB38" s="88">
        <f t="shared" si="21"/>
        <v>26</v>
      </c>
      <c r="AC38" s="89"/>
      <c r="AD38" s="89"/>
      <c r="AE38" s="354"/>
      <c r="AF38" s="49"/>
      <c r="AG38" s="49"/>
      <c r="AH38" s="357"/>
      <c r="AI38" s="49"/>
      <c r="AJ38" s="354"/>
      <c r="AK38" s="351"/>
      <c r="AL38" s="349"/>
      <c r="AM38" s="349"/>
    </row>
    <row r="39" spans="1:39" s="438" customFormat="1" ht="39" customHeight="1">
      <c r="A39" s="216">
        <f>_xlfn.AGGREGATE(4,7,A$12:A38)+1</f>
        <v>27</v>
      </c>
      <c r="B39" s="441" t="s">
        <v>383</v>
      </c>
      <c r="C39" s="99" t="s">
        <v>390</v>
      </c>
      <c r="D39" s="339"/>
      <c r="E39" s="202" t="str">
        <f>INDEX([3]SACOM!$C$7:$C$335,MATCH(B39,[3]SACOM!$B$7:$B$335,0))</f>
        <v>060310750916</v>
      </c>
      <c r="F39" s="518"/>
      <c r="G39" s="442" t="s">
        <v>232</v>
      </c>
      <c r="H39" s="443">
        <v>1</v>
      </c>
      <c r="I39" s="444">
        <v>4680000</v>
      </c>
      <c r="J39" s="445"/>
      <c r="K39" s="444"/>
      <c r="L39" s="444">
        <f t="shared" si="13"/>
        <v>4680000</v>
      </c>
      <c r="M39" s="444"/>
      <c r="N39" s="370">
        <f t="shared" si="14"/>
        <v>0</v>
      </c>
      <c r="O39" s="444"/>
      <c r="P39" s="444">
        <f t="shared" si="15"/>
        <v>4680000</v>
      </c>
      <c r="Q39" s="444">
        <f t="shared" si="16"/>
        <v>374400</v>
      </c>
      <c r="R39" s="446">
        <f t="shared" si="17"/>
        <v>70200</v>
      </c>
      <c r="S39" s="444">
        <f t="shared" si="18"/>
        <v>46800</v>
      </c>
      <c r="T39" s="446"/>
      <c r="U39" s="446">
        <f t="shared" si="19"/>
        <v>491400</v>
      </c>
      <c r="V39" s="446"/>
      <c r="W39" s="446"/>
      <c r="X39" s="447"/>
      <c r="Y39" s="446"/>
      <c r="Z39" s="446"/>
      <c r="AA39" s="448">
        <f t="shared" si="20"/>
        <v>4188600</v>
      </c>
      <c r="AB39" s="449"/>
      <c r="AC39" s="107"/>
      <c r="AD39" s="107" t="s">
        <v>382</v>
      </c>
      <c r="AE39" s="125"/>
      <c r="AF39" s="103"/>
      <c r="AK39" s="437"/>
    </row>
    <row r="40" spans="1:39" ht="24.75" customHeight="1">
      <c r="A40" s="75"/>
      <c r="B40" s="489" t="s">
        <v>11</v>
      </c>
      <c r="C40" s="141"/>
      <c r="D40" s="141"/>
      <c r="E40" s="69"/>
      <c r="F40" s="496"/>
      <c r="G40" s="69"/>
      <c r="H40" s="76">
        <f>SUM(H13:H39)</f>
        <v>115</v>
      </c>
      <c r="I40" s="68">
        <f>SUM(I13:I39)</f>
        <v>154327658</v>
      </c>
      <c r="J40" s="134">
        <f>SUM(J13:J39)</f>
        <v>0.05</v>
      </c>
      <c r="K40" s="68">
        <f>SUM(K13:K39)</f>
        <v>428234.75</v>
      </c>
      <c r="L40" s="68">
        <f>SUM(L13:L39)</f>
        <v>154755893</v>
      </c>
      <c r="M40" s="68"/>
      <c r="N40" s="68">
        <f t="shared" ref="N40:Y40" si="22">SUM(N13:N39)</f>
        <v>0</v>
      </c>
      <c r="O40" s="68">
        <f t="shared" si="22"/>
        <v>0</v>
      </c>
      <c r="P40" s="68">
        <f t="shared" si="22"/>
        <v>154755893</v>
      </c>
      <c r="Q40" s="68">
        <f t="shared" si="22"/>
        <v>11889709.439999998</v>
      </c>
      <c r="R40" s="68">
        <f t="shared" si="22"/>
        <v>2229320.5199999996</v>
      </c>
      <c r="S40" s="68">
        <f t="shared" si="22"/>
        <v>1486213.6799999997</v>
      </c>
      <c r="T40" s="134">
        <f t="shared" si="22"/>
        <v>0</v>
      </c>
      <c r="U40" s="68">
        <f t="shared" si="22"/>
        <v>15605243.640000001</v>
      </c>
      <c r="V40" s="80">
        <f t="shared" si="22"/>
        <v>0</v>
      </c>
      <c r="W40" s="68">
        <f t="shared" si="22"/>
        <v>0</v>
      </c>
      <c r="X40" s="80">
        <f t="shared" si="22"/>
        <v>0</v>
      </c>
      <c r="Y40" s="68">
        <f t="shared" si="22"/>
        <v>0</v>
      </c>
      <c r="Z40" s="274"/>
      <c r="AA40" s="68">
        <f>SUM(AA13:AA39)</f>
        <v>140002649.35999998</v>
      </c>
      <c r="AB40" s="77"/>
      <c r="AC40" s="78"/>
      <c r="AD40" s="417"/>
    </row>
    <row r="41" spans="1:39" ht="6.75" customHeight="1">
      <c r="A41" s="5"/>
      <c r="B41" s="123"/>
      <c r="C41" s="142"/>
      <c r="D41" s="142"/>
      <c r="E41" s="183"/>
      <c r="F41" s="183"/>
      <c r="G41" s="37"/>
      <c r="H41" s="36"/>
      <c r="I41" s="42"/>
      <c r="J41" s="36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273"/>
      <c r="AA41" s="42"/>
      <c r="AB41" s="44"/>
      <c r="AC41" s="57"/>
      <c r="AD41" s="104"/>
    </row>
    <row r="42" spans="1:39" ht="18.75" customHeight="1">
      <c r="A42" s="4"/>
      <c r="B42" s="490" t="s">
        <v>12</v>
      </c>
      <c r="C42" s="16" t="s">
        <v>395</v>
      </c>
      <c r="D42" s="16"/>
      <c r="S42" s="17"/>
      <c r="T42" s="17"/>
      <c r="U42" s="17"/>
      <c r="V42" s="17"/>
      <c r="W42" s="17"/>
      <c r="X42" s="17"/>
      <c r="Y42" s="17"/>
      <c r="Z42" s="271"/>
      <c r="AA42" s="17"/>
      <c r="AB42" s="16"/>
      <c r="AC42" s="56"/>
      <c r="AD42" s="418"/>
    </row>
    <row r="43" spans="1:39" ht="7.5" customHeight="1">
      <c r="A43" s="4"/>
      <c r="B43" s="490"/>
      <c r="C43" s="143"/>
      <c r="D43" s="143"/>
      <c r="E43" s="185"/>
      <c r="F43" s="185"/>
      <c r="G43" s="39"/>
      <c r="H43" s="39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275"/>
      <c r="AA43" s="40"/>
      <c r="AB43" s="659"/>
      <c r="AC43" s="659"/>
      <c r="AD43" s="285"/>
    </row>
    <row r="44" spans="1:39" ht="21" customHeight="1">
      <c r="A44" s="4"/>
      <c r="B44" s="481"/>
      <c r="C44" s="6"/>
      <c r="D44" s="6"/>
      <c r="E44" s="186"/>
      <c r="F44" s="186"/>
      <c r="G44" s="4"/>
      <c r="H44" s="4"/>
      <c r="S44" s="660" t="s">
        <v>394</v>
      </c>
      <c r="T44" s="660"/>
      <c r="U44" s="660"/>
      <c r="V44" s="660"/>
      <c r="W44" s="660"/>
      <c r="X44" s="660"/>
      <c r="Y44" s="660"/>
      <c r="Z44" s="660"/>
      <c r="AA44" s="660"/>
      <c r="AB44" s="660"/>
      <c r="AC44" s="660"/>
      <c r="AD44" s="712"/>
    </row>
    <row r="45" spans="1:39" ht="15.75" customHeight="1">
      <c r="A45" s="649" t="s">
        <v>13</v>
      </c>
      <c r="B45" s="649"/>
      <c r="C45" s="649"/>
      <c r="D45" s="649"/>
      <c r="E45" s="649"/>
      <c r="F45" s="649"/>
      <c r="G45" s="649"/>
      <c r="H45" s="649"/>
      <c r="I45" s="649" t="s">
        <v>169</v>
      </c>
      <c r="J45" s="649"/>
      <c r="K45" s="649"/>
      <c r="L45" s="649"/>
      <c r="M45" s="649"/>
      <c r="N45" s="649"/>
      <c r="O45" s="649"/>
      <c r="P45" s="649"/>
      <c r="Q45" s="649"/>
      <c r="R45" s="649"/>
      <c r="S45" s="663" t="s">
        <v>14</v>
      </c>
      <c r="T45" s="663"/>
      <c r="U45" s="663"/>
      <c r="V45" s="663"/>
      <c r="W45" s="663"/>
      <c r="X45" s="663"/>
      <c r="Y45" s="663"/>
      <c r="Z45" s="663"/>
      <c r="AA45" s="663"/>
      <c r="AB45" s="663"/>
      <c r="AC45" s="663"/>
      <c r="AD45" s="713"/>
    </row>
    <row r="46" spans="1:39" ht="15.75" customHeight="1">
      <c r="A46" s="4"/>
      <c r="B46" s="483"/>
      <c r="C46" s="6"/>
      <c r="D46" s="6"/>
      <c r="E46" s="186"/>
      <c r="F46" s="186"/>
      <c r="G46" s="4"/>
      <c r="H46" s="4"/>
      <c r="I46" s="3"/>
      <c r="J46" s="3"/>
      <c r="K46" s="3"/>
      <c r="L46" s="3"/>
      <c r="M46" s="3"/>
      <c r="N46" s="3"/>
      <c r="O46" s="3"/>
      <c r="P46" s="3"/>
      <c r="Q46" s="59"/>
      <c r="R46" s="3"/>
      <c r="S46" s="3"/>
      <c r="T46" s="3"/>
      <c r="U46" s="3"/>
      <c r="V46" s="3"/>
      <c r="AB46" s="647"/>
      <c r="AC46" s="647"/>
      <c r="AD46" s="419"/>
    </row>
    <row r="47" spans="1:39" ht="15.75" customHeight="1">
      <c r="A47" s="4"/>
      <c r="B47" s="481"/>
      <c r="C47" s="6"/>
      <c r="D47" s="6"/>
      <c r="E47" s="186"/>
      <c r="F47" s="186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S47" s="137"/>
      <c r="T47" s="137"/>
      <c r="U47" s="137"/>
      <c r="V47" s="137"/>
      <c r="W47" s="137"/>
      <c r="X47" s="137"/>
      <c r="Y47" s="137"/>
      <c r="Z47" s="277"/>
      <c r="AA47" s="137"/>
      <c r="AB47" s="137"/>
      <c r="AC47" s="137"/>
      <c r="AD47" s="137"/>
    </row>
    <row r="48" spans="1:39" ht="15.75" customHeight="1">
      <c r="A48" s="4"/>
      <c r="C48" s="6"/>
      <c r="D48" s="6"/>
      <c r="E48" s="186"/>
      <c r="F48" s="186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AC48" s="64"/>
      <c r="AD48" s="64"/>
    </row>
    <row r="49" spans="1:30" ht="9.75" customHeight="1">
      <c r="A49" s="4"/>
      <c r="B49" s="481"/>
      <c r="C49" s="6"/>
      <c r="D49" s="6"/>
      <c r="E49" s="186"/>
      <c r="F49" s="186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AB49" s="647"/>
      <c r="AC49" s="647"/>
      <c r="AD49" s="3"/>
    </row>
    <row r="50" spans="1:30" ht="15.75" customHeight="1">
      <c r="A50" s="4"/>
      <c r="B50" s="481"/>
      <c r="C50" s="6"/>
      <c r="D50" s="6"/>
      <c r="E50" s="186"/>
      <c r="F50" s="186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AB50" s="647"/>
      <c r="AC50" s="647"/>
      <c r="AD50" s="3"/>
    </row>
    <row r="51" spans="1:30" ht="15.75" customHeight="1">
      <c r="A51" s="4"/>
      <c r="B51" s="481"/>
      <c r="C51" s="6"/>
      <c r="D51" s="6"/>
      <c r="E51" s="186"/>
      <c r="F51" s="186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AB51" s="647"/>
      <c r="AC51" s="647"/>
      <c r="AD51" s="3"/>
    </row>
    <row r="52" spans="1:30" ht="15.75" customHeight="1">
      <c r="A52" s="649" t="s">
        <v>211</v>
      </c>
      <c r="B52" s="649"/>
      <c r="C52" s="649"/>
      <c r="D52" s="649"/>
      <c r="E52" s="649"/>
      <c r="F52" s="649"/>
      <c r="G52" s="649"/>
      <c r="H52" s="649"/>
      <c r="I52" s="649" t="s">
        <v>109</v>
      </c>
      <c r="J52" s="649"/>
      <c r="K52" s="649"/>
      <c r="L52" s="649"/>
      <c r="M52" s="649"/>
      <c r="N52" s="649"/>
      <c r="O52" s="649"/>
      <c r="P52" s="649"/>
      <c r="Q52" s="649"/>
      <c r="R52" s="649"/>
      <c r="S52" s="649" t="s">
        <v>107</v>
      </c>
      <c r="T52" s="649"/>
      <c r="U52" s="649"/>
      <c r="V52" s="649"/>
      <c r="W52" s="649"/>
      <c r="X52" s="649"/>
      <c r="Y52" s="649"/>
      <c r="Z52" s="649"/>
      <c r="AA52" s="649"/>
      <c r="AB52" s="649"/>
      <c r="AC52" s="649"/>
      <c r="AD52" s="7"/>
    </row>
    <row r="53" spans="1:30">
      <c r="A53" s="50"/>
      <c r="B53" s="52"/>
      <c r="C53" s="144"/>
      <c r="D53" s="144"/>
      <c r="E53" s="187"/>
      <c r="F53" s="187"/>
      <c r="G53" s="52"/>
      <c r="H53" s="52"/>
      <c r="I53" s="52"/>
      <c r="J53" s="4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278"/>
      <c r="AA53" s="52"/>
      <c r="AB53" s="651"/>
      <c r="AC53" s="651"/>
      <c r="AD53" s="41"/>
    </row>
    <row r="54" spans="1:30">
      <c r="B54" s="26"/>
      <c r="G54" s="26"/>
      <c r="H54" s="26"/>
      <c r="AB54" s="646"/>
      <c r="AC54" s="646"/>
      <c r="AD54" s="35"/>
    </row>
    <row r="55" spans="1:30">
      <c r="A55" s="4"/>
      <c r="B55" s="481"/>
      <c r="AB55" s="646"/>
      <c r="AC55" s="646"/>
      <c r="AD55" s="35"/>
    </row>
    <row r="56" spans="1:30">
      <c r="A56" s="4"/>
      <c r="B56" s="481"/>
      <c r="AB56" s="646"/>
      <c r="AC56" s="646"/>
      <c r="AD56" s="35"/>
    </row>
    <row r="57" spans="1:30">
      <c r="A57" s="4"/>
      <c r="B57" s="481"/>
      <c r="AB57" s="646"/>
      <c r="AC57" s="646"/>
      <c r="AD57" s="35"/>
    </row>
    <row r="58" spans="1:30">
      <c r="A58" s="4"/>
      <c r="B58" s="481"/>
      <c r="AB58" s="646"/>
      <c r="AC58" s="646"/>
      <c r="AD58" s="35"/>
    </row>
    <row r="59" spans="1:30">
      <c r="A59" s="4"/>
      <c r="B59" s="481"/>
      <c r="AB59" s="646"/>
      <c r="AC59" s="646"/>
      <c r="AD59" s="35"/>
    </row>
    <row r="60" spans="1:30">
      <c r="A60" s="4"/>
      <c r="B60" s="481"/>
      <c r="AB60" s="646"/>
      <c r="AC60" s="646"/>
      <c r="AD60" s="35"/>
    </row>
    <row r="61" spans="1:30">
      <c r="A61" s="4"/>
      <c r="B61" s="481"/>
      <c r="AB61" s="646"/>
      <c r="AC61" s="646"/>
      <c r="AD61" s="35"/>
    </row>
    <row r="62" spans="1:30">
      <c r="A62" s="4"/>
      <c r="B62" s="481"/>
      <c r="AB62" s="646"/>
      <c r="AC62" s="646"/>
      <c r="AD62" s="35"/>
    </row>
    <row r="63" spans="1:30">
      <c r="A63" s="4"/>
      <c r="B63" s="481"/>
      <c r="AB63" s="646"/>
      <c r="AC63" s="646"/>
      <c r="AD63" s="35"/>
    </row>
    <row r="64" spans="1:30">
      <c r="A64" s="4"/>
      <c r="B64" s="481"/>
      <c r="AB64" s="646"/>
      <c r="AC64" s="646"/>
      <c r="AD64" s="35"/>
    </row>
    <row r="65" spans="1:30">
      <c r="A65" s="4"/>
      <c r="B65" s="481"/>
      <c r="AB65" s="646"/>
      <c r="AC65" s="646"/>
      <c r="AD65" s="35"/>
    </row>
    <row r="66" spans="1:30">
      <c r="A66" s="4"/>
      <c r="B66" s="481"/>
      <c r="AB66" s="646"/>
      <c r="AC66" s="646"/>
      <c r="AD66" s="35"/>
    </row>
    <row r="67" spans="1:30">
      <c r="A67" s="4"/>
      <c r="B67" s="481"/>
      <c r="AB67" s="646"/>
      <c r="AC67" s="646"/>
      <c r="AD67" s="35"/>
    </row>
    <row r="68" spans="1:30">
      <c r="A68" s="4"/>
      <c r="B68" s="481"/>
      <c r="AB68" s="646"/>
      <c r="AC68" s="646"/>
      <c r="AD68" s="35"/>
    </row>
    <row r="69" spans="1:30">
      <c r="A69" s="4"/>
      <c r="B69" s="481"/>
      <c r="AB69" s="646"/>
      <c r="AC69" s="646"/>
      <c r="AD69" s="35"/>
    </row>
    <row r="70" spans="1:30">
      <c r="A70" s="4"/>
      <c r="B70" s="481"/>
      <c r="AB70" s="646"/>
      <c r="AC70" s="646"/>
      <c r="AD70" s="35"/>
    </row>
    <row r="71" spans="1:30">
      <c r="A71" s="4"/>
      <c r="B71" s="481"/>
      <c r="AB71" s="646"/>
      <c r="AC71" s="646"/>
      <c r="AD71" s="35"/>
    </row>
  </sheetData>
  <mergeCells count="64"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  <mergeCell ref="AB58:AC58"/>
    <mergeCell ref="AB59:AC59"/>
    <mergeCell ref="AB60:AC60"/>
    <mergeCell ref="AB61:AC61"/>
    <mergeCell ref="AB62:AC62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E27:AG27"/>
    <mergeCell ref="AD44:AD45"/>
    <mergeCell ref="A45:H45"/>
    <mergeCell ref="I45:R45"/>
    <mergeCell ref="S45:AC45"/>
    <mergeCell ref="A4:AC4"/>
    <mergeCell ref="A1:H1"/>
    <mergeCell ref="A2:H2"/>
    <mergeCell ref="Q3:AA3"/>
    <mergeCell ref="AB3:AC3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4.75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8.375" style="35" hidden="1" customWidth="1"/>
    <col min="11" max="12" width="8.375" style="34" customWidth="1"/>
    <col min="13" max="13" width="3.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875" style="34" customWidth="1"/>
    <col min="23" max="23" width="5.625" style="34" customWidth="1"/>
    <col min="24" max="24" width="9.75" style="34" customWidth="1"/>
    <col min="25" max="25" width="6.125" style="34" hidden="1" customWidth="1"/>
    <col min="26" max="26" width="9.75" style="34" customWidth="1"/>
    <col min="27" max="27" width="2.5" style="34" customWidth="1"/>
    <col min="28" max="28" width="14.375" style="5" customWidth="1"/>
    <col min="29" max="29" width="20.25" style="5" customWidth="1"/>
    <col min="30" max="35" width="9" style="15"/>
    <col min="36" max="36" width="9" style="45"/>
    <col min="37" max="16384" width="9" style="15"/>
  </cols>
  <sheetData>
    <row r="1" spans="1:37" ht="16.5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7"/>
      <c r="AD1" s="16"/>
      <c r="AE1" s="16"/>
      <c r="AF1" s="16"/>
      <c r="AG1" s="16"/>
      <c r="AH1" s="14"/>
    </row>
    <row r="2" spans="1:37" ht="16.5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0"/>
      <c r="AD2" s="17"/>
      <c r="AE2" s="17"/>
      <c r="AF2" s="17"/>
      <c r="AG2" s="17"/>
      <c r="AH2" s="14"/>
    </row>
    <row r="3" spans="1:37" ht="20.25" customHeight="1">
      <c r="A3" s="3"/>
      <c r="B3" s="35"/>
      <c r="C3" s="647"/>
      <c r="D3" s="647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35"/>
      <c r="AD3" s="3"/>
      <c r="AE3" s="647"/>
      <c r="AF3" s="647"/>
      <c r="AG3" s="692"/>
      <c r="AH3" s="692"/>
    </row>
    <row r="4" spans="1:37" ht="22.5" customHeight="1">
      <c r="A4" s="693" t="s">
        <v>151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1"/>
      <c r="AD4" s="16"/>
      <c r="AE4" s="16"/>
      <c r="AF4" s="16">
        <f>2.67*1150000*0.65</f>
        <v>1995825</v>
      </c>
      <c r="AG4" s="16"/>
      <c r="AH4" s="14"/>
    </row>
    <row r="5" spans="1:37" ht="22.5" customHeight="1">
      <c r="A5" s="693" t="s">
        <v>325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1"/>
      <c r="AD5" s="16"/>
      <c r="AE5" s="16"/>
      <c r="AF5" s="16"/>
      <c r="AG5" s="16"/>
      <c r="AH5" s="14"/>
    </row>
    <row r="6" spans="1:37" ht="18" customHeight="1">
      <c r="A6" s="7"/>
      <c r="B6" s="40"/>
      <c r="C6" s="7" t="s">
        <v>74</v>
      </c>
      <c r="D6" s="659"/>
      <c r="E6" s="659"/>
      <c r="F6" s="659"/>
      <c r="G6" s="659"/>
      <c r="H6" s="659"/>
      <c r="Q6" s="38" t="s">
        <v>214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56"/>
      <c r="AC6" s="56"/>
      <c r="AD6" s="16" t="s">
        <v>17</v>
      </c>
      <c r="AE6" s="16"/>
      <c r="AF6" s="16">
        <f>3*1150000</f>
        <v>3450000</v>
      </c>
      <c r="AG6" s="16">
        <f>2.67*1150000</f>
        <v>3070500</v>
      </c>
      <c r="AH6" s="16"/>
    </row>
    <row r="7" spans="1:37">
      <c r="A7" s="7"/>
      <c r="B7" s="127">
        <v>1490000</v>
      </c>
      <c r="C7" s="65">
        <v>1150000</v>
      </c>
      <c r="D7" s="659"/>
      <c r="E7" s="659"/>
      <c r="F7" s="659"/>
      <c r="G7" s="659"/>
      <c r="H7" s="659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8"/>
      <c r="AA7" s="38"/>
      <c r="AD7" s="16"/>
      <c r="AE7" s="16"/>
      <c r="AF7" s="16">
        <f>AF6*10.5%</f>
        <v>362250</v>
      </c>
      <c r="AG7" s="16">
        <f>AG6*10.5%</f>
        <v>322402.5</v>
      </c>
      <c r="AH7" s="16"/>
    </row>
    <row r="8" spans="1:37">
      <c r="A8" s="7"/>
      <c r="B8" s="40"/>
      <c r="C8" s="7"/>
      <c r="D8" s="686"/>
      <c r="E8" s="686"/>
      <c r="F8" s="686"/>
      <c r="G8" s="686"/>
      <c r="H8" s="68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55"/>
      <c r="AC8" s="55"/>
      <c r="AD8" s="16"/>
      <c r="AE8" s="16"/>
      <c r="AF8" s="15">
        <f>AF6-AF7</f>
        <v>3087750</v>
      </c>
      <c r="AG8" s="15">
        <f>AG6-AG7</f>
        <v>2748097.5</v>
      </c>
      <c r="AJ8" s="46"/>
    </row>
    <row r="9" spans="1:37" ht="12.7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8"/>
      <c r="AA9" s="43"/>
      <c r="AD9" s="16"/>
      <c r="AE9" s="16"/>
      <c r="AF9" s="15">
        <f>AF6*0.65</f>
        <v>2242500</v>
      </c>
      <c r="AG9" s="15">
        <f>AG6*0.65</f>
        <v>1995825</v>
      </c>
      <c r="AJ9" s="46"/>
    </row>
    <row r="10" spans="1:37" s="33" customFormat="1" ht="27.75" customHeight="1">
      <c r="A10" s="687" t="s">
        <v>2</v>
      </c>
      <c r="B10" s="687" t="s">
        <v>3</v>
      </c>
      <c r="C10" s="687"/>
      <c r="D10" s="688" t="s">
        <v>43</v>
      </c>
      <c r="E10" s="684" t="s">
        <v>221</v>
      </c>
      <c r="F10" s="689" t="s">
        <v>15</v>
      </c>
      <c r="G10" s="671" t="s">
        <v>116</v>
      </c>
      <c r="H10" s="684" t="s">
        <v>139</v>
      </c>
      <c r="I10" s="680" t="s">
        <v>166</v>
      </c>
      <c r="J10" s="680" t="s">
        <v>252</v>
      </c>
      <c r="K10" s="680" t="s">
        <v>253</v>
      </c>
      <c r="L10" s="680" t="s">
        <v>156</v>
      </c>
      <c r="M10" s="682"/>
      <c r="N10" s="684" t="s">
        <v>134</v>
      </c>
      <c r="O10" s="684" t="s">
        <v>135</v>
      </c>
      <c r="P10" s="671" t="s">
        <v>136</v>
      </c>
      <c r="Q10" s="664" t="s">
        <v>57</v>
      </c>
      <c r="R10" s="665"/>
      <c r="S10" s="665"/>
      <c r="T10" s="665"/>
      <c r="U10" s="666"/>
      <c r="V10" s="667" t="s">
        <v>154</v>
      </c>
      <c r="W10" s="668"/>
      <c r="X10" s="673" t="s">
        <v>258</v>
      </c>
      <c r="Y10" s="235"/>
      <c r="Z10" s="671" t="s">
        <v>140</v>
      </c>
      <c r="AA10" s="673" t="s">
        <v>5</v>
      </c>
      <c r="AB10" s="674"/>
      <c r="AC10" s="71"/>
      <c r="AD10" s="72"/>
      <c r="AE10" s="73"/>
      <c r="AF10" s="73">
        <f>AF9+AF8</f>
        <v>5330250</v>
      </c>
      <c r="AG10" s="73">
        <f>AG9+AG8</f>
        <v>4743922.5</v>
      </c>
      <c r="AH10" s="73"/>
      <c r="AI10" s="677"/>
      <c r="AJ10" s="74"/>
      <c r="AK10" s="67"/>
    </row>
    <row r="11" spans="1:37" s="33" customFormat="1" ht="41.25" customHeight="1">
      <c r="A11" s="687"/>
      <c r="B11" s="687"/>
      <c r="C11" s="687"/>
      <c r="D11" s="688"/>
      <c r="E11" s="685"/>
      <c r="F11" s="690"/>
      <c r="G11" s="672"/>
      <c r="H11" s="685"/>
      <c r="I11" s="681"/>
      <c r="J11" s="681"/>
      <c r="K11" s="681"/>
      <c r="L11" s="681"/>
      <c r="M11" s="683"/>
      <c r="N11" s="685"/>
      <c r="O11" s="685"/>
      <c r="P11" s="672"/>
      <c r="Q11" s="121" t="s">
        <v>101</v>
      </c>
      <c r="R11" s="121" t="s">
        <v>58</v>
      </c>
      <c r="S11" s="121" t="s">
        <v>52</v>
      </c>
      <c r="T11" s="119" t="s">
        <v>137</v>
      </c>
      <c r="U11" s="119" t="s">
        <v>138</v>
      </c>
      <c r="V11" s="119" t="s">
        <v>72</v>
      </c>
      <c r="W11" s="131" t="s">
        <v>156</v>
      </c>
      <c r="X11" s="675"/>
      <c r="Y11" s="236"/>
      <c r="Z11" s="672"/>
      <c r="AA11" s="675"/>
      <c r="AB11" s="676"/>
      <c r="AC11" s="71"/>
      <c r="AD11" s="72"/>
      <c r="AE11" s="73"/>
      <c r="AF11" s="73">
        <f>AF10+750000</f>
        <v>6080250</v>
      </c>
      <c r="AG11" s="73">
        <f>AG10+750000</f>
        <v>5493922.5</v>
      </c>
      <c r="AH11" s="73"/>
      <c r="AI11" s="677"/>
      <c r="AJ11" s="74"/>
      <c r="AK11" s="67"/>
    </row>
    <row r="12" spans="1:37" s="33" customFormat="1" ht="27.75" customHeight="1">
      <c r="A12" s="69" t="s">
        <v>141</v>
      </c>
      <c r="B12" s="230" t="s">
        <v>142</v>
      </c>
      <c r="C12" s="231"/>
      <c r="D12" s="70" t="s">
        <v>143</v>
      </c>
      <c r="E12" s="70"/>
      <c r="F12" s="129"/>
      <c r="G12" s="141" t="s">
        <v>144</v>
      </c>
      <c r="H12" s="130" t="s">
        <v>39</v>
      </c>
      <c r="I12" s="232" t="s">
        <v>37</v>
      </c>
      <c r="J12" s="232"/>
      <c r="K12" s="232" t="s">
        <v>38</v>
      </c>
      <c r="L12" s="232" t="s">
        <v>254</v>
      </c>
      <c r="M12" s="130"/>
      <c r="N12" s="130" t="s">
        <v>62</v>
      </c>
      <c r="O12" s="130" t="s">
        <v>40</v>
      </c>
      <c r="P12" s="232" t="s">
        <v>162</v>
      </c>
      <c r="Q12" s="130" t="s">
        <v>63</v>
      </c>
      <c r="R12" s="130" t="s">
        <v>64</v>
      </c>
      <c r="S12" s="130" t="s">
        <v>145</v>
      </c>
      <c r="T12" s="130" t="s">
        <v>146</v>
      </c>
      <c r="U12" s="232" t="s">
        <v>163</v>
      </c>
      <c r="V12" s="130" t="s">
        <v>147</v>
      </c>
      <c r="W12" s="130" t="s">
        <v>148</v>
      </c>
      <c r="X12" s="130" t="s">
        <v>149</v>
      </c>
      <c r="Y12" s="130" t="s">
        <v>157</v>
      </c>
      <c r="Z12" s="232" t="s">
        <v>257</v>
      </c>
      <c r="AA12" s="678" t="s">
        <v>158</v>
      </c>
      <c r="AB12" s="679"/>
      <c r="AC12" s="71"/>
      <c r="AD12" s="128"/>
      <c r="AE12" s="73"/>
      <c r="AF12" s="73"/>
      <c r="AG12" s="73"/>
      <c r="AH12" s="73"/>
      <c r="AI12" s="122"/>
      <c r="AJ12" s="74"/>
      <c r="AK12" s="67"/>
    </row>
    <row r="13" spans="1:37" s="209" customFormat="1" ht="30" customHeight="1">
      <c r="A13" s="216" t="s">
        <v>27</v>
      </c>
      <c r="B13" s="217" t="s">
        <v>240</v>
      </c>
      <c r="C13" s="218"/>
      <c r="D13" s="219" t="s">
        <v>241</v>
      </c>
      <c r="E13" s="220"/>
      <c r="F13" s="221"/>
      <c r="G13" s="222" t="s">
        <v>231</v>
      </c>
      <c r="H13" s="223">
        <v>6</v>
      </c>
      <c r="I13" s="224">
        <v>6036046</v>
      </c>
      <c r="J13" s="225"/>
      <c r="K13" s="224"/>
      <c r="L13" s="224">
        <f>ROUND(I13+K13,0)</f>
        <v>6036046</v>
      </c>
      <c r="M13" s="224"/>
      <c r="N13" s="224">
        <f>L13/24*M13</f>
        <v>0</v>
      </c>
      <c r="O13" s="224"/>
      <c r="P13" s="224">
        <f>L13-N13+O13</f>
        <v>6036046</v>
      </c>
      <c r="Q13" s="224">
        <f>L13*8%</f>
        <v>482883.68</v>
      </c>
      <c r="R13" s="226">
        <f>L13*1.5%</f>
        <v>90540.69</v>
      </c>
      <c r="S13" s="224">
        <f>L13*1%</f>
        <v>60360.46</v>
      </c>
      <c r="T13" s="226"/>
      <c r="U13" s="226">
        <f>SUM(Q13:T13)</f>
        <v>633784.82999999996</v>
      </c>
      <c r="V13" s="226"/>
      <c r="W13" s="227"/>
      <c r="X13" s="227">
        <v>852000</v>
      </c>
      <c r="Y13" s="227"/>
      <c r="Z13" s="226">
        <f>P13-U13+W13+X13</f>
        <v>6254261.1699999999</v>
      </c>
      <c r="AA13" s="228"/>
      <c r="AB13" s="229"/>
      <c r="AC13" s="89"/>
      <c r="AD13" s="96"/>
      <c r="AE13" s="97"/>
      <c r="AF13" s="97"/>
      <c r="AG13" s="97"/>
      <c r="AH13" s="97"/>
      <c r="AI13" s="96"/>
      <c r="AJ13" s="98"/>
    </row>
    <row r="14" spans="1:37" ht="23.25" customHeight="1">
      <c r="A14" s="75"/>
      <c r="B14" s="656" t="s">
        <v>11</v>
      </c>
      <c r="C14" s="657"/>
      <c r="D14" s="141"/>
      <c r="E14" s="141"/>
      <c r="F14" s="69"/>
      <c r="G14" s="69"/>
      <c r="H14" s="76">
        <f>SUM(H13:H13)</f>
        <v>6</v>
      </c>
      <c r="I14" s="68">
        <f>SUM(I13:I13)</f>
        <v>6036046</v>
      </c>
      <c r="J14" s="134">
        <f>SUM(J13:J13)</f>
        <v>0</v>
      </c>
      <c r="K14" s="68">
        <f>SUM(K13:K13)</f>
        <v>0</v>
      </c>
      <c r="L14" s="68">
        <f>SUM(L13:L13)</f>
        <v>6036046</v>
      </c>
      <c r="M14" s="68"/>
      <c r="N14" s="68">
        <f t="shared" ref="N14:Y14" si="0">SUM(N13:N13)</f>
        <v>0</v>
      </c>
      <c r="O14" s="68">
        <f t="shared" si="0"/>
        <v>0</v>
      </c>
      <c r="P14" s="68">
        <f t="shared" si="0"/>
        <v>6036046</v>
      </c>
      <c r="Q14" s="68">
        <f t="shared" si="0"/>
        <v>482883.68</v>
      </c>
      <c r="R14" s="68">
        <f t="shared" si="0"/>
        <v>90540.69</v>
      </c>
      <c r="S14" s="68">
        <f t="shared" si="0"/>
        <v>60360.46</v>
      </c>
      <c r="T14" s="134">
        <f t="shared" si="0"/>
        <v>0</v>
      </c>
      <c r="U14" s="68">
        <f t="shared" si="0"/>
        <v>633784.82999999996</v>
      </c>
      <c r="V14" s="80">
        <f t="shared" si="0"/>
        <v>0</v>
      </c>
      <c r="W14" s="68">
        <f t="shared" si="0"/>
        <v>0</v>
      </c>
      <c r="X14" s="68">
        <f t="shared" si="0"/>
        <v>852000</v>
      </c>
      <c r="Y14" s="68">
        <f t="shared" si="0"/>
        <v>0</v>
      </c>
      <c r="Z14" s="68">
        <f>SUM(Z13:Z13)</f>
        <v>6254261.1699999999</v>
      </c>
      <c r="AA14" s="77"/>
      <c r="AB14" s="78"/>
      <c r="AC14" s="79"/>
      <c r="AD14" s="60" t="s">
        <v>65</v>
      </c>
      <c r="AE14" s="49"/>
      <c r="AF14" s="49"/>
      <c r="AG14" s="32"/>
      <c r="AH14" s="32"/>
      <c r="AI14" s="32"/>
      <c r="AJ14" s="48"/>
      <c r="AK14" s="32"/>
    </row>
    <row r="15" spans="1:37" ht="6.75" customHeight="1">
      <c r="A15" s="5"/>
      <c r="B15" s="123"/>
      <c r="C15" s="53"/>
      <c r="D15" s="142"/>
      <c r="E15" s="142"/>
      <c r="F15" s="183"/>
      <c r="G15" s="37"/>
      <c r="H15" s="36"/>
      <c r="I15" s="42"/>
      <c r="J15" s="36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4"/>
      <c r="AB15" s="57"/>
      <c r="AC15" s="57"/>
      <c r="AD15" s="54"/>
      <c r="AE15" s="54"/>
      <c r="AF15" s="54"/>
    </row>
    <row r="16" spans="1:37" ht="18" customHeight="1">
      <c r="A16" s="4"/>
      <c r="B16" s="658" t="s">
        <v>12</v>
      </c>
      <c r="C16" s="658"/>
      <c r="D16" s="16" t="s">
        <v>307</v>
      </c>
      <c r="E16" s="16"/>
      <c r="S16" s="17"/>
      <c r="T16" s="17"/>
      <c r="U16" s="17"/>
      <c r="V16" s="17"/>
      <c r="W16" s="17"/>
      <c r="X16" s="17"/>
      <c r="Y16" s="17"/>
      <c r="Z16" s="17"/>
      <c r="AA16" s="16"/>
      <c r="AB16" s="56"/>
      <c r="AC16" s="56"/>
      <c r="AD16" s="58"/>
      <c r="AE16" s="49"/>
      <c r="AF16" s="49"/>
    </row>
    <row r="17" spans="1:38" ht="7.5" customHeight="1">
      <c r="A17" s="4"/>
      <c r="B17" s="658"/>
      <c r="C17" s="658"/>
      <c r="D17" s="143"/>
      <c r="E17" s="143"/>
      <c r="F17" s="185"/>
      <c r="G17" s="39"/>
      <c r="H17" s="39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659"/>
      <c r="AB17" s="659"/>
      <c r="AC17" s="40"/>
      <c r="AD17" s="648" t="e">
        <f>1000000-#REF!</f>
        <v>#REF!</v>
      </c>
      <c r="AE17" s="645"/>
      <c r="AF17" s="645"/>
    </row>
    <row r="18" spans="1:38" ht="15.75" customHeight="1">
      <c r="A18" s="4"/>
      <c r="B18" s="645"/>
      <c r="C18" s="645"/>
      <c r="D18" s="6"/>
      <c r="E18" s="6"/>
      <c r="F18" s="186"/>
      <c r="G18" s="4"/>
      <c r="H18" s="4"/>
      <c r="S18" s="660" t="s">
        <v>326</v>
      </c>
      <c r="T18" s="660"/>
      <c r="U18" s="660"/>
      <c r="V18" s="660"/>
      <c r="W18" s="660"/>
      <c r="X18" s="660"/>
      <c r="Y18" s="660"/>
      <c r="Z18" s="660"/>
      <c r="AA18" s="660"/>
      <c r="AB18" s="660"/>
      <c r="AC18" s="661"/>
      <c r="AD18" s="645"/>
      <c r="AE18" s="645"/>
      <c r="AF18" s="645"/>
    </row>
    <row r="19" spans="1:38" ht="15.75" customHeight="1">
      <c r="A19" s="649" t="s">
        <v>13</v>
      </c>
      <c r="B19" s="649"/>
      <c r="C19" s="649"/>
      <c r="D19" s="649"/>
      <c r="E19" s="649"/>
      <c r="F19" s="649"/>
      <c r="G19" s="649"/>
      <c r="H19" s="649"/>
      <c r="I19" s="649" t="s">
        <v>169</v>
      </c>
      <c r="J19" s="649"/>
      <c r="K19" s="649"/>
      <c r="L19" s="649"/>
      <c r="M19" s="649"/>
      <c r="N19" s="649"/>
      <c r="O19" s="649"/>
      <c r="P19" s="649"/>
      <c r="Q19" s="649"/>
      <c r="R19" s="649"/>
      <c r="S19" s="663" t="s">
        <v>14</v>
      </c>
      <c r="T19" s="663"/>
      <c r="U19" s="663"/>
      <c r="V19" s="663"/>
      <c r="W19" s="663"/>
      <c r="X19" s="663"/>
      <c r="Y19" s="663"/>
      <c r="Z19" s="663"/>
      <c r="AA19" s="663"/>
      <c r="AB19" s="663"/>
      <c r="AC19" s="662"/>
      <c r="AD19" s="650"/>
      <c r="AE19" s="650"/>
      <c r="AF19" s="650"/>
    </row>
    <row r="20" spans="1:38" ht="15.75" customHeight="1">
      <c r="A20" s="4"/>
      <c r="B20" s="647"/>
      <c r="C20" s="647"/>
      <c r="D20" s="6"/>
      <c r="E20" s="6"/>
      <c r="F20" s="186"/>
      <c r="G20" s="4"/>
      <c r="H20" s="4"/>
      <c r="I20" s="3"/>
      <c r="J20" s="3"/>
      <c r="K20" s="3"/>
      <c r="L20" s="3"/>
      <c r="M20" s="3"/>
      <c r="N20" s="3"/>
      <c r="O20" s="3"/>
      <c r="P20" s="3"/>
      <c r="Q20" s="59"/>
      <c r="R20" s="3"/>
      <c r="S20" s="3"/>
      <c r="T20" s="3"/>
      <c r="U20" s="3"/>
      <c r="V20" s="3"/>
      <c r="AA20" s="647"/>
      <c r="AB20" s="647"/>
      <c r="AC20" s="3"/>
      <c r="AD20" s="645"/>
      <c r="AE20" s="645"/>
      <c r="AF20" s="645"/>
    </row>
    <row r="21" spans="1:38" ht="15.75" customHeight="1">
      <c r="A21" s="4"/>
      <c r="B21" s="645"/>
      <c r="C21" s="645"/>
      <c r="D21" s="6"/>
      <c r="E21" s="6"/>
      <c r="F21" s="186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4"/>
      <c r="AF21" s="64"/>
      <c r="AG21" s="64"/>
      <c r="AH21" s="64"/>
      <c r="AI21" s="64"/>
      <c r="AJ21" s="64"/>
      <c r="AK21" s="64"/>
      <c r="AL21" s="64"/>
    </row>
    <row r="22" spans="1:38" ht="15.75" customHeight="1">
      <c r="A22" s="4"/>
      <c r="C22" s="4"/>
      <c r="D22" s="6"/>
      <c r="E22" s="6"/>
      <c r="F22" s="186"/>
      <c r="G22" s="4"/>
      <c r="H22" s="4"/>
      <c r="I22" s="3"/>
      <c r="J22" s="3"/>
      <c r="K22" s="3"/>
      <c r="L22" s="3" t="s">
        <v>167</v>
      </c>
      <c r="M22" s="3"/>
      <c r="N22" s="3"/>
      <c r="O22" s="3"/>
      <c r="P22" s="3"/>
      <c r="Q22" s="3"/>
      <c r="R22" s="3"/>
      <c r="S22" s="3"/>
      <c r="T22" s="3"/>
      <c r="U22" s="3"/>
      <c r="V22" s="3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</row>
    <row r="23" spans="1:38">
      <c r="A23" s="4"/>
      <c r="B23" s="645"/>
      <c r="C23" s="645"/>
      <c r="D23" s="6"/>
      <c r="E23" s="6"/>
      <c r="F23" s="186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AA23" s="647"/>
      <c r="AB23" s="647"/>
      <c r="AC23" s="3"/>
      <c r="AD23" s="648"/>
      <c r="AE23" s="645"/>
      <c r="AF23" s="645"/>
    </row>
    <row r="24" spans="1:38" ht="15.75" customHeight="1">
      <c r="A24" s="4"/>
      <c r="B24" s="645"/>
      <c r="C24" s="645"/>
      <c r="D24" s="6"/>
      <c r="E24" s="6"/>
      <c r="F24" s="186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AA24" s="647"/>
      <c r="AB24" s="647"/>
      <c r="AC24" s="3"/>
      <c r="AD24" s="648"/>
      <c r="AE24" s="645"/>
      <c r="AF24" s="645"/>
    </row>
    <row r="25" spans="1:38" ht="15.75" customHeight="1">
      <c r="A25" s="4"/>
      <c r="B25" s="645"/>
      <c r="C25" s="645"/>
      <c r="D25" s="6"/>
      <c r="E25" s="6"/>
      <c r="F25" s="186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AA25" s="647"/>
      <c r="AB25" s="647"/>
      <c r="AC25" s="3"/>
      <c r="AD25" s="648"/>
      <c r="AE25" s="645"/>
      <c r="AF25" s="645"/>
    </row>
    <row r="26" spans="1:38" ht="15.75" customHeight="1">
      <c r="A26" s="649" t="s">
        <v>211</v>
      </c>
      <c r="B26" s="649"/>
      <c r="C26" s="649"/>
      <c r="D26" s="649"/>
      <c r="E26" s="649"/>
      <c r="F26" s="649"/>
      <c r="G26" s="649"/>
      <c r="H26" s="649"/>
      <c r="I26" s="649" t="s">
        <v>109</v>
      </c>
      <c r="J26" s="649"/>
      <c r="K26" s="649"/>
      <c r="L26" s="649"/>
      <c r="M26" s="649"/>
      <c r="N26" s="649"/>
      <c r="O26" s="649"/>
      <c r="P26" s="649"/>
      <c r="Q26" s="649"/>
      <c r="R26" s="649"/>
      <c r="S26" s="649" t="s">
        <v>107</v>
      </c>
      <c r="T26" s="649"/>
      <c r="U26" s="649"/>
      <c r="V26" s="649"/>
      <c r="W26" s="649"/>
      <c r="X26" s="649"/>
      <c r="Y26" s="649"/>
      <c r="Z26" s="649"/>
      <c r="AA26" s="649"/>
      <c r="AB26" s="649"/>
      <c r="AC26" s="7"/>
      <c r="AD26" s="650"/>
      <c r="AE26" s="650"/>
      <c r="AF26" s="650"/>
    </row>
    <row r="27" spans="1:38">
      <c r="A27" s="50"/>
      <c r="B27" s="52"/>
      <c r="C27" s="51"/>
      <c r="D27" s="144"/>
      <c r="E27" s="144"/>
      <c r="F27" s="187"/>
      <c r="G27" s="52"/>
      <c r="H27" s="52"/>
      <c r="I27" s="52"/>
      <c r="J27" s="4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651"/>
      <c r="AB27" s="651"/>
      <c r="AC27" s="41"/>
      <c r="AD27" s="648"/>
      <c r="AE27" s="645"/>
      <c r="AF27" s="645"/>
    </row>
    <row r="28" spans="1:38">
      <c r="B28" s="26"/>
      <c r="C28" s="18"/>
      <c r="G28" s="26"/>
      <c r="H28" s="26"/>
      <c r="AA28" s="646"/>
      <c r="AB28" s="646"/>
      <c r="AC28" s="35"/>
      <c r="AD28" s="645"/>
      <c r="AE28" s="645"/>
      <c r="AF28" s="645"/>
    </row>
    <row r="29" spans="1:38">
      <c r="A29" s="4"/>
      <c r="B29" s="645"/>
      <c r="C29" s="645"/>
      <c r="AA29" s="646"/>
      <c r="AB29" s="646"/>
      <c r="AC29" s="35"/>
      <c r="AD29" s="645"/>
      <c r="AE29" s="645"/>
      <c r="AF29" s="645"/>
    </row>
    <row r="30" spans="1:38">
      <c r="A30" s="4"/>
      <c r="B30" s="645"/>
      <c r="C30" s="645"/>
      <c r="AA30" s="646"/>
      <c r="AB30" s="646"/>
      <c r="AC30" s="35"/>
      <c r="AD30" s="645"/>
      <c r="AE30" s="645"/>
      <c r="AF30" s="645"/>
    </row>
    <row r="31" spans="1:38">
      <c r="A31" s="4"/>
      <c r="B31" s="645"/>
      <c r="C31" s="645"/>
      <c r="AA31" s="646"/>
      <c r="AB31" s="646"/>
      <c r="AC31" s="35"/>
      <c r="AD31" s="645"/>
      <c r="AE31" s="645"/>
      <c r="AF31" s="645"/>
    </row>
    <row r="32" spans="1:38">
      <c r="A32" s="4"/>
      <c r="B32" s="645"/>
      <c r="C32" s="645"/>
      <c r="AA32" s="646"/>
      <c r="AB32" s="646"/>
      <c r="AC32" s="35"/>
      <c r="AD32" s="645"/>
      <c r="AE32" s="645"/>
      <c r="AF32" s="645"/>
    </row>
    <row r="33" spans="1:32">
      <c r="A33" s="4"/>
      <c r="B33" s="645"/>
      <c r="C33" s="645"/>
      <c r="AA33" s="646"/>
      <c r="AB33" s="646"/>
      <c r="AC33" s="35"/>
      <c r="AD33" s="645"/>
      <c r="AE33" s="645"/>
      <c r="AF33" s="645"/>
    </row>
    <row r="34" spans="1:32">
      <c r="A34" s="4"/>
      <c r="B34" s="645"/>
      <c r="C34" s="645"/>
      <c r="AA34" s="646"/>
      <c r="AB34" s="646"/>
      <c r="AC34" s="35"/>
      <c r="AD34" s="645"/>
      <c r="AE34" s="645"/>
      <c r="AF34" s="645"/>
    </row>
    <row r="35" spans="1:32">
      <c r="A35" s="4"/>
      <c r="B35" s="645"/>
      <c r="C35" s="645"/>
      <c r="AA35" s="646"/>
      <c r="AB35" s="646"/>
      <c r="AC35" s="35"/>
      <c r="AD35" s="645"/>
      <c r="AE35" s="645"/>
      <c r="AF35" s="645"/>
    </row>
    <row r="36" spans="1:32">
      <c r="A36" s="4"/>
      <c r="B36" s="645"/>
      <c r="C36" s="645"/>
      <c r="AA36" s="646"/>
      <c r="AB36" s="646"/>
      <c r="AC36" s="35"/>
      <c r="AD36" s="645"/>
      <c r="AE36" s="645"/>
      <c r="AF36" s="645"/>
    </row>
    <row r="37" spans="1:32">
      <c r="A37" s="4"/>
      <c r="B37" s="645"/>
      <c r="C37" s="645"/>
      <c r="AA37" s="646"/>
      <c r="AB37" s="646"/>
      <c r="AC37" s="35"/>
      <c r="AD37" s="645"/>
      <c r="AE37" s="645"/>
      <c r="AF37" s="645"/>
    </row>
    <row r="38" spans="1:32">
      <c r="A38" s="4"/>
      <c r="B38" s="645"/>
      <c r="C38" s="645"/>
      <c r="AA38" s="646"/>
      <c r="AB38" s="646"/>
      <c r="AC38" s="35"/>
      <c r="AD38" s="645"/>
      <c r="AE38" s="645"/>
      <c r="AF38" s="645"/>
    </row>
    <row r="39" spans="1:32">
      <c r="A39" s="4"/>
      <c r="B39" s="645"/>
      <c r="C39" s="645"/>
      <c r="AA39" s="646"/>
      <c r="AB39" s="646"/>
      <c r="AC39" s="35"/>
      <c r="AD39" s="645"/>
      <c r="AE39" s="645"/>
      <c r="AF39" s="645"/>
    </row>
    <row r="40" spans="1:32">
      <c r="A40" s="4"/>
      <c r="B40" s="645"/>
      <c r="C40" s="645"/>
      <c r="AA40" s="646"/>
      <c r="AB40" s="646"/>
      <c r="AC40" s="35"/>
      <c r="AD40" s="645"/>
      <c r="AE40" s="645"/>
      <c r="AF40" s="645"/>
    </row>
    <row r="41" spans="1:32">
      <c r="A41" s="4"/>
      <c r="B41" s="645"/>
      <c r="C41" s="645"/>
      <c r="AA41" s="646"/>
      <c r="AB41" s="646"/>
      <c r="AC41" s="35"/>
      <c r="AD41" s="645"/>
      <c r="AE41" s="645"/>
      <c r="AF41" s="645"/>
    </row>
    <row r="42" spans="1:32">
      <c r="A42" s="4"/>
      <c r="B42" s="645"/>
      <c r="C42" s="645"/>
      <c r="AA42" s="646"/>
      <c r="AB42" s="646"/>
      <c r="AC42" s="35"/>
      <c r="AD42" s="645"/>
      <c r="AE42" s="645"/>
      <c r="AF42" s="645"/>
    </row>
    <row r="43" spans="1:32">
      <c r="A43" s="4"/>
      <c r="B43" s="645"/>
      <c r="C43" s="645"/>
      <c r="AA43" s="646"/>
      <c r="AB43" s="646"/>
      <c r="AC43" s="35"/>
      <c r="AD43" s="645"/>
      <c r="AE43" s="645"/>
      <c r="AF43" s="645"/>
    </row>
    <row r="44" spans="1:32">
      <c r="A44" s="4"/>
      <c r="B44" s="645"/>
      <c r="C44" s="645"/>
      <c r="AA44" s="646"/>
      <c r="AB44" s="646"/>
      <c r="AC44" s="35"/>
      <c r="AD44" s="645"/>
      <c r="AE44" s="645"/>
      <c r="AF44" s="645"/>
    </row>
    <row r="45" spans="1:32">
      <c r="A45" s="4"/>
      <c r="B45" s="645"/>
      <c r="C45" s="645"/>
      <c r="AA45" s="646"/>
      <c r="AB45" s="646"/>
      <c r="AC45" s="35"/>
      <c r="AD45" s="645"/>
      <c r="AE45" s="645"/>
      <c r="AF45" s="645"/>
    </row>
  </sheetData>
  <mergeCells count="119">
    <mergeCell ref="A1:H1"/>
    <mergeCell ref="A2:H2"/>
    <mergeCell ref="C3:D3"/>
    <mergeCell ref="Q3:Z3"/>
    <mergeCell ref="AA3:AB3"/>
    <mergeCell ref="AE3:AF3"/>
    <mergeCell ref="AG3:AH3"/>
    <mergeCell ref="A4:AB4"/>
    <mergeCell ref="A5:AB5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K113"/>
  <sheetViews>
    <sheetView zoomScaleNormal="100" workbookViewId="0">
      <selection activeCell="P6" sqref="P6"/>
    </sheetView>
  </sheetViews>
  <sheetFormatPr defaultRowHeight="15"/>
  <cols>
    <col min="1" max="1" width="5.125" style="15" customWidth="1"/>
    <col min="2" max="2" width="16.25" style="34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3.5" style="184" hidden="1" customWidth="1"/>
    <col min="7" max="7" width="7.375" style="34" customWidth="1"/>
    <col min="8" max="8" width="6.125" style="34" customWidth="1"/>
    <col min="9" max="9" width="11.75" style="34" customWidth="1"/>
    <col min="10" max="10" width="11.75" style="35" hidden="1" customWidth="1"/>
    <col min="11" max="11" width="9.625" style="34" customWidth="1"/>
    <col min="12" max="12" width="11.75" style="34" customWidth="1"/>
    <col min="13" max="13" width="11.75" style="34" hidden="1" customWidth="1"/>
    <col min="14" max="14" width="10.875" style="34" customWidth="1"/>
    <col min="15" max="15" width="6.875" style="34" customWidth="1"/>
    <col min="16" max="16" width="11.375" style="34" customWidth="1"/>
    <col min="17" max="17" width="9.875" style="34" customWidth="1"/>
    <col min="18" max="18" width="9.25" style="34" customWidth="1"/>
    <col min="19" max="19" width="9.5" style="34" customWidth="1"/>
    <col min="20" max="20" width="5.875" style="34" customWidth="1"/>
    <col min="21" max="21" width="11.125" style="34" customWidth="1"/>
    <col min="22" max="22" width="5.625" style="34" customWidth="1"/>
    <col min="23" max="23" width="6.5" style="34" customWidth="1"/>
    <col min="24" max="24" width="6.125" style="34" customWidth="1"/>
    <col min="25" max="25" width="6.25" style="34" customWidth="1"/>
    <col min="26" max="26" width="8" style="286" customWidth="1"/>
    <col min="27" max="27" width="12.5" style="34" customWidth="1"/>
    <col min="28" max="28" width="4.125" style="34" customWidth="1"/>
    <col min="29" max="29" width="10.625" style="5" customWidth="1"/>
    <col min="30" max="37" width="9" style="32"/>
    <col min="38" max="16384" width="9" style="15"/>
  </cols>
  <sheetData>
    <row r="1" spans="1:37">
      <c r="A1" s="691" t="s">
        <v>66</v>
      </c>
      <c r="B1" s="691"/>
      <c r="C1" s="691"/>
      <c r="D1" s="691"/>
      <c r="E1" s="691"/>
      <c r="F1" s="691"/>
      <c r="G1" s="691"/>
      <c r="H1" s="691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280"/>
      <c r="AA1" s="16"/>
      <c r="AB1" s="16"/>
      <c r="AC1" s="16"/>
    </row>
    <row r="2" spans="1:37">
      <c r="A2" s="649" t="s">
        <v>172</v>
      </c>
      <c r="B2" s="649"/>
      <c r="C2" s="649"/>
      <c r="D2" s="649"/>
      <c r="E2" s="649"/>
      <c r="F2" s="649"/>
      <c r="G2" s="649"/>
      <c r="H2" s="649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281"/>
      <c r="AA2" s="17"/>
      <c r="AB2" s="17"/>
      <c r="AC2" s="17"/>
    </row>
    <row r="3" spans="1:37" ht="3.75" customHeight="1">
      <c r="A3" s="3"/>
      <c r="B3" s="35"/>
      <c r="C3" s="475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</row>
    <row r="4" spans="1:37" ht="22.5" customHeight="1">
      <c r="A4" s="693" t="s">
        <v>379</v>
      </c>
      <c r="B4" s="693"/>
      <c r="C4" s="693"/>
      <c r="D4" s="693"/>
      <c r="E4" s="693"/>
      <c r="F4" s="693"/>
      <c r="G4" s="693"/>
      <c r="H4" s="693"/>
      <c r="I4" s="693"/>
      <c r="J4" s="693"/>
      <c r="K4" s="693"/>
      <c r="L4" s="693"/>
      <c r="M4" s="693"/>
      <c r="N4" s="693"/>
      <c r="O4" s="693"/>
      <c r="P4" s="693"/>
      <c r="Q4" s="693"/>
      <c r="R4" s="693"/>
      <c r="S4" s="693"/>
      <c r="T4" s="693"/>
      <c r="U4" s="693"/>
      <c r="V4" s="693"/>
      <c r="W4" s="693"/>
      <c r="X4" s="693"/>
      <c r="Y4" s="693"/>
      <c r="Z4" s="693"/>
      <c r="AA4" s="693"/>
      <c r="AB4" s="693"/>
      <c r="AC4" s="693"/>
    </row>
    <row r="5" spans="1:37" ht="22.5" customHeight="1">
      <c r="A5" s="693" t="s">
        <v>462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</row>
    <row r="6" spans="1:37" ht="18" customHeight="1">
      <c r="A6" s="7"/>
      <c r="B6" s="40"/>
      <c r="C6" s="659"/>
      <c r="D6" s="659"/>
      <c r="E6" s="659"/>
      <c r="F6" s="659"/>
      <c r="G6" s="659"/>
      <c r="H6" s="659"/>
      <c r="Q6" s="38" t="s">
        <v>465</v>
      </c>
      <c r="R6" s="38"/>
      <c r="S6" s="38"/>
      <c r="T6" s="38"/>
      <c r="U6" s="38"/>
      <c r="V6" s="38"/>
      <c r="W6" s="38"/>
      <c r="X6" s="38"/>
      <c r="Y6" s="38"/>
      <c r="Z6" s="282"/>
      <c r="AA6" s="38"/>
      <c r="AB6" s="38"/>
      <c r="AC6" s="56"/>
    </row>
    <row r="7" spans="1:37">
      <c r="A7" s="7"/>
      <c r="B7" s="127">
        <v>1490000</v>
      </c>
      <c r="C7" s="659"/>
      <c r="D7" s="659"/>
      <c r="E7" s="659"/>
      <c r="F7" s="659"/>
      <c r="G7" s="659"/>
      <c r="H7" s="659"/>
      <c r="I7" s="38"/>
      <c r="J7" s="40"/>
      <c r="K7" s="38"/>
      <c r="L7" s="38"/>
      <c r="M7" s="38"/>
      <c r="N7" s="38"/>
      <c r="O7" s="38"/>
      <c r="P7" s="38"/>
      <c r="Q7" s="38" t="s">
        <v>466</v>
      </c>
      <c r="R7" s="38"/>
      <c r="S7" s="38"/>
      <c r="T7" s="38"/>
      <c r="U7" s="38"/>
      <c r="V7" s="38"/>
      <c r="W7" s="38"/>
      <c r="X7" s="38"/>
      <c r="Y7" s="38"/>
      <c r="Z7" s="282"/>
      <c r="AA7" s="38"/>
      <c r="AB7" s="38"/>
    </row>
    <row r="8" spans="1:37">
      <c r="A8" s="7"/>
      <c r="B8" s="40"/>
      <c r="C8" s="686"/>
      <c r="D8" s="686"/>
      <c r="E8" s="686"/>
      <c r="F8" s="686"/>
      <c r="G8" s="686"/>
      <c r="H8" s="68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283"/>
      <c r="AA8" s="42"/>
      <c r="AB8" s="42"/>
      <c r="AC8" s="55"/>
    </row>
    <row r="9" spans="1:37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282"/>
      <c r="AA9" s="38"/>
      <c r="AB9" s="43"/>
    </row>
    <row r="10" spans="1:37" s="33" customFormat="1" ht="27.75" customHeight="1">
      <c r="A10" s="687" t="s">
        <v>2</v>
      </c>
      <c r="B10" s="687" t="s">
        <v>3</v>
      </c>
      <c r="C10" s="688" t="s">
        <v>43</v>
      </c>
      <c r="D10" s="684" t="s">
        <v>221</v>
      </c>
      <c r="E10" s="689" t="s">
        <v>401</v>
      </c>
      <c r="F10" s="689" t="s">
        <v>402</v>
      </c>
      <c r="G10" s="671" t="s">
        <v>116</v>
      </c>
      <c r="H10" s="684" t="s">
        <v>256</v>
      </c>
      <c r="I10" s="680" t="s">
        <v>166</v>
      </c>
      <c r="J10" s="680" t="s">
        <v>252</v>
      </c>
      <c r="K10" s="680" t="s">
        <v>253</v>
      </c>
      <c r="L10" s="680" t="s">
        <v>156</v>
      </c>
      <c r="M10" s="682"/>
      <c r="N10" s="684" t="s">
        <v>134</v>
      </c>
      <c r="O10" s="684" t="s">
        <v>135</v>
      </c>
      <c r="P10" s="671" t="s">
        <v>136</v>
      </c>
      <c r="Q10" s="664" t="s">
        <v>57</v>
      </c>
      <c r="R10" s="665"/>
      <c r="S10" s="665"/>
      <c r="T10" s="665"/>
      <c r="U10" s="666"/>
      <c r="V10" s="667" t="s">
        <v>154</v>
      </c>
      <c r="W10" s="668"/>
      <c r="X10" s="667" t="s">
        <v>155</v>
      </c>
      <c r="Y10" s="668"/>
      <c r="Z10" s="669" t="s">
        <v>258</v>
      </c>
      <c r="AA10" s="671" t="s">
        <v>140</v>
      </c>
      <c r="AB10" s="673" t="s">
        <v>5</v>
      </c>
      <c r="AC10" s="674"/>
      <c r="AD10" s="67"/>
      <c r="AE10" s="67"/>
      <c r="AF10" s="67"/>
      <c r="AG10" s="67"/>
      <c r="AH10" s="67"/>
      <c r="AI10" s="67"/>
      <c r="AJ10" s="67"/>
      <c r="AK10" s="67"/>
    </row>
    <row r="11" spans="1:37" s="33" customFormat="1" ht="41.25" customHeight="1">
      <c r="A11" s="687"/>
      <c r="B11" s="687"/>
      <c r="C11" s="688"/>
      <c r="D11" s="685"/>
      <c r="E11" s="690"/>
      <c r="F11" s="690"/>
      <c r="G11" s="672"/>
      <c r="H11" s="685"/>
      <c r="I11" s="681"/>
      <c r="J11" s="681"/>
      <c r="K11" s="681"/>
      <c r="L11" s="681"/>
      <c r="M11" s="683"/>
      <c r="N11" s="685"/>
      <c r="O11" s="685"/>
      <c r="P11" s="672"/>
      <c r="Q11" s="121" t="s">
        <v>101</v>
      </c>
      <c r="R11" s="121" t="s">
        <v>58</v>
      </c>
      <c r="S11" s="121" t="s">
        <v>52</v>
      </c>
      <c r="T11" s="119" t="s">
        <v>137</v>
      </c>
      <c r="U11" s="119" t="s">
        <v>138</v>
      </c>
      <c r="V11" s="119" t="s">
        <v>72</v>
      </c>
      <c r="W11" s="269" t="s">
        <v>156</v>
      </c>
      <c r="X11" s="119" t="s">
        <v>72</v>
      </c>
      <c r="Y11" s="269" t="s">
        <v>156</v>
      </c>
      <c r="Z11" s="670"/>
      <c r="AA11" s="672"/>
      <c r="AB11" s="675"/>
      <c r="AC11" s="676"/>
      <c r="AD11" s="67"/>
      <c r="AE11" s="67"/>
      <c r="AF11" s="67"/>
      <c r="AG11" s="67"/>
      <c r="AH11" s="67"/>
      <c r="AI11" s="67"/>
      <c r="AJ11" s="67"/>
      <c r="AK11" s="67"/>
    </row>
    <row r="12" spans="1:37" s="33" customFormat="1" ht="27.75" customHeight="1">
      <c r="A12" s="69" t="s">
        <v>141</v>
      </c>
      <c r="B12" s="230" t="s">
        <v>142</v>
      </c>
      <c r="C12" s="70" t="s">
        <v>143</v>
      </c>
      <c r="D12" s="70"/>
      <c r="E12" s="129"/>
      <c r="F12" s="129"/>
      <c r="G12" s="141" t="s">
        <v>144</v>
      </c>
      <c r="H12" s="130" t="s">
        <v>39</v>
      </c>
      <c r="I12" s="232" t="s">
        <v>37</v>
      </c>
      <c r="J12" s="232"/>
      <c r="K12" s="232" t="s">
        <v>38</v>
      </c>
      <c r="L12" s="232" t="s">
        <v>254</v>
      </c>
      <c r="M12" s="130"/>
      <c r="N12" s="130" t="s">
        <v>62</v>
      </c>
      <c r="O12" s="130" t="s">
        <v>40</v>
      </c>
      <c r="P12" s="232" t="s">
        <v>162</v>
      </c>
      <c r="Q12" s="130" t="s">
        <v>63</v>
      </c>
      <c r="R12" s="130" t="s">
        <v>64</v>
      </c>
      <c r="S12" s="130" t="s">
        <v>145</v>
      </c>
      <c r="T12" s="130" t="s">
        <v>146</v>
      </c>
      <c r="U12" s="232" t="s">
        <v>163</v>
      </c>
      <c r="V12" s="130" t="s">
        <v>147</v>
      </c>
      <c r="W12" s="130" t="s">
        <v>148</v>
      </c>
      <c r="X12" s="130" t="s">
        <v>149</v>
      </c>
      <c r="Y12" s="130" t="s">
        <v>157</v>
      </c>
      <c r="Z12" s="291" t="s">
        <v>333</v>
      </c>
      <c r="AA12" s="232" t="s">
        <v>334</v>
      </c>
      <c r="AB12" s="678" t="s">
        <v>158</v>
      </c>
      <c r="AC12" s="679"/>
      <c r="AD12" s="67"/>
      <c r="AE12" s="67"/>
      <c r="AF12" s="67"/>
      <c r="AG12" s="67"/>
      <c r="AH12" s="67"/>
      <c r="AI12" s="67"/>
      <c r="AJ12" s="67"/>
      <c r="AK12" s="67"/>
    </row>
    <row r="13" spans="1:37" s="33" customFormat="1" ht="24" hidden="1" customHeight="1">
      <c r="A13" s="231" t="s">
        <v>413</v>
      </c>
      <c r="B13" s="545" t="s">
        <v>414</v>
      </c>
      <c r="C13" s="546" t="s">
        <v>415</v>
      </c>
      <c r="D13" s="546" t="s">
        <v>416</v>
      </c>
      <c r="E13" s="546" t="s">
        <v>417</v>
      </c>
      <c r="F13" s="546" t="s">
        <v>418</v>
      </c>
      <c r="G13" s="546" t="s">
        <v>419</v>
      </c>
      <c r="H13" s="546" t="s">
        <v>420</v>
      </c>
      <c r="I13" s="549" t="s">
        <v>421</v>
      </c>
      <c r="J13" s="232" t="s">
        <v>422</v>
      </c>
      <c r="K13" s="232" t="s">
        <v>423</v>
      </c>
      <c r="L13" s="232" t="s">
        <v>424</v>
      </c>
      <c r="M13" s="130" t="s">
        <v>425</v>
      </c>
      <c r="N13" s="130" t="s">
        <v>426</v>
      </c>
      <c r="O13" s="130" t="s">
        <v>427</v>
      </c>
      <c r="P13" s="232" t="s">
        <v>428</v>
      </c>
      <c r="Q13" s="130" t="s">
        <v>429</v>
      </c>
      <c r="R13" s="514" t="s">
        <v>430</v>
      </c>
      <c r="S13" s="130" t="s">
        <v>431</v>
      </c>
      <c r="T13" s="514" t="s">
        <v>432</v>
      </c>
      <c r="U13" s="553" t="s">
        <v>433</v>
      </c>
      <c r="V13" s="514" t="s">
        <v>434</v>
      </c>
      <c r="W13" s="514" t="s">
        <v>435</v>
      </c>
      <c r="X13" s="514" t="s">
        <v>436</v>
      </c>
      <c r="Y13" s="514" t="s">
        <v>437</v>
      </c>
      <c r="Z13" s="554" t="s">
        <v>438</v>
      </c>
      <c r="AA13" s="553" t="s">
        <v>439</v>
      </c>
      <c r="AB13" s="514" t="s">
        <v>440</v>
      </c>
      <c r="AC13" s="515" t="s">
        <v>441</v>
      </c>
      <c r="AD13" s="67"/>
      <c r="AE13" s="67"/>
      <c r="AF13" s="67"/>
      <c r="AG13" s="67"/>
      <c r="AH13" s="67"/>
      <c r="AI13" s="67"/>
      <c r="AJ13" s="67"/>
      <c r="AK13" s="67"/>
    </row>
    <row r="14" spans="1:37" s="91" customFormat="1" ht="35.450000000000003" customHeight="1">
      <c r="A14" s="231" t="s">
        <v>403</v>
      </c>
      <c r="B14" s="545" t="s">
        <v>406</v>
      </c>
      <c r="C14" s="546"/>
      <c r="D14" s="546"/>
      <c r="E14" s="546"/>
      <c r="F14" s="546"/>
      <c r="G14" s="546"/>
      <c r="H14" s="546"/>
      <c r="I14" s="549"/>
      <c r="J14" s="232"/>
      <c r="K14" s="232"/>
      <c r="L14" s="232"/>
      <c r="M14" s="130"/>
      <c r="N14" s="130"/>
      <c r="O14" s="130"/>
      <c r="P14" s="232"/>
      <c r="Q14" s="130"/>
      <c r="R14" s="514"/>
      <c r="S14" s="130"/>
      <c r="T14" s="514"/>
      <c r="U14" s="553"/>
      <c r="V14" s="514"/>
      <c r="W14" s="514"/>
      <c r="X14" s="514"/>
      <c r="Y14" s="514"/>
      <c r="Z14" s="554"/>
      <c r="AA14" s="553"/>
      <c r="AB14" s="514"/>
      <c r="AC14" s="515"/>
      <c r="AD14" s="32"/>
      <c r="AE14" s="32"/>
      <c r="AF14" s="32"/>
      <c r="AG14" s="32"/>
      <c r="AH14" s="32"/>
      <c r="AI14" s="32"/>
      <c r="AJ14" s="32"/>
      <c r="AK14" s="32"/>
    </row>
    <row r="15" spans="1:37" s="91" customFormat="1" ht="40.5" customHeight="1">
      <c r="A15" s="580">
        <f>_xlfn.AGGREGATE(4,7,A$14:A14)+1</f>
        <v>1</v>
      </c>
      <c r="B15" s="572" t="s">
        <v>317</v>
      </c>
      <c r="C15" s="219" t="s">
        <v>318</v>
      </c>
      <c r="D15" s="220"/>
      <c r="E15" s="471"/>
      <c r="F15" s="592" t="str">
        <f>INDEX([3]SACOM!$C$7:$C$335,MATCH(B15,[3]SACOM!$B$7:$B$335,0))</f>
        <v>060310666028</v>
      </c>
      <c r="G15" s="593" t="s">
        <v>228</v>
      </c>
      <c r="H15" s="555">
        <v>7</v>
      </c>
      <c r="I15" s="556">
        <v>8522203</v>
      </c>
      <c r="J15" s="557"/>
      <c r="K15" s="556"/>
      <c r="L15" s="556">
        <f t="shared" ref="L15:L52" si="0">ROUND(I15+K15,0)</f>
        <v>8522203</v>
      </c>
      <c r="M15" s="556"/>
      <c r="N15" s="556">
        <f t="shared" ref="N15:N52" si="1">L15/26*M15</f>
        <v>0</v>
      </c>
      <c r="O15" s="556"/>
      <c r="P15" s="556">
        <f t="shared" ref="P15:P52" si="2">L15-N15+O15</f>
        <v>8522203</v>
      </c>
      <c r="Q15" s="556">
        <f t="shared" ref="Q15:Q47" si="3">L15*8%</f>
        <v>681776.24</v>
      </c>
      <c r="R15" s="558">
        <f t="shared" ref="R15:R47" si="4">L15*1.5%</f>
        <v>127833.045</v>
      </c>
      <c r="S15" s="556">
        <f t="shared" ref="S15:S47" si="5">L15*1%</f>
        <v>85222.03</v>
      </c>
      <c r="T15" s="558"/>
      <c r="U15" s="558">
        <f t="shared" ref="U15:U52" si="6">SUM(Q15:T15)</f>
        <v>894831.31500000006</v>
      </c>
      <c r="V15" s="558"/>
      <c r="W15" s="558"/>
      <c r="X15" s="559"/>
      <c r="Y15" s="558"/>
      <c r="Z15" s="558"/>
      <c r="AA15" s="552">
        <f t="shared" ref="AA15:AA43" si="7">P15-U15+W15+Y15+Z15</f>
        <v>7627371.6849999996</v>
      </c>
      <c r="AB15" s="228">
        <f t="shared" ref="AB15:AB52" si="8">A15</f>
        <v>1</v>
      </c>
      <c r="AC15" s="229"/>
    </row>
    <row r="16" spans="1:37" s="626" customFormat="1" ht="38.25" customHeight="1">
      <c r="A16" s="580">
        <f>_xlfn.AGGREGATE(4,7,A$14:A15)+1</f>
        <v>2</v>
      </c>
      <c r="B16" s="421" t="s">
        <v>122</v>
      </c>
      <c r="C16" s="99" t="s">
        <v>108</v>
      </c>
      <c r="D16" s="205" t="s">
        <v>222</v>
      </c>
      <c r="E16" s="188" t="s">
        <v>194</v>
      </c>
      <c r="F16" s="376" t="str">
        <f>INDEX([3]SACOM!$C$7:$C$335,MATCH(B16,[3]SACOM!$B$7:$B$335,0))</f>
        <v>060310750304</v>
      </c>
      <c r="G16" s="375" t="s">
        <v>228</v>
      </c>
      <c r="H16" s="452">
        <v>6</v>
      </c>
      <c r="I16" s="453">
        <v>7964676</v>
      </c>
      <c r="J16" s="557"/>
      <c r="K16" s="453"/>
      <c r="L16" s="453">
        <f t="shared" si="0"/>
        <v>7964676</v>
      </c>
      <c r="M16" s="453"/>
      <c r="N16" s="453">
        <f t="shared" si="1"/>
        <v>0</v>
      </c>
      <c r="O16" s="453"/>
      <c r="P16" s="453">
        <f t="shared" si="2"/>
        <v>7964676</v>
      </c>
      <c r="Q16" s="556">
        <f t="shared" si="3"/>
        <v>637174.07999999996</v>
      </c>
      <c r="R16" s="558">
        <f t="shared" si="4"/>
        <v>119470.14</v>
      </c>
      <c r="S16" s="556">
        <f t="shared" si="5"/>
        <v>79646.759999999995</v>
      </c>
      <c r="T16" s="455"/>
      <c r="U16" s="455">
        <f t="shared" si="6"/>
        <v>836290.98</v>
      </c>
      <c r="V16" s="455"/>
      <c r="W16" s="455"/>
      <c r="X16" s="455"/>
      <c r="Y16" s="455"/>
      <c r="Z16" s="455"/>
      <c r="AA16" s="378">
        <f t="shared" si="7"/>
        <v>7128385.0199999996</v>
      </c>
      <c r="AB16" s="88">
        <f t="shared" si="8"/>
        <v>2</v>
      </c>
      <c r="AC16" s="89"/>
    </row>
    <row r="17" spans="1:37" s="434" customFormat="1" ht="30" customHeight="1">
      <c r="A17" s="580">
        <f>_xlfn.AGGREGATE(4,7,A$14:A16)+1</f>
        <v>3</v>
      </c>
      <c r="B17" s="421" t="s">
        <v>126</v>
      </c>
      <c r="C17" s="99" t="s">
        <v>59</v>
      </c>
      <c r="D17" s="206" t="str">
        <f>VLOOKUP(B17,[2]T3!$B$2:$D$328,3,FALSE)</f>
        <v>026050143</v>
      </c>
      <c r="E17" s="202" t="s">
        <v>203</v>
      </c>
      <c r="F17" s="376" t="str">
        <f>INDEX([3]SACOM!$C$7:$C$335,MATCH(B17,[3]SACOM!$B$7:$B$335,0))</f>
        <v>060311482761</v>
      </c>
      <c r="G17" s="375" t="s">
        <v>228</v>
      </c>
      <c r="H17" s="452">
        <v>7</v>
      </c>
      <c r="I17" s="453">
        <v>8522203</v>
      </c>
      <c r="J17" s="557"/>
      <c r="K17" s="453"/>
      <c r="L17" s="453">
        <f t="shared" si="0"/>
        <v>8522203</v>
      </c>
      <c r="M17" s="453"/>
      <c r="N17" s="453">
        <f t="shared" si="1"/>
        <v>0</v>
      </c>
      <c r="O17" s="453"/>
      <c r="P17" s="453">
        <f t="shared" si="2"/>
        <v>8522203</v>
      </c>
      <c r="Q17" s="453">
        <f t="shared" si="3"/>
        <v>681776.24</v>
      </c>
      <c r="R17" s="455">
        <f t="shared" si="4"/>
        <v>127833.045</v>
      </c>
      <c r="S17" s="453">
        <f t="shared" si="5"/>
        <v>85222.03</v>
      </c>
      <c r="T17" s="455"/>
      <c r="U17" s="455">
        <f t="shared" si="6"/>
        <v>894831.31500000006</v>
      </c>
      <c r="V17" s="455"/>
      <c r="W17" s="455"/>
      <c r="X17" s="455"/>
      <c r="Y17" s="455"/>
      <c r="Z17" s="455"/>
      <c r="AA17" s="378">
        <f t="shared" si="7"/>
        <v>7627371.6849999996</v>
      </c>
      <c r="AB17" s="88">
        <f t="shared" si="8"/>
        <v>3</v>
      </c>
      <c r="AC17" s="89"/>
      <c r="AD17" s="516"/>
      <c r="AE17" s="516"/>
      <c r="AF17" s="516"/>
      <c r="AG17" s="516"/>
      <c r="AH17" s="516"/>
      <c r="AI17" s="516"/>
      <c r="AJ17" s="516"/>
      <c r="AK17" s="516"/>
    </row>
    <row r="18" spans="1:37" s="91" customFormat="1" ht="39" customHeight="1">
      <c r="A18" s="580">
        <f>_xlfn.AGGREGATE(4,7,A$14:A17)+1</f>
        <v>4</v>
      </c>
      <c r="B18" s="513" t="s">
        <v>114</v>
      </c>
      <c r="C18" s="99" t="s">
        <v>108</v>
      </c>
      <c r="D18" s="206" t="str">
        <f>VLOOKUP(B18,[2]T3!$B$2:$D$328,3,FALSE)</f>
        <v>025444854</v>
      </c>
      <c r="E18" s="202" t="s">
        <v>195</v>
      </c>
      <c r="F18" s="376" t="str">
        <f>INDEX([3]SACOM!$C$7:$C$335,MATCH(B18,[3]SACOM!$B$7:$B$335,0))</f>
        <v>061828031994</v>
      </c>
      <c r="G18" s="375" t="s">
        <v>231</v>
      </c>
      <c r="H18" s="452">
        <v>4</v>
      </c>
      <c r="I18" s="453">
        <v>6143747</v>
      </c>
      <c r="J18" s="557"/>
      <c r="K18" s="453"/>
      <c r="L18" s="453">
        <f t="shared" si="0"/>
        <v>6143747</v>
      </c>
      <c r="M18" s="453"/>
      <c r="N18" s="453">
        <f t="shared" si="1"/>
        <v>0</v>
      </c>
      <c r="O18" s="453"/>
      <c r="P18" s="453">
        <f t="shared" si="2"/>
        <v>6143747</v>
      </c>
      <c r="Q18" s="453">
        <f t="shared" si="3"/>
        <v>491499.76</v>
      </c>
      <c r="R18" s="455">
        <f t="shared" si="4"/>
        <v>92156.205000000002</v>
      </c>
      <c r="S18" s="453">
        <f t="shared" si="5"/>
        <v>61437.47</v>
      </c>
      <c r="T18" s="455"/>
      <c r="U18" s="455">
        <f t="shared" si="6"/>
        <v>645093.43499999994</v>
      </c>
      <c r="V18" s="455"/>
      <c r="W18" s="455"/>
      <c r="X18" s="455"/>
      <c r="Y18" s="455"/>
      <c r="Z18" s="455"/>
      <c r="AA18" s="378">
        <f t="shared" si="7"/>
        <v>5498653.5650000004</v>
      </c>
      <c r="AB18" s="88">
        <f t="shared" si="8"/>
        <v>4</v>
      </c>
      <c r="AC18" s="89"/>
    </row>
    <row r="19" spans="1:37" s="91" customFormat="1" ht="39" customHeight="1">
      <c r="A19" s="580">
        <f>_xlfn.AGGREGATE(4,7,A$14:A18)+1</f>
        <v>5</v>
      </c>
      <c r="B19" s="421" t="s">
        <v>127</v>
      </c>
      <c r="C19" s="99" t="s">
        <v>260</v>
      </c>
      <c r="D19" s="206" t="str">
        <f>VLOOKUP(B19,[2]T3!$B$2:$D$328,3,FALSE)</f>
        <v>025177943</v>
      </c>
      <c r="E19" s="188" t="s">
        <v>201</v>
      </c>
      <c r="F19" s="376" t="str">
        <f>INDEX([3]SACOM!$C$7:$C$335,MATCH(B19,[3]SACOM!$B$7:$B$335,0))</f>
        <v>060310749055</v>
      </c>
      <c r="G19" s="375" t="s">
        <v>231</v>
      </c>
      <c r="H19" s="560">
        <v>6</v>
      </c>
      <c r="I19" s="453">
        <v>6773482</v>
      </c>
      <c r="J19" s="557"/>
      <c r="K19" s="453"/>
      <c r="L19" s="453">
        <f t="shared" si="0"/>
        <v>6773482</v>
      </c>
      <c r="M19" s="453"/>
      <c r="N19" s="453">
        <f>L19/26*M19</f>
        <v>0</v>
      </c>
      <c r="O19" s="453"/>
      <c r="P19" s="453">
        <f t="shared" si="2"/>
        <v>6773482</v>
      </c>
      <c r="Q19" s="453">
        <f t="shared" si="3"/>
        <v>541878.56000000006</v>
      </c>
      <c r="R19" s="455">
        <f t="shared" si="4"/>
        <v>101602.23</v>
      </c>
      <c r="S19" s="453">
        <f t="shared" si="5"/>
        <v>67734.820000000007</v>
      </c>
      <c r="T19" s="455"/>
      <c r="U19" s="455">
        <f t="shared" si="6"/>
        <v>711215.6100000001</v>
      </c>
      <c r="V19" s="455"/>
      <c r="W19" s="455"/>
      <c r="X19" s="455"/>
      <c r="Y19" s="455"/>
      <c r="Z19" s="455"/>
      <c r="AA19" s="378">
        <f t="shared" si="7"/>
        <v>6062266.3899999997</v>
      </c>
      <c r="AB19" s="88">
        <f t="shared" si="8"/>
        <v>5</v>
      </c>
      <c r="AC19" s="89"/>
    </row>
    <row r="20" spans="1:37" s="440" customFormat="1" ht="36.75" customHeight="1">
      <c r="A20" s="642">
        <f>_xlfn.AGGREGATE(4,7,A$14:A19)+1</f>
        <v>6</v>
      </c>
      <c r="B20" s="606" t="s">
        <v>131</v>
      </c>
      <c r="C20" s="307" t="s">
        <v>260</v>
      </c>
      <c r="D20" s="308" t="str">
        <f>VLOOKUP(B20,[2]T3!$B$2:$D$328,3,FALSE)</f>
        <v>025632449</v>
      </c>
      <c r="E20" s="607" t="s">
        <v>206</v>
      </c>
      <c r="F20" s="608" t="str">
        <f>INDEX([3]SACOM!$C$7:$C$335,MATCH(B20,[3]SACOM!$B$7:$B$335,0))</f>
        <v>060310751688</v>
      </c>
      <c r="G20" s="643" t="s">
        <v>231</v>
      </c>
      <c r="H20" s="609">
        <v>4</v>
      </c>
      <c r="I20" s="598">
        <v>6143747</v>
      </c>
      <c r="J20" s="610"/>
      <c r="K20" s="598"/>
      <c r="L20" s="598">
        <f t="shared" si="0"/>
        <v>6143747</v>
      </c>
      <c r="M20" s="598">
        <v>4</v>
      </c>
      <c r="N20" s="598">
        <f t="shared" si="1"/>
        <v>945191.84615384613</v>
      </c>
      <c r="O20" s="598"/>
      <c r="P20" s="598">
        <f t="shared" si="2"/>
        <v>5198555.153846154</v>
      </c>
      <c r="Q20" s="598">
        <f t="shared" si="3"/>
        <v>491499.76</v>
      </c>
      <c r="R20" s="599">
        <f t="shared" si="4"/>
        <v>92156.205000000002</v>
      </c>
      <c r="S20" s="598">
        <f t="shared" si="5"/>
        <v>61437.47</v>
      </c>
      <c r="T20" s="599"/>
      <c r="U20" s="599">
        <f t="shared" si="6"/>
        <v>645093.43499999994</v>
      </c>
      <c r="V20" s="599"/>
      <c r="W20" s="599"/>
      <c r="X20" s="599"/>
      <c r="Y20" s="599"/>
      <c r="Z20" s="599"/>
      <c r="AA20" s="600">
        <f t="shared" si="7"/>
        <v>4553461.7188461544</v>
      </c>
      <c r="AB20" s="316">
        <f t="shared" si="8"/>
        <v>6</v>
      </c>
      <c r="AC20" s="644" t="s">
        <v>458</v>
      </c>
    </row>
    <row r="21" spans="1:37" s="434" customFormat="1" ht="35.25" customHeight="1">
      <c r="A21" s="580">
        <f>_xlfn.AGGREGATE(4,7,A$14:A20)+1</f>
        <v>7</v>
      </c>
      <c r="B21" s="450" t="s">
        <v>215</v>
      </c>
      <c r="C21" s="99" t="s">
        <v>263</v>
      </c>
      <c r="D21" s="451" t="str">
        <f>VLOOKUP(B21,[2]T3!$B$2:$D$328,3,FALSE)</f>
        <v>024326689</v>
      </c>
      <c r="E21" s="188"/>
      <c r="F21" s="376" t="str">
        <f>INDEX([3]SACOM!$C$7:$C$335,MATCH(B21,[3]SACOM!$B$7:$B$335,0))</f>
        <v>060281693924</v>
      </c>
      <c r="G21" s="368" t="s">
        <v>231</v>
      </c>
      <c r="H21" s="452">
        <v>1</v>
      </c>
      <c r="I21" s="453">
        <v>5307200</v>
      </c>
      <c r="J21" s="557"/>
      <c r="K21" s="453"/>
      <c r="L21" s="453">
        <f t="shared" si="0"/>
        <v>5307200</v>
      </c>
      <c r="M21" s="453"/>
      <c r="N21" s="453">
        <f t="shared" si="1"/>
        <v>0</v>
      </c>
      <c r="O21" s="453"/>
      <c r="P21" s="453">
        <f t="shared" si="2"/>
        <v>5307200</v>
      </c>
      <c r="Q21" s="453">
        <f t="shared" si="3"/>
        <v>424576</v>
      </c>
      <c r="R21" s="455">
        <f t="shared" si="4"/>
        <v>79608</v>
      </c>
      <c r="S21" s="453">
        <f t="shared" si="5"/>
        <v>53072</v>
      </c>
      <c r="T21" s="455"/>
      <c r="U21" s="455">
        <f t="shared" si="6"/>
        <v>557256</v>
      </c>
      <c r="V21" s="455"/>
      <c r="W21" s="455"/>
      <c r="X21" s="456"/>
      <c r="Y21" s="455"/>
      <c r="Z21" s="455"/>
      <c r="AA21" s="378">
        <f t="shared" si="7"/>
        <v>4749944</v>
      </c>
      <c r="AB21" s="457">
        <f t="shared" si="8"/>
        <v>7</v>
      </c>
      <c r="AC21" s="439"/>
      <c r="AD21" s="516"/>
      <c r="AE21" s="516"/>
      <c r="AF21" s="516"/>
      <c r="AG21" s="516"/>
      <c r="AH21" s="516"/>
      <c r="AI21" s="516"/>
      <c r="AJ21" s="516"/>
      <c r="AK21" s="516"/>
    </row>
    <row r="22" spans="1:37" s="91" customFormat="1" ht="36.6" customHeight="1">
      <c r="A22" s="580">
        <f>_xlfn.AGGREGATE(4,7,A$14:A21)+1</f>
        <v>8</v>
      </c>
      <c r="B22" s="421" t="s">
        <v>120</v>
      </c>
      <c r="C22" s="99" t="s">
        <v>61</v>
      </c>
      <c r="D22" s="206" t="str">
        <f>VLOOKUP(B22,[2]T3!$B$2:$D$328,3,FALSE)</f>
        <v>230718298</v>
      </c>
      <c r="E22" s="188" t="s">
        <v>192</v>
      </c>
      <c r="F22" s="376" t="str">
        <f>INDEX([3]SACOM!$C$7:$C$335,MATCH(B22,[3]SACOM!$B$7:$B$335,0))</f>
        <v>0977414676</v>
      </c>
      <c r="G22" s="375" t="s">
        <v>228</v>
      </c>
      <c r="H22" s="452">
        <v>6</v>
      </c>
      <c r="I22" s="453">
        <v>7964676</v>
      </c>
      <c r="J22" s="557"/>
      <c r="K22" s="453"/>
      <c r="L22" s="453">
        <f t="shared" si="0"/>
        <v>7964676</v>
      </c>
      <c r="M22" s="453">
        <v>0</v>
      </c>
      <c r="N22" s="453">
        <f t="shared" si="1"/>
        <v>0</v>
      </c>
      <c r="O22" s="453"/>
      <c r="P22" s="453">
        <f t="shared" si="2"/>
        <v>7964676</v>
      </c>
      <c r="Q22" s="453">
        <f t="shared" si="3"/>
        <v>637174.07999999996</v>
      </c>
      <c r="R22" s="455">
        <f t="shared" si="4"/>
        <v>119470.14</v>
      </c>
      <c r="S22" s="453">
        <f t="shared" si="5"/>
        <v>79646.759999999995</v>
      </c>
      <c r="T22" s="455"/>
      <c r="U22" s="455">
        <f t="shared" si="6"/>
        <v>836290.98</v>
      </c>
      <c r="V22" s="455"/>
      <c r="W22" s="561"/>
      <c r="X22" s="561"/>
      <c r="Y22" s="561"/>
      <c r="Z22" s="561"/>
      <c r="AA22" s="378">
        <f t="shared" si="7"/>
        <v>7128385.0199999996</v>
      </c>
      <c r="AB22" s="88">
        <f t="shared" si="8"/>
        <v>8</v>
      </c>
      <c r="AC22" s="89"/>
      <c r="AD22" s="32"/>
      <c r="AE22" s="32"/>
      <c r="AF22" s="32"/>
      <c r="AG22" s="32"/>
      <c r="AH22" s="32"/>
      <c r="AI22" s="32"/>
      <c r="AJ22" s="32"/>
      <c r="AK22" s="32"/>
    </row>
    <row r="23" spans="1:37" s="91" customFormat="1" ht="38.450000000000003" customHeight="1">
      <c r="A23" s="580">
        <f>_xlfn.AGGREGATE(4,7,A$14:A22)+1</f>
        <v>9</v>
      </c>
      <c r="B23" s="421" t="s">
        <v>305</v>
      </c>
      <c r="C23" s="99" t="s">
        <v>304</v>
      </c>
      <c r="D23" s="206"/>
      <c r="E23" s="266" t="s">
        <v>315</v>
      </c>
      <c r="F23" s="376" t="str">
        <f>INDEX([3]SACOM!$C$7:$C$335,MATCH(B23,[3]SACOM!$B$7:$B$335,0))</f>
        <v>060311042826</v>
      </c>
      <c r="G23" s="368" t="s">
        <v>228</v>
      </c>
      <c r="H23" s="452">
        <v>2</v>
      </c>
      <c r="I23" s="453">
        <v>6076213</v>
      </c>
      <c r="J23" s="557"/>
      <c r="K23" s="453"/>
      <c r="L23" s="453">
        <f t="shared" si="0"/>
        <v>6076213</v>
      </c>
      <c r="M23" s="453"/>
      <c r="N23" s="453">
        <f t="shared" si="1"/>
        <v>0</v>
      </c>
      <c r="O23" s="453"/>
      <c r="P23" s="453">
        <f t="shared" si="2"/>
        <v>6076213</v>
      </c>
      <c r="Q23" s="453">
        <f t="shared" si="3"/>
        <v>486097.04000000004</v>
      </c>
      <c r="R23" s="455">
        <f t="shared" si="4"/>
        <v>91143.194999999992</v>
      </c>
      <c r="S23" s="453">
        <f t="shared" si="5"/>
        <v>60762.130000000005</v>
      </c>
      <c r="T23" s="455"/>
      <c r="U23" s="455">
        <f t="shared" si="6"/>
        <v>638002.36499999999</v>
      </c>
      <c r="V23" s="455"/>
      <c r="W23" s="561"/>
      <c r="X23" s="561"/>
      <c r="Y23" s="561"/>
      <c r="Z23" s="561"/>
      <c r="AA23" s="378">
        <f t="shared" si="7"/>
        <v>5438210.6349999998</v>
      </c>
      <c r="AB23" s="88">
        <f t="shared" si="8"/>
        <v>9</v>
      </c>
      <c r="AC23" s="233"/>
    </row>
    <row r="24" spans="1:37" s="91" customFormat="1" ht="40.5" customHeight="1">
      <c r="A24" s="580">
        <f>_xlfn.AGGREGATE(4,7,A$14:A23)+1</f>
        <v>10</v>
      </c>
      <c r="B24" s="421" t="s">
        <v>370</v>
      </c>
      <c r="C24" s="99" t="s">
        <v>304</v>
      </c>
      <c r="D24" s="206"/>
      <c r="E24" s="266"/>
      <c r="F24" s="376" t="str">
        <f>INDEX([3]SACOM!$C$7:$C$335,MATCH(B24,[3]SACOM!$B$7:$B$335,0))</f>
        <v>060310886001</v>
      </c>
      <c r="G24" s="368" t="s">
        <v>228</v>
      </c>
      <c r="H24" s="452">
        <v>2</v>
      </c>
      <c r="I24" s="453">
        <v>6076213</v>
      </c>
      <c r="J24" s="557"/>
      <c r="K24" s="453"/>
      <c r="L24" s="453">
        <f t="shared" si="0"/>
        <v>6076213</v>
      </c>
      <c r="M24" s="453"/>
      <c r="N24" s="453">
        <f t="shared" si="1"/>
        <v>0</v>
      </c>
      <c r="O24" s="453"/>
      <c r="P24" s="453">
        <f t="shared" si="2"/>
        <v>6076213</v>
      </c>
      <c r="Q24" s="453">
        <f t="shared" si="3"/>
        <v>486097.04000000004</v>
      </c>
      <c r="R24" s="455">
        <f t="shared" si="4"/>
        <v>91143.194999999992</v>
      </c>
      <c r="S24" s="453">
        <f t="shared" si="5"/>
        <v>60762.130000000005</v>
      </c>
      <c r="T24" s="455"/>
      <c r="U24" s="455">
        <f t="shared" si="6"/>
        <v>638002.36499999999</v>
      </c>
      <c r="V24" s="455"/>
      <c r="W24" s="561"/>
      <c r="X24" s="561"/>
      <c r="Y24" s="561"/>
      <c r="Z24" s="561"/>
      <c r="AA24" s="378">
        <f t="shared" si="7"/>
        <v>5438210.6349999998</v>
      </c>
      <c r="AB24" s="88">
        <f t="shared" si="8"/>
        <v>10</v>
      </c>
      <c r="AC24" s="233"/>
    </row>
    <row r="25" spans="1:37" s="91" customFormat="1" ht="48.75" customHeight="1">
      <c r="A25" s="580">
        <f>_xlfn.AGGREGATE(4,7,A$14:A24)+1</f>
        <v>11</v>
      </c>
      <c r="B25" s="421" t="s">
        <v>125</v>
      </c>
      <c r="C25" s="99" t="s">
        <v>442</v>
      </c>
      <c r="D25" s="205" t="s">
        <v>223</v>
      </c>
      <c r="E25" s="188" t="s">
        <v>200</v>
      </c>
      <c r="F25" s="376" t="str">
        <f>INDEX([3]SACOM!$C$7:$C$335,MATCH(B25,[3]SACOM!$B$7:$B$335,0))</f>
        <v>060310828079</v>
      </c>
      <c r="G25" s="375" t="s">
        <v>228</v>
      </c>
      <c r="H25" s="562">
        <v>8</v>
      </c>
      <c r="I25" s="453">
        <v>9118758</v>
      </c>
      <c r="J25" s="557"/>
      <c r="K25" s="453"/>
      <c r="L25" s="453">
        <f t="shared" si="0"/>
        <v>9118758</v>
      </c>
      <c r="M25" s="453"/>
      <c r="N25" s="453">
        <f t="shared" si="1"/>
        <v>0</v>
      </c>
      <c r="O25" s="453"/>
      <c r="P25" s="453">
        <f t="shared" si="2"/>
        <v>9118758</v>
      </c>
      <c r="Q25" s="453">
        <f t="shared" si="3"/>
        <v>729500.64</v>
      </c>
      <c r="R25" s="455">
        <f t="shared" si="4"/>
        <v>136781.37</v>
      </c>
      <c r="S25" s="453">
        <f t="shared" si="5"/>
        <v>91187.58</v>
      </c>
      <c r="T25" s="455"/>
      <c r="U25" s="455">
        <f t="shared" si="6"/>
        <v>957469.59</v>
      </c>
      <c r="V25" s="455"/>
      <c r="W25" s="455"/>
      <c r="X25" s="455"/>
      <c r="Y25" s="455"/>
      <c r="Z25" s="455"/>
      <c r="AA25" s="378">
        <f t="shared" si="7"/>
        <v>8161288.4100000001</v>
      </c>
      <c r="AB25" s="88">
        <f t="shared" si="8"/>
        <v>11</v>
      </c>
      <c r="AC25" s="89"/>
    </row>
    <row r="26" spans="1:37" s="585" customFormat="1" ht="36" customHeight="1">
      <c r="A26" s="580">
        <f>_xlfn.AGGREGATE(4,7,A$14:A25)+1</f>
        <v>12</v>
      </c>
      <c r="B26" s="421" t="s">
        <v>268</v>
      </c>
      <c r="C26" s="99" t="s">
        <v>442</v>
      </c>
      <c r="D26" s="206"/>
      <c r="E26" s="202" t="s">
        <v>302</v>
      </c>
      <c r="F26" s="376" t="str">
        <f>INDEX([3]SACOM!$C$7:$C$335,MATCH(B26,[3]SACOM!$B$7:$B$335,0))</f>
        <v>060310836772</v>
      </c>
      <c r="G26" s="368" t="s">
        <v>228</v>
      </c>
      <c r="H26" s="452">
        <v>2</v>
      </c>
      <c r="I26" s="453">
        <v>6076213</v>
      </c>
      <c r="J26" s="557"/>
      <c r="K26" s="453"/>
      <c r="L26" s="453">
        <f t="shared" si="0"/>
        <v>6076213</v>
      </c>
      <c r="M26" s="453"/>
      <c r="N26" s="453">
        <f t="shared" si="1"/>
        <v>0</v>
      </c>
      <c r="O26" s="453"/>
      <c r="P26" s="453">
        <f t="shared" si="2"/>
        <v>6076213</v>
      </c>
      <c r="Q26" s="453">
        <f t="shared" si="3"/>
        <v>486097.04000000004</v>
      </c>
      <c r="R26" s="455">
        <f t="shared" si="4"/>
        <v>91143.194999999992</v>
      </c>
      <c r="S26" s="453">
        <f t="shared" si="5"/>
        <v>60762.130000000005</v>
      </c>
      <c r="T26" s="455"/>
      <c r="U26" s="455">
        <f t="shared" si="6"/>
        <v>638002.36499999999</v>
      </c>
      <c r="V26" s="455"/>
      <c r="W26" s="561"/>
      <c r="X26" s="561"/>
      <c r="Y26" s="561"/>
      <c r="Z26" s="561"/>
      <c r="AA26" s="378">
        <f t="shared" si="7"/>
        <v>5438210.6349999998</v>
      </c>
      <c r="AB26" s="88">
        <f t="shared" si="8"/>
        <v>12</v>
      </c>
      <c r="AC26" s="233"/>
    </row>
    <row r="27" spans="1:37" s="91" customFormat="1" ht="37.5" customHeight="1">
      <c r="A27" s="580">
        <f>_xlfn.AGGREGATE(4,7,A$14:A26)+1</f>
        <v>13</v>
      </c>
      <c r="B27" s="513" t="s">
        <v>400</v>
      </c>
      <c r="C27" s="99" t="s">
        <v>442</v>
      </c>
      <c r="D27" s="204" t="s">
        <v>219</v>
      </c>
      <c r="E27" s="202" t="s">
        <v>189</v>
      </c>
      <c r="F27" s="376" t="str">
        <f>INDEX([3]SACOM!$C$7:$C$335,MATCH(B27,[3]SACOM!$B$7:$B$335,0))</f>
        <v>0358800688</v>
      </c>
      <c r="G27" s="375" t="s">
        <v>231</v>
      </c>
      <c r="H27" s="452">
        <v>6</v>
      </c>
      <c r="I27" s="453">
        <v>6773482</v>
      </c>
      <c r="J27" s="557"/>
      <c r="K27" s="453"/>
      <c r="L27" s="453">
        <f t="shared" si="0"/>
        <v>6773482</v>
      </c>
      <c r="M27" s="453"/>
      <c r="N27" s="453">
        <f t="shared" si="1"/>
        <v>0</v>
      </c>
      <c r="O27" s="453"/>
      <c r="P27" s="453">
        <f t="shared" si="2"/>
        <v>6773482</v>
      </c>
      <c r="Q27" s="453">
        <f t="shared" si="3"/>
        <v>541878.56000000006</v>
      </c>
      <c r="R27" s="455">
        <f t="shared" si="4"/>
        <v>101602.23</v>
      </c>
      <c r="S27" s="453">
        <f t="shared" si="5"/>
        <v>67734.820000000007</v>
      </c>
      <c r="T27" s="455"/>
      <c r="U27" s="455">
        <f t="shared" si="6"/>
        <v>711215.6100000001</v>
      </c>
      <c r="V27" s="456"/>
      <c r="W27" s="455"/>
      <c r="X27" s="456"/>
      <c r="Y27" s="455"/>
      <c r="Z27" s="455"/>
      <c r="AA27" s="378">
        <f t="shared" si="7"/>
        <v>6062266.3899999997</v>
      </c>
      <c r="AB27" s="88">
        <f t="shared" si="8"/>
        <v>13</v>
      </c>
      <c r="AC27" s="89"/>
    </row>
    <row r="28" spans="1:37" s="470" customFormat="1" ht="42.75" customHeight="1">
      <c r="A28" s="580">
        <f>_xlfn.AGGREGATE(4,7,A$14:A27)+1</f>
        <v>14</v>
      </c>
      <c r="B28" s="421" t="s">
        <v>399</v>
      </c>
      <c r="C28" s="99" t="s">
        <v>442</v>
      </c>
      <c r="D28" s="204" t="s">
        <v>218</v>
      </c>
      <c r="E28" s="188" t="s">
        <v>196</v>
      </c>
      <c r="F28" s="376" t="str">
        <f>INDEX([3]SACOM!$C$7:$C$335,MATCH(B28,[3]SACOM!$B$7:$B$335,0))</f>
        <v>060278335766</v>
      </c>
      <c r="G28" s="375" t="s">
        <v>228</v>
      </c>
      <c r="H28" s="452">
        <v>2</v>
      </c>
      <c r="I28" s="453">
        <v>6076213</v>
      </c>
      <c r="J28" s="557"/>
      <c r="K28" s="453"/>
      <c r="L28" s="453">
        <f t="shared" si="0"/>
        <v>6076213</v>
      </c>
      <c r="M28" s="453"/>
      <c r="N28" s="453">
        <f t="shared" si="1"/>
        <v>0</v>
      </c>
      <c r="O28" s="453"/>
      <c r="P28" s="453">
        <f t="shared" si="2"/>
        <v>6076213</v>
      </c>
      <c r="Q28" s="453">
        <f t="shared" si="3"/>
        <v>486097.04000000004</v>
      </c>
      <c r="R28" s="455">
        <f t="shared" si="4"/>
        <v>91143.194999999992</v>
      </c>
      <c r="S28" s="453">
        <f t="shared" si="5"/>
        <v>60762.130000000005</v>
      </c>
      <c r="T28" s="455"/>
      <c r="U28" s="455">
        <f t="shared" si="6"/>
        <v>638002.36499999999</v>
      </c>
      <c r="V28" s="455"/>
      <c r="W28" s="455"/>
      <c r="X28" s="455"/>
      <c r="Y28" s="455"/>
      <c r="Z28" s="455"/>
      <c r="AA28" s="378">
        <f t="shared" si="7"/>
        <v>5438210.6349999998</v>
      </c>
      <c r="AB28" s="88">
        <f t="shared" si="8"/>
        <v>14</v>
      </c>
      <c r="AC28" s="105"/>
      <c r="AD28" s="516"/>
      <c r="AE28" s="516"/>
      <c r="AF28" s="516"/>
      <c r="AG28" s="516"/>
      <c r="AH28" s="516"/>
      <c r="AI28" s="516"/>
      <c r="AJ28" s="516"/>
      <c r="AK28" s="516"/>
    </row>
    <row r="29" spans="1:37" s="91" customFormat="1" ht="42.75" customHeight="1">
      <c r="A29" s="580">
        <f>_xlfn.AGGREGATE(4,7,A$14:A28)+1</f>
        <v>15</v>
      </c>
      <c r="B29" s="421" t="s">
        <v>296</v>
      </c>
      <c r="C29" s="99" t="s">
        <v>442</v>
      </c>
      <c r="D29" s="205" t="s">
        <v>313</v>
      </c>
      <c r="E29" s="266" t="s">
        <v>314</v>
      </c>
      <c r="F29" s="376" t="str">
        <f>INDEX([3]SACOM!$C$7:$C$335,MATCH(B29,[3]SACOM!$B$7:$B$335,0))</f>
        <v>060310951679</v>
      </c>
      <c r="G29" s="368" t="s">
        <v>228</v>
      </c>
      <c r="H29" s="452">
        <v>2</v>
      </c>
      <c r="I29" s="453">
        <v>6076213</v>
      </c>
      <c r="J29" s="557"/>
      <c r="K29" s="453"/>
      <c r="L29" s="453">
        <f t="shared" si="0"/>
        <v>6076213</v>
      </c>
      <c r="M29" s="453"/>
      <c r="N29" s="453">
        <f t="shared" si="1"/>
        <v>0</v>
      </c>
      <c r="O29" s="453"/>
      <c r="P29" s="453">
        <f t="shared" si="2"/>
        <v>6076213</v>
      </c>
      <c r="Q29" s="453">
        <f t="shared" si="3"/>
        <v>486097.04000000004</v>
      </c>
      <c r="R29" s="455">
        <f t="shared" si="4"/>
        <v>91143.194999999992</v>
      </c>
      <c r="S29" s="453">
        <f t="shared" si="5"/>
        <v>60762.130000000005</v>
      </c>
      <c r="T29" s="455"/>
      <c r="U29" s="455">
        <f t="shared" si="6"/>
        <v>638002.36499999999</v>
      </c>
      <c r="V29" s="455"/>
      <c r="W29" s="561"/>
      <c r="X29" s="561"/>
      <c r="Y29" s="561"/>
      <c r="Z29" s="561"/>
      <c r="AA29" s="378">
        <f t="shared" si="7"/>
        <v>5438210.6349999998</v>
      </c>
      <c r="AB29" s="88">
        <f t="shared" si="8"/>
        <v>15</v>
      </c>
      <c r="AC29" s="233"/>
    </row>
    <row r="30" spans="1:37" s="432" customFormat="1" ht="47.25" customHeight="1">
      <c r="A30" s="580">
        <f>_xlfn.AGGREGATE(4,7,A$14:A29)+1</f>
        <v>16</v>
      </c>
      <c r="B30" s="421" t="s">
        <v>290</v>
      </c>
      <c r="C30" s="99" t="s">
        <v>442</v>
      </c>
      <c r="D30" s="206"/>
      <c r="E30" s="202"/>
      <c r="F30" s="376" t="str">
        <f>INDEX([3]SACOM!$C$7:$C$335,MATCH(B30,[3]SACOM!$B$7:$B$335,0))</f>
        <v>060278713264</v>
      </c>
      <c r="G30" s="368" t="s">
        <v>228</v>
      </c>
      <c r="H30" s="452">
        <v>2</v>
      </c>
      <c r="I30" s="453">
        <v>6076213</v>
      </c>
      <c r="J30" s="557"/>
      <c r="K30" s="453"/>
      <c r="L30" s="453">
        <f t="shared" si="0"/>
        <v>6076213</v>
      </c>
      <c r="M30" s="453"/>
      <c r="N30" s="453">
        <f t="shared" si="1"/>
        <v>0</v>
      </c>
      <c r="O30" s="453"/>
      <c r="P30" s="453">
        <f t="shared" si="2"/>
        <v>6076213</v>
      </c>
      <c r="Q30" s="453">
        <f t="shared" si="3"/>
        <v>486097.04000000004</v>
      </c>
      <c r="R30" s="455">
        <f t="shared" si="4"/>
        <v>91143.194999999992</v>
      </c>
      <c r="S30" s="453">
        <f t="shared" si="5"/>
        <v>60762.130000000005</v>
      </c>
      <c r="T30" s="455"/>
      <c r="U30" s="455">
        <f t="shared" si="6"/>
        <v>638002.36499999999</v>
      </c>
      <c r="V30" s="455"/>
      <c r="W30" s="561"/>
      <c r="X30" s="561"/>
      <c r="Y30" s="561"/>
      <c r="Z30" s="561"/>
      <c r="AA30" s="378">
        <f t="shared" si="7"/>
        <v>5438210.6349999998</v>
      </c>
      <c r="AB30" s="88">
        <f t="shared" si="8"/>
        <v>16</v>
      </c>
      <c r="AC30" s="233"/>
      <c r="AD30" s="516"/>
      <c r="AE30" s="516"/>
      <c r="AF30" s="516"/>
      <c r="AG30" s="516"/>
      <c r="AH30" s="516"/>
      <c r="AI30" s="516"/>
      <c r="AJ30" s="516"/>
      <c r="AK30" s="516"/>
    </row>
    <row r="31" spans="1:37" s="585" customFormat="1" ht="44.25" customHeight="1">
      <c r="A31" s="580">
        <f>_xlfn.AGGREGATE(4,7,A$14:A30)+1</f>
        <v>17</v>
      </c>
      <c r="B31" s="421" t="s">
        <v>121</v>
      </c>
      <c r="C31" s="99" t="s">
        <v>442</v>
      </c>
      <c r="D31" s="206" t="str">
        <f>VLOOKUP(B31,[2]T3!$B$2:$D$328,3,FALSE)</f>
        <v>025804258</v>
      </c>
      <c r="E31" s="202" t="s">
        <v>193</v>
      </c>
      <c r="F31" s="376" t="str">
        <f>INDEX([3]SACOM!$C$7:$C$335,MATCH(B31,[3]SACOM!$B$7:$B$335,0))</f>
        <v>060310837000</v>
      </c>
      <c r="G31" s="375" t="s">
        <v>231</v>
      </c>
      <c r="H31" s="560">
        <v>6</v>
      </c>
      <c r="I31" s="453">
        <v>6773482</v>
      </c>
      <c r="J31" s="557"/>
      <c r="K31" s="453"/>
      <c r="L31" s="453">
        <f t="shared" si="0"/>
        <v>6773482</v>
      </c>
      <c r="M31" s="453"/>
      <c r="N31" s="453">
        <f t="shared" si="1"/>
        <v>0</v>
      </c>
      <c r="O31" s="453"/>
      <c r="P31" s="453">
        <f t="shared" si="2"/>
        <v>6773482</v>
      </c>
      <c r="Q31" s="453">
        <f t="shared" si="3"/>
        <v>541878.56000000006</v>
      </c>
      <c r="R31" s="455">
        <f t="shared" si="4"/>
        <v>101602.23</v>
      </c>
      <c r="S31" s="453">
        <f t="shared" si="5"/>
        <v>67734.820000000007</v>
      </c>
      <c r="T31" s="455"/>
      <c r="U31" s="455">
        <f t="shared" si="6"/>
        <v>711215.6100000001</v>
      </c>
      <c r="V31" s="455"/>
      <c r="W31" s="561"/>
      <c r="X31" s="561"/>
      <c r="Y31" s="561"/>
      <c r="Z31" s="561"/>
      <c r="AA31" s="378">
        <f t="shared" si="7"/>
        <v>6062266.3899999997</v>
      </c>
      <c r="AB31" s="88">
        <f t="shared" si="8"/>
        <v>17</v>
      </c>
      <c r="AC31" s="89"/>
    </row>
    <row r="32" spans="1:37" s="91" customFormat="1" ht="44.25" customHeight="1">
      <c r="A32" s="580">
        <f>_xlfn.AGGREGATE(4,7,A$14:A31)+1</f>
        <v>18</v>
      </c>
      <c r="B32" s="421" t="s">
        <v>372</v>
      </c>
      <c r="C32" s="99" t="s">
        <v>442</v>
      </c>
      <c r="D32" s="206"/>
      <c r="E32" s="202"/>
      <c r="F32" s="376" t="str">
        <f>INDEX([3]SACOM!$C$7:$C$335,MATCH(B32,[3]SACOM!$B$7:$B$335,0))</f>
        <v>060310936742</v>
      </c>
      <c r="G32" s="375" t="s">
        <v>231</v>
      </c>
      <c r="H32" s="560">
        <v>2</v>
      </c>
      <c r="I32" s="453">
        <v>5572560</v>
      </c>
      <c r="J32" s="557"/>
      <c r="K32" s="453"/>
      <c r="L32" s="453">
        <f t="shared" si="0"/>
        <v>5572560</v>
      </c>
      <c r="M32" s="453"/>
      <c r="N32" s="453">
        <f t="shared" si="1"/>
        <v>0</v>
      </c>
      <c r="O32" s="453"/>
      <c r="P32" s="453">
        <f t="shared" si="2"/>
        <v>5572560</v>
      </c>
      <c r="Q32" s="453">
        <f t="shared" si="3"/>
        <v>445804.79999999999</v>
      </c>
      <c r="R32" s="455">
        <f t="shared" si="4"/>
        <v>83588.399999999994</v>
      </c>
      <c r="S32" s="453">
        <f t="shared" si="5"/>
        <v>55725.599999999999</v>
      </c>
      <c r="T32" s="455"/>
      <c r="U32" s="455">
        <f t="shared" si="6"/>
        <v>585118.79999999993</v>
      </c>
      <c r="V32" s="455"/>
      <c r="W32" s="561"/>
      <c r="X32" s="561"/>
      <c r="Y32" s="561"/>
      <c r="Z32" s="561"/>
      <c r="AA32" s="378">
        <f t="shared" si="7"/>
        <v>4987441.2</v>
      </c>
      <c r="AB32" s="88">
        <f t="shared" si="8"/>
        <v>18</v>
      </c>
      <c r="AC32" s="89"/>
    </row>
    <row r="33" spans="1:37" s="91" customFormat="1" ht="42.75" customHeight="1">
      <c r="A33" s="580">
        <f>_xlfn.AGGREGATE(4,7,A$14:A32)+1</f>
        <v>19</v>
      </c>
      <c r="B33" s="421" t="s">
        <v>115</v>
      </c>
      <c r="C33" s="99" t="s">
        <v>173</v>
      </c>
      <c r="D33" s="206" t="str">
        <f>VLOOKUP(B33,[2]T3!$B$2:$D$328,3,FALSE)</f>
        <v>024759058</v>
      </c>
      <c r="E33" s="188" t="s">
        <v>210</v>
      </c>
      <c r="F33" s="376" t="str">
        <f>INDEX([3]SACOM!$C$7:$C$335,MATCH(B33,[3]SACOM!$B$7:$B$335,0))</f>
        <v>060311001951</v>
      </c>
      <c r="G33" s="375" t="s">
        <v>228</v>
      </c>
      <c r="H33" s="562">
        <v>2</v>
      </c>
      <c r="I33" s="453">
        <v>6076213</v>
      </c>
      <c r="J33" s="557"/>
      <c r="K33" s="453"/>
      <c r="L33" s="453">
        <f t="shared" si="0"/>
        <v>6076213</v>
      </c>
      <c r="M33" s="453"/>
      <c r="N33" s="453">
        <f t="shared" si="1"/>
        <v>0</v>
      </c>
      <c r="O33" s="453"/>
      <c r="P33" s="453">
        <f t="shared" si="2"/>
        <v>6076213</v>
      </c>
      <c r="Q33" s="453">
        <f t="shared" si="3"/>
        <v>486097.04000000004</v>
      </c>
      <c r="R33" s="455">
        <f t="shared" si="4"/>
        <v>91143.194999999992</v>
      </c>
      <c r="S33" s="453">
        <f t="shared" si="5"/>
        <v>60762.130000000005</v>
      </c>
      <c r="T33" s="455"/>
      <c r="U33" s="455">
        <f t="shared" si="6"/>
        <v>638002.36499999999</v>
      </c>
      <c r="V33" s="455"/>
      <c r="W33" s="378"/>
      <c r="X33" s="378"/>
      <c r="Y33" s="378"/>
      <c r="Z33" s="378"/>
      <c r="AA33" s="378">
        <f t="shared" si="7"/>
        <v>5438210.6349999998</v>
      </c>
      <c r="AB33" s="88">
        <f t="shared" si="8"/>
        <v>19</v>
      </c>
      <c r="AC33" s="89"/>
    </row>
    <row r="34" spans="1:37" s="91" customFormat="1" ht="47.25" customHeight="1">
      <c r="A34" s="580">
        <f>_xlfn.AGGREGATE(4,7,A$14:A33)+1</f>
        <v>20</v>
      </c>
      <c r="B34" s="421" t="s">
        <v>128</v>
      </c>
      <c r="C34" s="99" t="s">
        <v>173</v>
      </c>
      <c r="D34" s="206" t="str">
        <f>VLOOKUP(B34,[2]T3!$B$2:$D$328,3,FALSE)</f>
        <v>025128010</v>
      </c>
      <c r="E34" s="188" t="s">
        <v>202</v>
      </c>
      <c r="F34" s="376" t="str">
        <f>INDEX([3]SACOM!$C$7:$C$335,MATCH(B34,[3]SACOM!$B$7:$B$335,0))</f>
        <v>060311390204</v>
      </c>
      <c r="G34" s="375" t="s">
        <v>228</v>
      </c>
      <c r="H34" s="560">
        <v>4</v>
      </c>
      <c r="I34" s="453">
        <v>6956657</v>
      </c>
      <c r="J34" s="557"/>
      <c r="K34" s="453"/>
      <c r="L34" s="453">
        <f t="shared" si="0"/>
        <v>6956657</v>
      </c>
      <c r="M34" s="453"/>
      <c r="N34" s="453">
        <f t="shared" si="1"/>
        <v>0</v>
      </c>
      <c r="O34" s="453"/>
      <c r="P34" s="453">
        <f t="shared" si="2"/>
        <v>6956657</v>
      </c>
      <c r="Q34" s="453">
        <f t="shared" si="3"/>
        <v>556532.56000000006</v>
      </c>
      <c r="R34" s="455">
        <f t="shared" si="4"/>
        <v>104349.855</v>
      </c>
      <c r="S34" s="453">
        <f t="shared" si="5"/>
        <v>69566.570000000007</v>
      </c>
      <c r="T34" s="455"/>
      <c r="U34" s="455">
        <f t="shared" si="6"/>
        <v>730448.9850000001</v>
      </c>
      <c r="V34" s="455"/>
      <c r="W34" s="455"/>
      <c r="X34" s="455"/>
      <c r="Y34" s="455"/>
      <c r="Z34" s="455"/>
      <c r="AA34" s="378">
        <f t="shared" si="7"/>
        <v>6226208.0149999997</v>
      </c>
      <c r="AB34" s="88">
        <f t="shared" si="8"/>
        <v>20</v>
      </c>
      <c r="AC34" s="89"/>
      <c r="AD34" s="32"/>
      <c r="AE34" s="32"/>
      <c r="AF34" s="32"/>
      <c r="AG34" s="32"/>
      <c r="AH34" s="32"/>
      <c r="AI34" s="32"/>
      <c r="AJ34" s="32"/>
      <c r="AK34" s="32"/>
    </row>
    <row r="35" spans="1:37" s="91" customFormat="1" ht="39" customHeight="1">
      <c r="A35" s="580">
        <f>_xlfn.AGGREGATE(4,7,A$14:A34)+1</f>
        <v>21</v>
      </c>
      <c r="B35" s="421" t="s">
        <v>150</v>
      </c>
      <c r="C35" s="99" t="s">
        <v>173</v>
      </c>
      <c r="D35" s="206" t="str">
        <f>VLOOKUP(B35,[2]T3!$B$2:$D$328,3,FALSE)</f>
        <v>290936998</v>
      </c>
      <c r="E35" s="188" t="s">
        <v>207</v>
      </c>
      <c r="F35" s="376" t="str">
        <f>INDEX([3]SACOM!$C$7:$C$335,MATCH(B35,[3]SACOM!$B$7:$B$335,0))</f>
        <v>060310828656</v>
      </c>
      <c r="G35" s="368" t="s">
        <v>228</v>
      </c>
      <c r="H35" s="452">
        <v>6</v>
      </c>
      <c r="I35" s="453">
        <v>7964676</v>
      </c>
      <c r="J35" s="557"/>
      <c r="K35" s="453"/>
      <c r="L35" s="453">
        <f t="shared" si="0"/>
        <v>7964676</v>
      </c>
      <c r="M35" s="453"/>
      <c r="N35" s="453">
        <f t="shared" si="1"/>
        <v>0</v>
      </c>
      <c r="O35" s="453"/>
      <c r="P35" s="453">
        <f t="shared" si="2"/>
        <v>7964676</v>
      </c>
      <c r="Q35" s="453">
        <f t="shared" si="3"/>
        <v>637174.07999999996</v>
      </c>
      <c r="R35" s="455">
        <f t="shared" si="4"/>
        <v>119470.14</v>
      </c>
      <c r="S35" s="453">
        <f t="shared" si="5"/>
        <v>79646.759999999995</v>
      </c>
      <c r="T35" s="455"/>
      <c r="U35" s="455">
        <f t="shared" si="6"/>
        <v>836290.98</v>
      </c>
      <c r="V35" s="455"/>
      <c r="W35" s="455"/>
      <c r="X35" s="455"/>
      <c r="Y35" s="455"/>
      <c r="Z35" s="455"/>
      <c r="AA35" s="378">
        <f t="shared" si="7"/>
        <v>7128385.0199999996</v>
      </c>
      <c r="AB35" s="88">
        <f t="shared" si="8"/>
        <v>21</v>
      </c>
      <c r="AC35" s="105"/>
      <c r="AD35" s="32"/>
      <c r="AE35" s="32"/>
      <c r="AF35" s="32"/>
      <c r="AG35" s="32"/>
      <c r="AH35" s="32"/>
      <c r="AI35" s="32"/>
      <c r="AJ35" s="32"/>
      <c r="AK35" s="32"/>
    </row>
    <row r="36" spans="1:37" s="91" customFormat="1" ht="40.5" customHeight="1">
      <c r="A36" s="580">
        <f>_xlfn.AGGREGATE(4,7,A$14:A35)+1</f>
        <v>22</v>
      </c>
      <c r="B36" s="421" t="s">
        <v>133</v>
      </c>
      <c r="C36" s="99" t="s">
        <v>173</v>
      </c>
      <c r="D36" s="206" t="str">
        <f>VLOOKUP(B36,[2]T3!$B$2:$D$328,3,FALSE)</f>
        <v>001186011890</v>
      </c>
      <c r="E36" s="188" t="s">
        <v>208</v>
      </c>
      <c r="F36" s="376" t="str">
        <f>INDEX([3]SACOM!$C$7:$C$335,MATCH(B36,[3]SACOM!$B$7:$B$335,0))</f>
        <v>060310826122</v>
      </c>
      <c r="G36" s="368" t="s">
        <v>228</v>
      </c>
      <c r="H36" s="452">
        <v>8</v>
      </c>
      <c r="I36" s="453">
        <v>9118758</v>
      </c>
      <c r="J36" s="557"/>
      <c r="K36" s="453"/>
      <c r="L36" s="453">
        <f t="shared" si="0"/>
        <v>9118758</v>
      </c>
      <c r="M36" s="453"/>
      <c r="N36" s="453">
        <f t="shared" si="1"/>
        <v>0</v>
      </c>
      <c r="O36" s="453"/>
      <c r="P36" s="453">
        <f t="shared" si="2"/>
        <v>9118758</v>
      </c>
      <c r="Q36" s="453">
        <f t="shared" si="3"/>
        <v>729500.64</v>
      </c>
      <c r="R36" s="455">
        <f t="shared" si="4"/>
        <v>136781.37</v>
      </c>
      <c r="S36" s="453">
        <f t="shared" si="5"/>
        <v>91187.58</v>
      </c>
      <c r="T36" s="455"/>
      <c r="U36" s="455">
        <f t="shared" si="6"/>
        <v>957469.59</v>
      </c>
      <c r="V36" s="455"/>
      <c r="W36" s="561"/>
      <c r="X36" s="561"/>
      <c r="Y36" s="561"/>
      <c r="Z36" s="561"/>
      <c r="AA36" s="378">
        <f t="shared" si="7"/>
        <v>8161288.4100000001</v>
      </c>
      <c r="AB36" s="88">
        <f t="shared" si="8"/>
        <v>22</v>
      </c>
      <c r="AC36" s="233"/>
    </row>
    <row r="37" spans="1:37" s="91" customFormat="1" ht="39.75" customHeight="1">
      <c r="A37" s="580">
        <f>_xlfn.AGGREGATE(4,7,A$14:A36)+1</f>
        <v>23</v>
      </c>
      <c r="B37" s="421" t="s">
        <v>391</v>
      </c>
      <c r="C37" s="99" t="s">
        <v>173</v>
      </c>
      <c r="D37" s="206"/>
      <c r="E37" s="188"/>
      <c r="F37" s="376" t="str">
        <f>INDEX([3]SACOM!$C$7:$C$335,MATCH(B37,[3]SACOM!$B$7:$B$335,0))</f>
        <v>060311004101</v>
      </c>
      <c r="G37" s="368" t="s">
        <v>228</v>
      </c>
      <c r="H37" s="452">
        <v>1</v>
      </c>
      <c r="I37" s="453">
        <v>5678704</v>
      </c>
      <c r="J37" s="557"/>
      <c r="K37" s="453"/>
      <c r="L37" s="453">
        <f t="shared" si="0"/>
        <v>5678704</v>
      </c>
      <c r="M37" s="453"/>
      <c r="N37" s="453">
        <f t="shared" si="1"/>
        <v>0</v>
      </c>
      <c r="O37" s="453"/>
      <c r="P37" s="453">
        <f t="shared" si="2"/>
        <v>5678704</v>
      </c>
      <c r="Q37" s="453">
        <f t="shared" si="3"/>
        <v>454296.32000000001</v>
      </c>
      <c r="R37" s="455">
        <f t="shared" si="4"/>
        <v>85180.56</v>
      </c>
      <c r="S37" s="453">
        <f t="shared" si="5"/>
        <v>56787.040000000001</v>
      </c>
      <c r="T37" s="455"/>
      <c r="U37" s="455">
        <f t="shared" si="6"/>
        <v>596263.92000000004</v>
      </c>
      <c r="V37" s="455"/>
      <c r="W37" s="561"/>
      <c r="X37" s="561"/>
      <c r="Y37" s="561"/>
      <c r="Z37" s="561"/>
      <c r="AA37" s="378">
        <f t="shared" si="7"/>
        <v>5082440.08</v>
      </c>
      <c r="AB37" s="88">
        <f t="shared" si="8"/>
        <v>23</v>
      </c>
      <c r="AC37" s="233"/>
      <c r="AD37" s="32"/>
      <c r="AE37" s="32"/>
      <c r="AF37" s="32"/>
      <c r="AG37" s="32"/>
      <c r="AH37" s="32"/>
      <c r="AI37" s="32"/>
      <c r="AJ37" s="32"/>
      <c r="AK37" s="32"/>
    </row>
    <row r="38" spans="1:37" s="91" customFormat="1" ht="48.75" customHeight="1">
      <c r="A38" s="580">
        <f>_xlfn.AGGREGATE(4,7,A$14:A37)+1</f>
        <v>24</v>
      </c>
      <c r="B38" s="612" t="s">
        <v>124</v>
      </c>
      <c r="C38" s="307" t="s">
        <v>174</v>
      </c>
      <c r="D38" s="308" t="str">
        <f>VLOOKUP(B38,[2]T3!$B$2:$D$328,3,FALSE)</f>
        <v>095189000070</v>
      </c>
      <c r="E38" s="607" t="s">
        <v>199</v>
      </c>
      <c r="F38" s="608" t="str">
        <f>INDEX([3]SACOM!$C$7:$C$335,MATCH(B38,[3]SACOM!$B$7:$B$335,0))</f>
        <v>060282013358</v>
      </c>
      <c r="G38" s="613" t="s">
        <v>228</v>
      </c>
      <c r="H38" s="614">
        <v>6</v>
      </c>
      <c r="I38" s="598">
        <v>7964676</v>
      </c>
      <c r="J38" s="610"/>
      <c r="K38" s="598"/>
      <c r="L38" s="598">
        <f t="shared" si="0"/>
        <v>7964676</v>
      </c>
      <c r="M38" s="598">
        <v>7</v>
      </c>
      <c r="N38" s="598">
        <f t="shared" si="1"/>
        <v>2144335.846153846</v>
      </c>
      <c r="O38" s="598"/>
      <c r="P38" s="598">
        <f t="shared" si="2"/>
        <v>5820340.153846154</v>
      </c>
      <c r="Q38" s="598">
        <f t="shared" si="3"/>
        <v>637174.07999999996</v>
      </c>
      <c r="R38" s="599">
        <f t="shared" si="4"/>
        <v>119470.14</v>
      </c>
      <c r="S38" s="598">
        <f t="shared" si="5"/>
        <v>79646.759999999995</v>
      </c>
      <c r="T38" s="599"/>
      <c r="U38" s="599">
        <f t="shared" si="6"/>
        <v>836290.98</v>
      </c>
      <c r="V38" s="599"/>
      <c r="W38" s="599"/>
      <c r="X38" s="599"/>
      <c r="Y38" s="599"/>
      <c r="Z38" s="599"/>
      <c r="AA38" s="600">
        <f t="shared" si="7"/>
        <v>4984049.1738461535</v>
      </c>
      <c r="AB38" s="316">
        <f t="shared" si="8"/>
        <v>24</v>
      </c>
      <c r="AC38" s="615" t="s">
        <v>456</v>
      </c>
      <c r="AD38" s="32"/>
      <c r="AE38" s="32"/>
      <c r="AF38" s="32"/>
      <c r="AG38" s="32"/>
      <c r="AH38" s="32"/>
      <c r="AI38" s="32"/>
      <c r="AJ38" s="32"/>
      <c r="AK38" s="32"/>
    </row>
    <row r="39" spans="1:37" s="91" customFormat="1" ht="39.75" customHeight="1">
      <c r="A39" s="580">
        <f>_xlfn.AGGREGATE(4,7,A$14:A38)+1</f>
        <v>25</v>
      </c>
      <c r="B39" s="421" t="s">
        <v>123</v>
      </c>
      <c r="C39" s="99" t="s">
        <v>175</v>
      </c>
      <c r="D39" s="206" t="str">
        <f>VLOOKUP(B39,[2]T3!$B$2:$D$328,3,FALSE)</f>
        <v>023680986</v>
      </c>
      <c r="E39" s="188" t="s">
        <v>198</v>
      </c>
      <c r="F39" s="376" t="str">
        <f>INDEX([3]SACOM!$C$7:$C$335,MATCH(B39,[3]SACOM!$B$7:$B$335,0))</f>
        <v xml:space="preserve">060310667458 </v>
      </c>
      <c r="G39" s="368" t="s">
        <v>228</v>
      </c>
      <c r="H39" s="452">
        <v>6</v>
      </c>
      <c r="I39" s="453">
        <v>7964676</v>
      </c>
      <c r="J39" s="557"/>
      <c r="K39" s="453"/>
      <c r="L39" s="453">
        <f t="shared" si="0"/>
        <v>7964676</v>
      </c>
      <c r="M39" s="453"/>
      <c r="N39" s="453">
        <f t="shared" si="1"/>
        <v>0</v>
      </c>
      <c r="O39" s="453"/>
      <c r="P39" s="453">
        <f t="shared" si="2"/>
        <v>7964676</v>
      </c>
      <c r="Q39" s="453">
        <f t="shared" si="3"/>
        <v>637174.07999999996</v>
      </c>
      <c r="R39" s="455">
        <f t="shared" si="4"/>
        <v>119470.14</v>
      </c>
      <c r="S39" s="453">
        <f t="shared" si="5"/>
        <v>79646.759999999995</v>
      </c>
      <c r="T39" s="455"/>
      <c r="U39" s="455">
        <f t="shared" si="6"/>
        <v>836290.98</v>
      </c>
      <c r="V39" s="455"/>
      <c r="W39" s="563"/>
      <c r="X39" s="563"/>
      <c r="Y39" s="563"/>
      <c r="Z39" s="563"/>
      <c r="AA39" s="378">
        <f t="shared" si="7"/>
        <v>7128385.0199999996</v>
      </c>
      <c r="AB39" s="88">
        <f t="shared" si="8"/>
        <v>25</v>
      </c>
      <c r="AC39" s="105"/>
      <c r="AD39" s="32"/>
      <c r="AE39" s="32"/>
      <c r="AF39" s="32"/>
      <c r="AG39" s="32"/>
      <c r="AH39" s="32"/>
      <c r="AI39" s="32"/>
      <c r="AJ39" s="32"/>
      <c r="AK39" s="32"/>
    </row>
    <row r="40" spans="1:37" s="91" customFormat="1" ht="42.75" customHeight="1">
      <c r="A40" s="580">
        <f>_xlfn.AGGREGATE(4,7,A$14:A39)+1</f>
        <v>26</v>
      </c>
      <c r="B40" s="421" t="s">
        <v>280</v>
      </c>
      <c r="C40" s="99" t="s">
        <v>175</v>
      </c>
      <c r="D40" s="206"/>
      <c r="E40" s="202" t="s">
        <v>303</v>
      </c>
      <c r="F40" s="376" t="str">
        <f>INDEX([3]SACOM!$C$7:$C$335,MATCH(B40,[3]SACOM!$B$7:$B$335,0))</f>
        <v>060310701389</v>
      </c>
      <c r="G40" s="368" t="s">
        <v>228</v>
      </c>
      <c r="H40" s="452">
        <v>2</v>
      </c>
      <c r="I40" s="453">
        <v>6076213</v>
      </c>
      <c r="J40" s="557"/>
      <c r="K40" s="453"/>
      <c r="L40" s="453">
        <f t="shared" si="0"/>
        <v>6076213</v>
      </c>
      <c r="M40" s="453"/>
      <c r="N40" s="453">
        <f t="shared" si="1"/>
        <v>0</v>
      </c>
      <c r="O40" s="453"/>
      <c r="P40" s="453">
        <f t="shared" si="2"/>
        <v>6076213</v>
      </c>
      <c r="Q40" s="453">
        <f t="shared" si="3"/>
        <v>486097.04000000004</v>
      </c>
      <c r="R40" s="455">
        <f t="shared" si="4"/>
        <v>91143.194999999992</v>
      </c>
      <c r="S40" s="453">
        <f t="shared" si="5"/>
        <v>60762.130000000005</v>
      </c>
      <c r="T40" s="455"/>
      <c r="U40" s="455">
        <f t="shared" si="6"/>
        <v>638002.36499999999</v>
      </c>
      <c r="V40" s="455"/>
      <c r="W40" s="561"/>
      <c r="X40" s="561"/>
      <c r="Y40" s="561"/>
      <c r="Z40" s="561"/>
      <c r="AA40" s="378">
        <f t="shared" si="7"/>
        <v>5438210.6349999998</v>
      </c>
      <c r="AB40" s="88">
        <f t="shared" si="8"/>
        <v>26</v>
      </c>
      <c r="AC40" s="233"/>
      <c r="AD40" s="32"/>
      <c r="AE40" s="32"/>
      <c r="AF40" s="32"/>
      <c r="AG40" s="32"/>
      <c r="AH40" s="32"/>
      <c r="AI40" s="32"/>
      <c r="AJ40" s="32"/>
      <c r="AK40" s="32"/>
    </row>
    <row r="41" spans="1:37" s="91" customFormat="1" ht="59.25" customHeight="1">
      <c r="A41" s="580">
        <f>_xlfn.AGGREGATE(4,7,A$14:A40)+1</f>
        <v>27</v>
      </c>
      <c r="B41" s="606" t="s">
        <v>168</v>
      </c>
      <c r="C41" s="307" t="s">
        <v>337</v>
      </c>
      <c r="D41" s="308" t="str">
        <f>VLOOKUP(B41,[2]T3!$B$2:$D$328,3,FALSE)</f>
        <v>025273555</v>
      </c>
      <c r="E41" s="309" t="s">
        <v>209</v>
      </c>
      <c r="F41" s="608" t="str">
        <f>INDEX([3]SACOM!$C$7:$C$335,MATCH(B41,[3]SACOM!$B$7:$B$335,0))</f>
        <v>060310668179</v>
      </c>
      <c r="G41" s="613" t="s">
        <v>232</v>
      </c>
      <c r="H41" s="609">
        <v>5</v>
      </c>
      <c r="I41" s="598">
        <v>6028911</v>
      </c>
      <c r="J41" s="610"/>
      <c r="K41" s="598"/>
      <c r="L41" s="598">
        <f t="shared" si="0"/>
        <v>6028911</v>
      </c>
      <c r="M41" s="598">
        <v>7</v>
      </c>
      <c r="N41" s="598">
        <f t="shared" si="1"/>
        <v>1623168.3461538462</v>
      </c>
      <c r="O41" s="598"/>
      <c r="P41" s="598">
        <f t="shared" si="2"/>
        <v>4405742.653846154</v>
      </c>
      <c r="Q41" s="598">
        <f t="shared" si="3"/>
        <v>482312.88</v>
      </c>
      <c r="R41" s="599">
        <f t="shared" si="4"/>
        <v>90433.664999999994</v>
      </c>
      <c r="S41" s="598">
        <f t="shared" si="5"/>
        <v>60289.11</v>
      </c>
      <c r="T41" s="599"/>
      <c r="U41" s="599">
        <f t="shared" si="6"/>
        <v>633035.65500000003</v>
      </c>
      <c r="V41" s="599"/>
      <c r="W41" s="625"/>
      <c r="X41" s="625"/>
      <c r="Y41" s="625"/>
      <c r="Z41" s="625"/>
      <c r="AA41" s="600">
        <f t="shared" si="7"/>
        <v>3772706.9988461537</v>
      </c>
      <c r="AB41" s="316">
        <f t="shared" si="8"/>
        <v>27</v>
      </c>
      <c r="AC41" s="317" t="s">
        <v>457</v>
      </c>
    </row>
    <row r="42" spans="1:37" s="602" customFormat="1" ht="31.9" customHeight="1">
      <c r="A42" s="580">
        <f>_xlfn.AGGREGATE(4,7,A$14:A41)+1</f>
        <v>28</v>
      </c>
      <c r="B42" s="421" t="s">
        <v>371</v>
      </c>
      <c r="C42" s="99" t="s">
        <v>368</v>
      </c>
      <c r="D42" s="206"/>
      <c r="E42" s="188"/>
      <c r="F42" s="376" t="str">
        <f>INDEX([3]SACOM!$C$7:$C$335,MATCH(B42,[3]SACOM!$B$7:$B$335,0))</f>
        <v>060310987118</v>
      </c>
      <c r="G42" s="368" t="s">
        <v>231</v>
      </c>
      <c r="H42" s="452">
        <v>2</v>
      </c>
      <c r="I42" s="453">
        <v>5572560</v>
      </c>
      <c r="J42" s="557"/>
      <c r="K42" s="453"/>
      <c r="L42" s="453">
        <f t="shared" si="0"/>
        <v>5572560</v>
      </c>
      <c r="M42" s="453"/>
      <c r="N42" s="453">
        <f t="shared" si="1"/>
        <v>0</v>
      </c>
      <c r="O42" s="453"/>
      <c r="P42" s="453">
        <f t="shared" si="2"/>
        <v>5572560</v>
      </c>
      <c r="Q42" s="453">
        <f t="shared" si="3"/>
        <v>445804.79999999999</v>
      </c>
      <c r="R42" s="455">
        <f t="shared" si="4"/>
        <v>83588.399999999994</v>
      </c>
      <c r="S42" s="453">
        <f t="shared" si="5"/>
        <v>55725.599999999999</v>
      </c>
      <c r="T42" s="455"/>
      <c r="U42" s="455">
        <f t="shared" si="6"/>
        <v>585118.79999999993</v>
      </c>
      <c r="V42" s="455"/>
      <c r="W42" s="455"/>
      <c r="X42" s="455"/>
      <c r="Y42" s="455"/>
      <c r="Z42" s="455"/>
      <c r="AA42" s="378">
        <f t="shared" si="7"/>
        <v>4987441.2</v>
      </c>
      <c r="AB42" s="88">
        <f t="shared" si="8"/>
        <v>28</v>
      </c>
      <c r="AC42" s="105"/>
    </row>
    <row r="43" spans="1:37" s="91" customFormat="1" ht="31.5" customHeight="1">
      <c r="A43" s="580">
        <f>_xlfn.AGGREGATE(4,7,A$14:A42)+1</f>
        <v>29</v>
      </c>
      <c r="B43" s="421" t="s">
        <v>130</v>
      </c>
      <c r="C43" s="99" t="s">
        <v>10</v>
      </c>
      <c r="D43" s="206" t="str">
        <f>VLOOKUP(B43,[2]T3!$B$2:$D$328,3,FALSE)</f>
        <v>273417648</v>
      </c>
      <c r="E43" s="202" t="s">
        <v>205</v>
      </c>
      <c r="F43" s="376" t="str">
        <f>INDEX([3]SACOM!$C$7:$C$335,MATCH(B43,[3]SACOM!$B$7:$B$335,0))</f>
        <v>060310837061</v>
      </c>
      <c r="G43" s="375" t="s">
        <v>228</v>
      </c>
      <c r="H43" s="560">
        <v>4</v>
      </c>
      <c r="I43" s="453">
        <v>6956657</v>
      </c>
      <c r="J43" s="557"/>
      <c r="K43" s="453"/>
      <c r="L43" s="453">
        <f t="shared" si="0"/>
        <v>6956657</v>
      </c>
      <c r="M43" s="453"/>
      <c r="N43" s="453">
        <f t="shared" si="1"/>
        <v>0</v>
      </c>
      <c r="O43" s="453"/>
      <c r="P43" s="453">
        <f t="shared" si="2"/>
        <v>6956657</v>
      </c>
      <c r="Q43" s="453">
        <f t="shared" si="3"/>
        <v>556532.56000000006</v>
      </c>
      <c r="R43" s="455">
        <f t="shared" si="4"/>
        <v>104349.855</v>
      </c>
      <c r="S43" s="453">
        <f t="shared" si="5"/>
        <v>69566.570000000007</v>
      </c>
      <c r="T43" s="455"/>
      <c r="U43" s="455">
        <f t="shared" si="6"/>
        <v>730448.9850000001</v>
      </c>
      <c r="V43" s="455"/>
      <c r="W43" s="455"/>
      <c r="X43" s="453"/>
      <c r="Y43" s="453"/>
      <c r="Z43" s="455"/>
      <c r="AA43" s="378">
        <f t="shared" si="7"/>
        <v>6226208.0149999997</v>
      </c>
      <c r="AB43" s="88">
        <f t="shared" si="8"/>
        <v>29</v>
      </c>
      <c r="AC43" s="89"/>
      <c r="AD43" s="32"/>
      <c r="AE43" s="32"/>
      <c r="AF43" s="32"/>
      <c r="AG43" s="32"/>
      <c r="AH43" s="32"/>
      <c r="AI43" s="32"/>
      <c r="AJ43" s="32"/>
      <c r="AK43" s="32"/>
    </row>
    <row r="44" spans="1:37" s="91" customFormat="1" ht="30" customHeight="1">
      <c r="A44" s="580">
        <f>_xlfn.AGGREGATE(4,7,A$14:A43)+1</f>
        <v>30</v>
      </c>
      <c r="B44" s="421" t="s">
        <v>288</v>
      </c>
      <c r="C44" s="99" t="s">
        <v>289</v>
      </c>
      <c r="D44" s="206"/>
      <c r="E44" s="202"/>
      <c r="F44" s="376" t="str">
        <f>INDEX([3]SACOM!$C$7:$C$335,MATCH(B44,[3]SACOM!$B$7:$B$335,0))</f>
        <v>060311028599</v>
      </c>
      <c r="G44" s="368" t="s">
        <v>231</v>
      </c>
      <c r="H44" s="452">
        <v>3</v>
      </c>
      <c r="I44" s="453">
        <v>5851188</v>
      </c>
      <c r="J44" s="557"/>
      <c r="K44" s="453"/>
      <c r="L44" s="453">
        <f t="shared" si="0"/>
        <v>5851188</v>
      </c>
      <c r="M44" s="453"/>
      <c r="N44" s="453">
        <f t="shared" si="1"/>
        <v>0</v>
      </c>
      <c r="O44" s="453"/>
      <c r="P44" s="453">
        <f t="shared" si="2"/>
        <v>5851188</v>
      </c>
      <c r="Q44" s="453">
        <f t="shared" si="3"/>
        <v>468095.04000000004</v>
      </c>
      <c r="R44" s="455">
        <f t="shared" si="4"/>
        <v>87767.819999999992</v>
      </c>
      <c r="S44" s="453">
        <f t="shared" si="5"/>
        <v>58511.880000000005</v>
      </c>
      <c r="T44" s="455"/>
      <c r="U44" s="455">
        <f t="shared" si="6"/>
        <v>614374.74</v>
      </c>
      <c r="V44" s="455"/>
      <c r="W44" s="561"/>
      <c r="X44" s="594"/>
      <c r="Y44" s="595"/>
      <c r="Z44" s="561"/>
      <c r="AA44" s="378">
        <f>P44-U44+W44+X45+Z44</f>
        <v>5236813.26</v>
      </c>
      <c r="AB44" s="88">
        <f t="shared" si="8"/>
        <v>30</v>
      </c>
      <c r="AC44" s="233"/>
    </row>
    <row r="45" spans="1:37" s="91" customFormat="1" ht="33.75" customHeight="1">
      <c r="A45" s="580">
        <f>_xlfn.AGGREGATE(4,7,A$14:A44)+1</f>
        <v>31</v>
      </c>
      <c r="B45" s="421" t="s">
        <v>129</v>
      </c>
      <c r="C45" s="99" t="s">
        <v>10</v>
      </c>
      <c r="D45" s="206" t="str">
        <f>VLOOKUP(B45,[2]T3!$B$2:$D$328,3,FALSE)</f>
        <v>250835904</v>
      </c>
      <c r="E45" s="202" t="s">
        <v>204</v>
      </c>
      <c r="F45" s="376" t="str">
        <f>INDEX([3]SACOM!$C$7:$C$335,MATCH(B45,[3]SACOM!$B$7:$B$335,0))</f>
        <v>060310750118</v>
      </c>
      <c r="G45" s="375" t="s">
        <v>228</v>
      </c>
      <c r="H45" s="560">
        <v>4</v>
      </c>
      <c r="I45" s="453">
        <v>6956657</v>
      </c>
      <c r="J45" s="557"/>
      <c r="K45" s="453"/>
      <c r="L45" s="453">
        <f t="shared" si="0"/>
        <v>6956657</v>
      </c>
      <c r="M45" s="453"/>
      <c r="N45" s="453">
        <f t="shared" si="1"/>
        <v>0</v>
      </c>
      <c r="O45" s="453"/>
      <c r="P45" s="453">
        <f t="shared" si="2"/>
        <v>6956657</v>
      </c>
      <c r="Q45" s="453">
        <f t="shared" si="3"/>
        <v>556532.56000000006</v>
      </c>
      <c r="R45" s="455">
        <f t="shared" si="4"/>
        <v>104349.855</v>
      </c>
      <c r="S45" s="453">
        <f t="shared" si="5"/>
        <v>69566.570000000007</v>
      </c>
      <c r="T45" s="455"/>
      <c r="U45" s="455">
        <f t="shared" si="6"/>
        <v>730448.9850000001</v>
      </c>
      <c r="V45" s="455"/>
      <c r="W45" s="455"/>
      <c r="X45" s="561"/>
      <c r="Y45" s="455"/>
      <c r="Z45" s="455"/>
      <c r="AA45" s="378">
        <f t="shared" ref="AA45:AA52" si="9">P45-U45+W45+Y45+Z45</f>
        <v>6226208.0149999997</v>
      </c>
      <c r="AB45" s="88">
        <f t="shared" si="8"/>
        <v>31</v>
      </c>
      <c r="AC45" s="89"/>
      <c r="AD45" s="32"/>
      <c r="AE45" s="32"/>
      <c r="AF45" s="32"/>
      <c r="AG45" s="32"/>
      <c r="AH45" s="32"/>
      <c r="AI45" s="32"/>
      <c r="AJ45" s="32"/>
      <c r="AK45" s="32"/>
    </row>
    <row r="46" spans="1:37" s="622" customFormat="1" ht="43.5" customHeight="1">
      <c r="A46" s="580">
        <f>_xlfn.AGGREGATE(4,7,A$14:A45)+1</f>
        <v>32</v>
      </c>
      <c r="B46" s="421" t="s">
        <v>152</v>
      </c>
      <c r="C46" s="99" t="s">
        <v>390</v>
      </c>
      <c r="D46" s="204"/>
      <c r="E46" s="188"/>
      <c r="F46" s="376" t="str">
        <f>INDEX([3]SACOM!$C$7:$C$335,MATCH(B46,[3]SACOM!$B$7:$B$335,0))</f>
        <v>060987245810</v>
      </c>
      <c r="G46" s="375" t="s">
        <v>228</v>
      </c>
      <c r="H46" s="452">
        <v>12</v>
      </c>
      <c r="I46" s="453">
        <v>11952831</v>
      </c>
      <c r="J46" s="564">
        <v>0.12</v>
      </c>
      <c r="K46" s="454">
        <f>I46*J46</f>
        <v>1434339.72</v>
      </c>
      <c r="L46" s="453">
        <f t="shared" si="0"/>
        <v>13387171</v>
      </c>
      <c r="M46" s="453"/>
      <c r="N46" s="453">
        <f t="shared" si="1"/>
        <v>0</v>
      </c>
      <c r="O46" s="453"/>
      <c r="P46" s="453">
        <f t="shared" si="2"/>
        <v>13387171</v>
      </c>
      <c r="Q46" s="453">
        <f t="shared" si="3"/>
        <v>1070973.68</v>
      </c>
      <c r="R46" s="455">
        <f t="shared" si="4"/>
        <v>200807.565</v>
      </c>
      <c r="S46" s="453">
        <f t="shared" si="5"/>
        <v>133871.71</v>
      </c>
      <c r="T46" s="455"/>
      <c r="U46" s="455">
        <f t="shared" si="6"/>
        <v>1405652.9549999998</v>
      </c>
      <c r="V46" s="455"/>
      <c r="W46" s="455"/>
      <c r="X46" s="455"/>
      <c r="Y46" s="455"/>
      <c r="Z46" s="455"/>
      <c r="AA46" s="378">
        <f t="shared" si="9"/>
        <v>11981518.045</v>
      </c>
      <c r="AB46" s="88">
        <f t="shared" si="8"/>
        <v>32</v>
      </c>
      <c r="AC46" s="89"/>
    </row>
    <row r="47" spans="1:37" s="458" customFormat="1" ht="41.25" customHeight="1">
      <c r="A47" s="580">
        <f>_xlfn.AGGREGATE(4,7,A$14:A46)+1</f>
        <v>33</v>
      </c>
      <c r="B47" s="421" t="s">
        <v>321</v>
      </c>
      <c r="C47" s="99" t="s">
        <v>390</v>
      </c>
      <c r="D47" s="206"/>
      <c r="E47" s="188"/>
      <c r="F47" s="376" t="str">
        <f>INDEX([3]SACOM!$C$7:$C$335,MATCH(B47,[3]SACOM!$B$7:$B$335,0))</f>
        <v>060310749136</v>
      </c>
      <c r="G47" s="368" t="s">
        <v>231</v>
      </c>
      <c r="H47" s="452">
        <v>5</v>
      </c>
      <c r="I47" s="453">
        <v>6450935</v>
      </c>
      <c r="J47" s="557"/>
      <c r="K47" s="453"/>
      <c r="L47" s="453">
        <f t="shared" si="0"/>
        <v>6450935</v>
      </c>
      <c r="M47" s="453"/>
      <c r="N47" s="453">
        <f t="shared" si="1"/>
        <v>0</v>
      </c>
      <c r="O47" s="453"/>
      <c r="P47" s="453">
        <f t="shared" si="2"/>
        <v>6450935</v>
      </c>
      <c r="Q47" s="453">
        <f t="shared" si="3"/>
        <v>516074.8</v>
      </c>
      <c r="R47" s="455">
        <f t="shared" si="4"/>
        <v>96764.024999999994</v>
      </c>
      <c r="S47" s="453">
        <f t="shared" si="5"/>
        <v>64509.35</v>
      </c>
      <c r="T47" s="455"/>
      <c r="U47" s="455">
        <f t="shared" si="6"/>
        <v>677348.17499999993</v>
      </c>
      <c r="V47" s="455"/>
      <c r="W47" s="455"/>
      <c r="X47" s="456"/>
      <c r="Y47" s="455"/>
      <c r="Z47" s="455"/>
      <c r="AA47" s="378">
        <f t="shared" si="9"/>
        <v>5773586.8250000002</v>
      </c>
      <c r="AB47" s="88">
        <f t="shared" si="8"/>
        <v>33</v>
      </c>
      <c r="AC47" s="89"/>
      <c r="AD47" s="516"/>
      <c r="AE47" s="516"/>
      <c r="AF47" s="516"/>
      <c r="AG47" s="516"/>
      <c r="AH47" s="516"/>
      <c r="AI47" s="516"/>
      <c r="AJ47" s="516"/>
      <c r="AK47" s="516"/>
    </row>
    <row r="48" spans="1:37" s="596" customFormat="1" ht="35.25" customHeight="1">
      <c r="A48" s="580">
        <f>_xlfn.AGGREGATE(4,7,A$14:A47)+1</f>
        <v>34</v>
      </c>
      <c r="B48" s="586" t="s">
        <v>444</v>
      </c>
      <c r="C48" s="587" t="s">
        <v>260</v>
      </c>
      <c r="D48" s="451"/>
      <c r="E48" s="588"/>
      <c r="F48" s="597"/>
      <c r="G48" s="368" t="s">
        <v>231</v>
      </c>
      <c r="H48" s="452">
        <v>1</v>
      </c>
      <c r="I48" s="453">
        <v>5307200</v>
      </c>
      <c r="J48" s="557"/>
      <c r="K48" s="589"/>
      <c r="L48" s="453">
        <f>ROUND(I48+K48,0)</f>
        <v>5307200</v>
      </c>
      <c r="M48" s="589"/>
      <c r="N48" s="453">
        <f>L48/26*M48</f>
        <v>0</v>
      </c>
      <c r="O48" s="589"/>
      <c r="P48" s="453">
        <f>L48-N48+O48</f>
        <v>5307200</v>
      </c>
      <c r="Q48" s="453">
        <f>L48*8%</f>
        <v>424576</v>
      </c>
      <c r="R48" s="455">
        <f>L48*1.5%</f>
        <v>79608</v>
      </c>
      <c r="S48" s="453">
        <f>L48*1%</f>
        <v>53072</v>
      </c>
      <c r="T48" s="590"/>
      <c r="U48" s="455">
        <f>SUM(Q48:T48)</f>
        <v>557256</v>
      </c>
      <c r="V48" s="590"/>
      <c r="W48" s="455"/>
      <c r="X48" s="456"/>
      <c r="Y48" s="455"/>
      <c r="Z48" s="455"/>
      <c r="AA48" s="378">
        <f>P48-U48+W48+Y48+Z48</f>
        <v>4749944</v>
      </c>
      <c r="AB48" s="457">
        <f>A48</f>
        <v>34</v>
      </c>
      <c r="AC48" s="591"/>
    </row>
    <row r="49" spans="1:37" s="626" customFormat="1" ht="39" customHeight="1">
      <c r="A49" s="580">
        <f>_xlfn.AGGREGATE(4,7,A$14:A48)+1</f>
        <v>35</v>
      </c>
      <c r="B49" s="421" t="s">
        <v>240</v>
      </c>
      <c r="C49" s="99" t="s">
        <v>241</v>
      </c>
      <c r="D49" s="202"/>
      <c r="E49" s="202" t="str">
        <f>INDEX([3]SACOM!$C$7:$C$335,MATCH(B49,[3]SACOM!$B$7:$B$335,0))</f>
        <v>060310682015</v>
      </c>
      <c r="F49" s="376" t="str">
        <f>INDEX([3]SACOM!$C$7:$C$335,MATCH(B49,[3]SACOM!$B$7:$B$335,0))</f>
        <v>060310682015</v>
      </c>
      <c r="G49" s="375" t="s">
        <v>231</v>
      </c>
      <c r="H49" s="560">
        <v>9</v>
      </c>
      <c r="I49" s="453">
        <v>7841152</v>
      </c>
      <c r="J49" s="557"/>
      <c r="K49" s="453"/>
      <c r="L49" s="453">
        <f>ROUND(I49+K49,0)</f>
        <v>7841152</v>
      </c>
      <c r="M49" s="453"/>
      <c r="N49" s="453">
        <f>L49/26*M49</f>
        <v>0</v>
      </c>
      <c r="O49" s="453"/>
      <c r="P49" s="453">
        <f>L49-N49+O49</f>
        <v>7841152</v>
      </c>
      <c r="Q49" s="453">
        <f>L49*8%</f>
        <v>627292.16000000003</v>
      </c>
      <c r="R49" s="455">
        <f>L49*1.5%</f>
        <v>117617.28</v>
      </c>
      <c r="S49" s="453">
        <f>L49*1%</f>
        <v>78411.520000000004</v>
      </c>
      <c r="T49" s="455"/>
      <c r="U49" s="455">
        <f>SUM(Q49:T49)</f>
        <v>823320.96000000008</v>
      </c>
      <c r="V49" s="455"/>
      <c r="W49" s="561"/>
      <c r="X49" s="561"/>
      <c r="Y49" s="561"/>
      <c r="Z49" s="561">
        <v>852000</v>
      </c>
      <c r="AA49" s="378">
        <f>P49-U49+W49+Y49+Z49</f>
        <v>7869831.04</v>
      </c>
      <c r="AB49" s="88">
        <f>A49</f>
        <v>35</v>
      </c>
      <c r="AC49" s="89"/>
    </row>
    <row r="50" spans="1:37" s="602" customFormat="1" ht="39" customHeight="1">
      <c r="A50" s="580">
        <f>_xlfn.AGGREGATE(4,7,A$14:A49)+1</f>
        <v>36</v>
      </c>
      <c r="B50" s="586" t="s">
        <v>446</v>
      </c>
      <c r="C50" s="601" t="s">
        <v>344</v>
      </c>
      <c r="D50" s="518"/>
      <c r="E50" s="588"/>
      <c r="F50" s="597"/>
      <c r="G50" s="605" t="s">
        <v>231</v>
      </c>
      <c r="H50" s="604">
        <v>1</v>
      </c>
      <c r="I50" s="589">
        <v>5307200</v>
      </c>
      <c r="J50" s="557"/>
      <c r="K50" s="589"/>
      <c r="L50" s="453">
        <f>ROUND(I50+K50,0)</f>
        <v>5307200</v>
      </c>
      <c r="M50" s="589"/>
      <c r="N50" s="453">
        <f>L50/26*M50</f>
        <v>0</v>
      </c>
      <c r="O50" s="589"/>
      <c r="P50" s="453">
        <f>L50-N50+O50</f>
        <v>5307200</v>
      </c>
      <c r="Q50" s="453">
        <f>L50*8%</f>
        <v>424576</v>
      </c>
      <c r="R50" s="455">
        <f>L50*1.5%</f>
        <v>79608</v>
      </c>
      <c r="S50" s="453">
        <f>L50*1%</f>
        <v>53072</v>
      </c>
      <c r="T50" s="590"/>
      <c r="U50" s="455">
        <f>SUM(Q50:T50)</f>
        <v>557256</v>
      </c>
      <c r="V50" s="590"/>
      <c r="W50" s="569"/>
      <c r="X50" s="569"/>
      <c r="Y50" s="569"/>
      <c r="Z50" s="569"/>
      <c r="AA50" s="378">
        <f>P50-U50+W50+Y50+Z50</f>
        <v>4749944</v>
      </c>
      <c r="AB50" s="88">
        <f>A50</f>
        <v>36</v>
      </c>
      <c r="AC50" s="107"/>
    </row>
    <row r="51" spans="1:37" s="611" customFormat="1" ht="39" customHeight="1">
      <c r="A51" s="580">
        <f>_xlfn.AGGREGATE(4,7,A$14:A50)+1</f>
        <v>37</v>
      </c>
      <c r="B51" s="441" t="s">
        <v>447</v>
      </c>
      <c r="C51" s="469" t="s">
        <v>173</v>
      </c>
      <c r="D51" s="518"/>
      <c r="E51" s="603"/>
      <c r="F51" s="560"/>
      <c r="G51" s="605" t="s">
        <v>231</v>
      </c>
      <c r="H51" s="604">
        <v>1</v>
      </c>
      <c r="I51" s="619">
        <v>5307200</v>
      </c>
      <c r="J51" s="454"/>
      <c r="K51" s="453"/>
      <c r="L51" s="453">
        <f>ROUND(I51+K51,0)</f>
        <v>5307200</v>
      </c>
      <c r="M51" s="566"/>
      <c r="N51" s="453">
        <f>L51/26*M51</f>
        <v>0</v>
      </c>
      <c r="O51" s="566"/>
      <c r="P51" s="453">
        <f>L51-N51+O51</f>
        <v>5307200</v>
      </c>
      <c r="Q51" s="453">
        <f>L51*8%</f>
        <v>424576</v>
      </c>
      <c r="R51" s="455">
        <f>L51*1.5%</f>
        <v>79608</v>
      </c>
      <c r="S51" s="453">
        <f>L51*1%</f>
        <v>53072</v>
      </c>
      <c r="T51" s="567"/>
      <c r="U51" s="455">
        <f>SUM(Q51:T51)</f>
        <v>557256</v>
      </c>
      <c r="V51" s="567"/>
      <c r="W51" s="569"/>
      <c r="X51" s="569"/>
      <c r="Y51" s="569"/>
      <c r="Z51" s="569"/>
      <c r="AA51" s="378">
        <f>P51-U51+W51+Y51+Z51</f>
        <v>4749944</v>
      </c>
      <c r="AB51" s="88">
        <f>A51</f>
        <v>37</v>
      </c>
      <c r="AC51" s="107"/>
    </row>
    <row r="52" spans="1:37" s="91" customFormat="1" ht="33.75" customHeight="1">
      <c r="A52" s="580">
        <f>_xlfn.AGGREGATE(4,7,A$14:A51)+1</f>
        <v>38</v>
      </c>
      <c r="B52" s="441" t="s">
        <v>266</v>
      </c>
      <c r="C52" s="469" t="s">
        <v>267</v>
      </c>
      <c r="D52" s="243"/>
      <c r="E52" s="518"/>
      <c r="F52" s="571" t="str">
        <f>INDEX([3]SACOM!$C$7:$C$335,MATCH(B52,[3]SACOM!$B$7:$B$335,0))</f>
        <v>060263702789</v>
      </c>
      <c r="G52" s="442" t="s">
        <v>228</v>
      </c>
      <c r="H52" s="565">
        <v>11</v>
      </c>
      <c r="I52" s="566">
        <v>11170870</v>
      </c>
      <c r="J52" s="557"/>
      <c r="K52" s="566"/>
      <c r="L52" s="566">
        <f t="shared" si="0"/>
        <v>11170870</v>
      </c>
      <c r="M52" s="566"/>
      <c r="N52" s="566">
        <f t="shared" si="1"/>
        <v>0</v>
      </c>
      <c r="O52" s="566"/>
      <c r="P52" s="566">
        <f t="shared" si="2"/>
        <v>11170870</v>
      </c>
      <c r="Q52" s="566">
        <v>0</v>
      </c>
      <c r="R52" s="567">
        <v>0</v>
      </c>
      <c r="S52" s="566">
        <v>0</v>
      </c>
      <c r="T52" s="567"/>
      <c r="U52" s="567">
        <f t="shared" si="6"/>
        <v>0</v>
      </c>
      <c r="V52" s="567"/>
      <c r="W52" s="569"/>
      <c r="X52" s="569"/>
      <c r="Y52" s="569"/>
      <c r="Z52" s="569"/>
      <c r="AA52" s="448">
        <f t="shared" si="9"/>
        <v>11170870</v>
      </c>
      <c r="AB52" s="449">
        <f t="shared" si="8"/>
        <v>38</v>
      </c>
      <c r="AC52" s="541"/>
      <c r="AD52" s="32"/>
      <c r="AE52" s="32"/>
      <c r="AF52" s="32"/>
      <c r="AG52" s="32"/>
      <c r="AH52" s="32"/>
      <c r="AI52" s="32"/>
      <c r="AJ52" s="32"/>
      <c r="AK52" s="32"/>
    </row>
    <row r="53" spans="1:37" s="91" customFormat="1" ht="30.75" customHeight="1">
      <c r="A53" s="581"/>
      <c r="B53" s="545" t="s">
        <v>407</v>
      </c>
      <c r="C53" s="546"/>
      <c r="D53" s="546"/>
      <c r="E53" s="546"/>
      <c r="F53" s="546"/>
      <c r="G53" s="549"/>
      <c r="H53" s="570"/>
      <c r="I53" s="547">
        <f t="shared" ref="I53:Z53" si="10">SUM(I15:I52)</f>
        <v>264541428</v>
      </c>
      <c r="J53" s="547">
        <f t="shared" si="10"/>
        <v>0.12</v>
      </c>
      <c r="K53" s="547">
        <f t="shared" si="10"/>
        <v>1434339.72</v>
      </c>
      <c r="L53" s="547">
        <f t="shared" si="10"/>
        <v>265975768</v>
      </c>
      <c r="M53" s="547">
        <f t="shared" si="10"/>
        <v>18</v>
      </c>
      <c r="N53" s="547">
        <f t="shared" si="10"/>
        <v>4712696.038461538</v>
      </c>
      <c r="O53" s="547">
        <f t="shared" si="10"/>
        <v>0</v>
      </c>
      <c r="P53" s="547">
        <f t="shared" si="10"/>
        <v>261263071.96153843</v>
      </c>
      <c r="Q53" s="547">
        <f t="shared" si="10"/>
        <v>20384391.840000004</v>
      </c>
      <c r="R53" s="547">
        <f t="shared" si="10"/>
        <v>3822073.4699999997</v>
      </c>
      <c r="S53" s="547">
        <f t="shared" si="10"/>
        <v>2548048.9800000004</v>
      </c>
      <c r="T53" s="547">
        <f t="shared" si="10"/>
        <v>0</v>
      </c>
      <c r="U53" s="547">
        <f t="shared" si="10"/>
        <v>26754514.289999999</v>
      </c>
      <c r="V53" s="547">
        <f t="shared" si="10"/>
        <v>0</v>
      </c>
      <c r="W53" s="547">
        <f t="shared" si="10"/>
        <v>0</v>
      </c>
      <c r="X53" s="547">
        <f t="shared" si="10"/>
        <v>0</v>
      </c>
      <c r="Y53" s="547">
        <f t="shared" si="10"/>
        <v>0</v>
      </c>
      <c r="Z53" s="547">
        <f t="shared" si="10"/>
        <v>852000</v>
      </c>
      <c r="AA53" s="547">
        <f>SUM(AA15:AA52)</f>
        <v>235360557.67153841</v>
      </c>
      <c r="AB53" s="550"/>
      <c r="AC53" s="551"/>
      <c r="AD53" s="32"/>
      <c r="AE53" s="32"/>
      <c r="AF53" s="32"/>
      <c r="AG53" s="32"/>
      <c r="AH53" s="32"/>
      <c r="AI53" s="32"/>
      <c r="AJ53" s="32"/>
      <c r="AK53" s="32"/>
    </row>
    <row r="54" spans="1:37" s="91" customFormat="1" ht="32.25" customHeight="1">
      <c r="A54" s="582" t="s">
        <v>410</v>
      </c>
      <c r="B54" s="545" t="s">
        <v>405</v>
      </c>
      <c r="C54" s="546"/>
      <c r="D54" s="546"/>
      <c r="E54" s="546"/>
      <c r="F54" s="546"/>
      <c r="G54" s="546"/>
      <c r="H54" s="546"/>
      <c r="I54" s="549"/>
      <c r="J54" s="543"/>
      <c r="K54" s="542"/>
      <c r="L54" s="542"/>
      <c r="M54" s="542"/>
      <c r="N54" s="542"/>
      <c r="O54" s="542"/>
      <c r="P54" s="542"/>
      <c r="Q54" s="542"/>
      <c r="R54" s="542"/>
      <c r="S54" s="542"/>
      <c r="T54" s="542"/>
      <c r="U54" s="542"/>
      <c r="V54" s="542"/>
      <c r="W54" s="544"/>
      <c r="X54" s="544"/>
      <c r="Y54" s="544"/>
      <c r="Z54" s="544"/>
      <c r="AA54" s="384"/>
      <c r="AB54" s="550"/>
      <c r="AC54" s="551"/>
      <c r="AD54" s="32"/>
      <c r="AE54" s="32"/>
      <c r="AF54" s="32"/>
      <c r="AG54" s="32"/>
      <c r="AH54" s="32"/>
      <c r="AI54" s="32"/>
      <c r="AJ54" s="32"/>
      <c r="AK54" s="32"/>
    </row>
    <row r="55" spans="1:37" s="91" customFormat="1" ht="34.5" customHeight="1">
      <c r="A55" s="580">
        <f>_xlfn.AGGREGATE(4,7,A$12:A52)+1</f>
        <v>39</v>
      </c>
      <c r="B55" s="572" t="s">
        <v>118</v>
      </c>
      <c r="C55" s="219" t="s">
        <v>330</v>
      </c>
      <c r="D55" s="220" t="str">
        <f>VLOOKUP(B55,[2]T3!$B$2:$D$328,3,FALSE)</f>
        <v>079083003027</v>
      </c>
      <c r="E55" s="471" t="s">
        <v>190</v>
      </c>
      <c r="F55" s="376" t="str">
        <f>INDEX([3]SACOM!$C$7:$C$335,MATCH(B55,[3]SACOM!$B$7:$B$335,0))</f>
        <v>060312106186</v>
      </c>
      <c r="G55" s="472" t="s">
        <v>232</v>
      </c>
      <c r="H55" s="555">
        <v>9</v>
      </c>
      <c r="I55" s="556">
        <v>7328179</v>
      </c>
      <c r="J55" s="557"/>
      <c r="K55" s="556"/>
      <c r="L55" s="556">
        <f t="shared" ref="L55:L79" si="11">ROUND(I55+K55,0)</f>
        <v>7328179</v>
      </c>
      <c r="M55" s="556"/>
      <c r="N55" s="556">
        <f>L55/26*M55</f>
        <v>0</v>
      </c>
      <c r="O55" s="556"/>
      <c r="P55" s="556">
        <f t="shared" ref="P55:P65" si="12">L55-N55+O55</f>
        <v>7328179</v>
      </c>
      <c r="Q55" s="556">
        <f t="shared" ref="Q55:Q59" si="13">L55*8%</f>
        <v>586254.32000000007</v>
      </c>
      <c r="R55" s="558">
        <f t="shared" ref="R55:R59" si="14">L55*1.5%</f>
        <v>109922.685</v>
      </c>
      <c r="S55" s="556">
        <f>L55*1%</f>
        <v>73281.790000000008</v>
      </c>
      <c r="T55" s="558"/>
      <c r="U55" s="558">
        <f t="shared" ref="U55:U65" si="15">SUM(Q55:T55)</f>
        <v>769458.79500000016</v>
      </c>
      <c r="V55" s="558"/>
      <c r="W55" s="558"/>
      <c r="X55" s="559"/>
      <c r="Y55" s="558"/>
      <c r="Z55" s="558"/>
      <c r="AA55" s="552">
        <f t="shared" ref="AA55:AA65" si="16">P55-U55+W55+Y55+Z55</f>
        <v>6558720.2050000001</v>
      </c>
      <c r="AB55" s="228">
        <f t="shared" ref="AB55:AB79" si="17">A55</f>
        <v>39</v>
      </c>
      <c r="AC55" s="229"/>
    </row>
    <row r="56" spans="1:37" s="91" customFormat="1" ht="36.75" customHeight="1">
      <c r="A56" s="580">
        <f>_xlfn.AGGREGATE(4,7,A$12:A55)+1</f>
        <v>40</v>
      </c>
      <c r="B56" s="421" t="s">
        <v>237</v>
      </c>
      <c r="C56" s="99" t="s">
        <v>330</v>
      </c>
      <c r="D56" s="206"/>
      <c r="E56" s="188" t="str">
        <f>VLOOKUP(B56,[1]LuongBC_T01!$B$277:$C$292,2,FALSE)</f>
        <v>0016100006651008</v>
      </c>
      <c r="F56" s="376" t="str">
        <f>INDEX([3]SACOM!$C$7:$C$335,MATCH(B56,[3]SACOM!$B$7:$B$335,0))</f>
        <v xml:space="preserve">060310664912 </v>
      </c>
      <c r="G56" s="84" t="s">
        <v>232</v>
      </c>
      <c r="H56" s="452">
        <v>7</v>
      </c>
      <c r="I56" s="453">
        <v>6646874</v>
      </c>
      <c r="J56" s="557"/>
      <c r="K56" s="453"/>
      <c r="L56" s="453">
        <f t="shared" si="11"/>
        <v>6646874</v>
      </c>
      <c r="M56" s="453"/>
      <c r="N56" s="453">
        <f>L56/26*M56</f>
        <v>0</v>
      </c>
      <c r="O56" s="453"/>
      <c r="P56" s="453">
        <f t="shared" si="12"/>
        <v>6646874</v>
      </c>
      <c r="Q56" s="453">
        <f t="shared" si="13"/>
        <v>531749.92000000004</v>
      </c>
      <c r="R56" s="455">
        <f t="shared" si="14"/>
        <v>99703.11</v>
      </c>
      <c r="S56" s="453">
        <f>L56*1%</f>
        <v>66468.740000000005</v>
      </c>
      <c r="T56" s="455"/>
      <c r="U56" s="455">
        <f t="shared" si="15"/>
        <v>697921.77</v>
      </c>
      <c r="V56" s="455"/>
      <c r="W56" s="455"/>
      <c r="X56" s="456"/>
      <c r="Y56" s="455"/>
      <c r="Z56" s="455"/>
      <c r="AA56" s="378">
        <f t="shared" si="16"/>
        <v>5948952.2300000004</v>
      </c>
      <c r="AB56" s="88">
        <f t="shared" si="17"/>
        <v>40</v>
      </c>
      <c r="AC56" s="89"/>
    </row>
    <row r="57" spans="1:37" s="91" customFormat="1" ht="35.25" customHeight="1">
      <c r="A57" s="580">
        <f>_xlfn.AGGREGATE(4,7,A$12:A56)+1</f>
        <v>41</v>
      </c>
      <c r="B57" s="421" t="s">
        <v>238</v>
      </c>
      <c r="C57" s="99" t="s">
        <v>330</v>
      </c>
      <c r="D57" s="206"/>
      <c r="E57" s="188" t="str">
        <f>VLOOKUP(B57,[1]LuongBC_T01!$B$277:$C$292,2,FALSE)</f>
        <v>0016100006666005</v>
      </c>
      <c r="F57" s="376" t="str">
        <f>INDEX([3]SACOM!$C$7:$C$335,MATCH(B57,[3]SACOM!$B$7:$B$335,0))</f>
        <v xml:space="preserve">060310832297 </v>
      </c>
      <c r="G57" s="84" t="s">
        <v>232</v>
      </c>
      <c r="H57" s="452">
        <v>6</v>
      </c>
      <c r="I57" s="453">
        <v>6330357</v>
      </c>
      <c r="J57" s="557"/>
      <c r="K57" s="453"/>
      <c r="L57" s="453">
        <f t="shared" si="11"/>
        <v>6330357</v>
      </c>
      <c r="M57" s="453"/>
      <c r="N57" s="453">
        <f t="shared" ref="N57:N59" si="18">L57/26*M57</f>
        <v>0</v>
      </c>
      <c r="O57" s="453"/>
      <c r="P57" s="453">
        <f t="shared" si="12"/>
        <v>6330357</v>
      </c>
      <c r="Q57" s="453">
        <f t="shared" si="13"/>
        <v>506428.56</v>
      </c>
      <c r="R57" s="455">
        <f t="shared" si="14"/>
        <v>94955.354999999996</v>
      </c>
      <c r="S57" s="453">
        <f t="shared" ref="S57:S59" si="19">L57*1%</f>
        <v>63303.57</v>
      </c>
      <c r="T57" s="455"/>
      <c r="U57" s="455">
        <f t="shared" si="15"/>
        <v>664687.48499999999</v>
      </c>
      <c r="V57" s="455"/>
      <c r="W57" s="455"/>
      <c r="X57" s="456"/>
      <c r="Y57" s="455"/>
      <c r="Z57" s="455"/>
      <c r="AA57" s="378">
        <f t="shared" si="16"/>
        <v>5665669.5149999997</v>
      </c>
      <c r="AB57" s="88">
        <f t="shared" si="17"/>
        <v>41</v>
      </c>
      <c r="AC57" s="89"/>
      <c r="AD57" s="32"/>
      <c r="AE57" s="32"/>
      <c r="AF57" s="32"/>
      <c r="AG57" s="32"/>
      <c r="AH57" s="32"/>
      <c r="AI57" s="32"/>
      <c r="AJ57" s="32"/>
      <c r="AK57" s="32"/>
    </row>
    <row r="58" spans="1:37" s="585" customFormat="1" ht="31.5" customHeight="1">
      <c r="A58" s="583">
        <f>_xlfn.AGGREGATE(4,7,A$12:A57)+1</f>
        <v>42</v>
      </c>
      <c r="B58" s="421" t="s">
        <v>212</v>
      </c>
      <c r="C58" s="99" t="s">
        <v>330</v>
      </c>
      <c r="D58" s="206" t="str">
        <f>VLOOKUP(B58,[2]T3!$B$2:$D$328,3,FALSE)</f>
        <v>024110707</v>
      </c>
      <c r="E58" s="188"/>
      <c r="F58" s="376" t="str">
        <f>INDEX([3]SACOM!$C$7:$C$335,MATCH(B58,[3]SACOM!$B$7:$B$335,0))</f>
        <v>060282190837</v>
      </c>
      <c r="G58" s="84" t="s">
        <v>232</v>
      </c>
      <c r="H58" s="452">
        <v>3</v>
      </c>
      <c r="I58" s="453">
        <v>5468400</v>
      </c>
      <c r="J58" s="557"/>
      <c r="K58" s="453"/>
      <c r="L58" s="453">
        <f t="shared" si="11"/>
        <v>5468400</v>
      </c>
      <c r="M58" s="453"/>
      <c r="N58" s="453">
        <f t="shared" si="18"/>
        <v>0</v>
      </c>
      <c r="O58" s="453"/>
      <c r="P58" s="453">
        <f t="shared" si="12"/>
        <v>5468400</v>
      </c>
      <c r="Q58" s="453">
        <f t="shared" si="13"/>
        <v>437472</v>
      </c>
      <c r="R58" s="455">
        <f t="shared" si="14"/>
        <v>82026</v>
      </c>
      <c r="S58" s="453">
        <f t="shared" si="19"/>
        <v>54684</v>
      </c>
      <c r="T58" s="455"/>
      <c r="U58" s="455">
        <f t="shared" si="15"/>
        <v>574182</v>
      </c>
      <c r="V58" s="455"/>
      <c r="W58" s="455"/>
      <c r="X58" s="456"/>
      <c r="Y58" s="455"/>
      <c r="Z58" s="455"/>
      <c r="AA58" s="378">
        <f t="shared" si="16"/>
        <v>4894218</v>
      </c>
      <c r="AB58" s="88">
        <f t="shared" si="17"/>
        <v>42</v>
      </c>
      <c r="AC58" s="89"/>
    </row>
    <row r="59" spans="1:37" s="602" customFormat="1" ht="29.25" customHeight="1">
      <c r="A59" s="583">
        <f>_xlfn.AGGREGATE(4,7,A$12:A58)+1</f>
        <v>43</v>
      </c>
      <c r="B59" s="421" t="s">
        <v>316</v>
      </c>
      <c r="C59" s="99" t="s">
        <v>47</v>
      </c>
      <c r="D59" s="202"/>
      <c r="E59" s="202" t="str">
        <f>INDEX([3]SACOM!$C$7:$C$335,MATCH(B59,[3]SACOM!$B$7:$B$335,0))</f>
        <v xml:space="preserve">060310667083 </v>
      </c>
      <c r="F59" s="376" t="str">
        <f>INDEX([3]SACOM!$C$7:$C$335,MATCH(B59,[3]SACOM!$B$7:$B$335,0))</f>
        <v xml:space="preserve">060310667083 </v>
      </c>
      <c r="G59" s="368" t="s">
        <v>231</v>
      </c>
      <c r="H59" s="452">
        <v>12</v>
      </c>
      <c r="I59" s="453">
        <v>9077113</v>
      </c>
      <c r="J59" s="564">
        <v>0.06</v>
      </c>
      <c r="K59" s="453">
        <f>I59*J59</f>
        <v>544626.78</v>
      </c>
      <c r="L59" s="453">
        <f t="shared" si="11"/>
        <v>9621740</v>
      </c>
      <c r="M59" s="453"/>
      <c r="N59" s="453">
        <f t="shared" si="18"/>
        <v>0</v>
      </c>
      <c r="O59" s="453"/>
      <c r="P59" s="453">
        <f t="shared" si="12"/>
        <v>9621740</v>
      </c>
      <c r="Q59" s="453">
        <f t="shared" si="13"/>
        <v>769739.20000000007</v>
      </c>
      <c r="R59" s="455">
        <f t="shared" si="14"/>
        <v>144326.1</v>
      </c>
      <c r="S59" s="453">
        <f t="shared" si="19"/>
        <v>96217.400000000009</v>
      </c>
      <c r="T59" s="455"/>
      <c r="U59" s="455">
        <f t="shared" si="15"/>
        <v>1010282.7000000001</v>
      </c>
      <c r="V59" s="455"/>
      <c r="W59" s="455"/>
      <c r="X59" s="456"/>
      <c r="Y59" s="455"/>
      <c r="Z59" s="455"/>
      <c r="AA59" s="378">
        <f t="shared" si="16"/>
        <v>8611457.3000000007</v>
      </c>
      <c r="AB59" s="88">
        <f t="shared" si="17"/>
        <v>43</v>
      </c>
      <c r="AC59" s="89"/>
    </row>
    <row r="60" spans="1:37" s="585" customFormat="1" ht="34.5" customHeight="1">
      <c r="A60" s="580">
        <f>_xlfn.AGGREGATE(4,7,A$12:A59)+1</f>
        <v>44</v>
      </c>
      <c r="B60" s="421" t="s">
        <v>236</v>
      </c>
      <c r="C60" s="99" t="s">
        <v>47</v>
      </c>
      <c r="D60" s="202" t="str">
        <f>VLOOKUP(B60,[1]LuongBC_T01!$B$277:$C$292,2,FALSE)</f>
        <v>0016100006668008</v>
      </c>
      <c r="E60" s="202" t="str">
        <f>INDEX([3]SACOM!$C$7:$C$335,MATCH(B60,[3]SACOM!$B$7:$B$335,0))</f>
        <v>060311132264</v>
      </c>
      <c r="F60" s="376" t="str">
        <f>INDEX([3]SACOM!$C$7:$C$335,MATCH(B60,[3]SACOM!$B$7:$B$335,0))</f>
        <v>060311132264</v>
      </c>
      <c r="G60" s="368" t="s">
        <v>232</v>
      </c>
      <c r="H60" s="452">
        <v>10</v>
      </c>
      <c r="I60" s="453">
        <v>7694588</v>
      </c>
      <c r="J60" s="557"/>
      <c r="K60" s="453"/>
      <c r="L60" s="453">
        <f t="shared" si="11"/>
        <v>7694588</v>
      </c>
      <c r="M60" s="453"/>
      <c r="N60" s="453">
        <f>L60/26*M60</f>
        <v>0</v>
      </c>
      <c r="O60" s="453"/>
      <c r="P60" s="453">
        <f t="shared" si="12"/>
        <v>7694588</v>
      </c>
      <c r="Q60" s="453">
        <f>L60*8%</f>
        <v>615567.04</v>
      </c>
      <c r="R60" s="455">
        <f>L60*1.5%</f>
        <v>115418.81999999999</v>
      </c>
      <c r="S60" s="453">
        <f>L60*1%</f>
        <v>76945.88</v>
      </c>
      <c r="T60" s="455"/>
      <c r="U60" s="455">
        <f t="shared" si="15"/>
        <v>807931.74</v>
      </c>
      <c r="V60" s="455"/>
      <c r="W60" s="455"/>
      <c r="X60" s="456"/>
      <c r="Y60" s="455"/>
      <c r="Z60" s="455"/>
      <c r="AA60" s="378">
        <f t="shared" si="16"/>
        <v>6886656.2599999998</v>
      </c>
      <c r="AB60" s="88">
        <f t="shared" si="17"/>
        <v>44</v>
      </c>
      <c r="AC60" s="89"/>
    </row>
    <row r="61" spans="1:37" s="626" customFormat="1" ht="35.450000000000003" customHeight="1">
      <c r="A61" s="580">
        <f>_xlfn.AGGREGATE(4,7,A$12:A60)+1</f>
        <v>45</v>
      </c>
      <c r="B61" s="421" t="s">
        <v>229</v>
      </c>
      <c r="C61" s="99" t="s">
        <v>47</v>
      </c>
      <c r="D61" s="202"/>
      <c r="E61" s="202" t="str">
        <f>INDEX([3]SACOM!$C$7:$C$335,MATCH(B61,[3]SACOM!$B$7:$B$335,0))</f>
        <v>060310664343</v>
      </c>
      <c r="F61" s="376" t="str">
        <f>INDEX([3]SACOM!$C$7:$C$335,MATCH(B61,[3]SACOM!$B$7:$B$335,0))</f>
        <v>060310664343</v>
      </c>
      <c r="G61" s="368" t="s">
        <v>228</v>
      </c>
      <c r="H61" s="452">
        <v>4</v>
      </c>
      <c r="I61" s="453">
        <v>6956657</v>
      </c>
      <c r="J61" s="557"/>
      <c r="K61" s="453"/>
      <c r="L61" s="453">
        <f t="shared" si="11"/>
        <v>6956657</v>
      </c>
      <c r="M61" s="453"/>
      <c r="N61" s="453">
        <f>L61/26*M61</f>
        <v>0</v>
      </c>
      <c r="O61" s="453"/>
      <c r="P61" s="453">
        <f t="shared" si="12"/>
        <v>6956657</v>
      </c>
      <c r="Q61" s="453">
        <v>0</v>
      </c>
      <c r="R61" s="455">
        <v>0</v>
      </c>
      <c r="S61" s="453">
        <v>0</v>
      </c>
      <c r="T61" s="455"/>
      <c r="U61" s="455">
        <f t="shared" si="15"/>
        <v>0</v>
      </c>
      <c r="V61" s="455"/>
      <c r="W61" s="455"/>
      <c r="X61" s="455"/>
      <c r="Y61" s="455"/>
      <c r="Z61" s="455"/>
      <c r="AA61" s="378">
        <f t="shared" si="16"/>
        <v>6956657</v>
      </c>
      <c r="AB61" s="88">
        <f t="shared" si="17"/>
        <v>45</v>
      </c>
      <c r="AC61" s="105"/>
    </row>
    <row r="62" spans="1:37" s="626" customFormat="1" ht="35.25" customHeight="1">
      <c r="A62" s="580">
        <f>_xlfn.AGGREGATE(4,7,A$12:A61)+1</f>
        <v>46</v>
      </c>
      <c r="B62" s="421" t="s">
        <v>235</v>
      </c>
      <c r="C62" s="99" t="s">
        <v>47</v>
      </c>
      <c r="D62" s="202" t="str">
        <f>VLOOKUP(B62,[1]LuongBC_T01!$B$277:$C$292,2,FALSE)</f>
        <v>0016100006650001</v>
      </c>
      <c r="E62" s="202" t="str">
        <f>INDEX([3]SACOM!$C$7:$C$335,MATCH(B62,[3]SACOM!$B$7:$B$335,0))</f>
        <v>060282740322</v>
      </c>
      <c r="F62" s="376" t="str">
        <f>INDEX([3]SACOM!$C$7:$C$335,MATCH(B62,[3]SACOM!$B$7:$B$335,0))</f>
        <v>060282740322</v>
      </c>
      <c r="G62" s="368" t="s">
        <v>232</v>
      </c>
      <c r="H62" s="452">
        <v>12</v>
      </c>
      <c r="I62" s="453">
        <v>8483283</v>
      </c>
      <c r="J62" s="557"/>
      <c r="K62" s="453"/>
      <c r="L62" s="453">
        <f t="shared" si="11"/>
        <v>8483283</v>
      </c>
      <c r="M62" s="453"/>
      <c r="N62" s="453">
        <f>L62/26*M62</f>
        <v>0</v>
      </c>
      <c r="O62" s="453"/>
      <c r="P62" s="453">
        <f t="shared" si="12"/>
        <v>8483283</v>
      </c>
      <c r="Q62" s="453">
        <f t="shared" ref="Q62:Q65" si="20">L62*8%</f>
        <v>678662.64</v>
      </c>
      <c r="R62" s="455">
        <f t="shared" ref="R62:R65" si="21">L62*1.5%</f>
        <v>127249.245</v>
      </c>
      <c r="S62" s="453">
        <f t="shared" ref="S62:S65" si="22">L62*1%</f>
        <v>84832.83</v>
      </c>
      <c r="T62" s="455"/>
      <c r="U62" s="455">
        <f t="shared" si="15"/>
        <v>890744.71499999997</v>
      </c>
      <c r="V62" s="455"/>
      <c r="W62" s="455"/>
      <c r="X62" s="456"/>
      <c r="Y62" s="455"/>
      <c r="Z62" s="455"/>
      <c r="AA62" s="378">
        <f t="shared" si="16"/>
        <v>7592538.2850000001</v>
      </c>
      <c r="AB62" s="88">
        <f t="shared" si="17"/>
        <v>46</v>
      </c>
      <c r="AC62" s="89"/>
    </row>
    <row r="63" spans="1:37" s="486" customFormat="1" ht="30" customHeight="1">
      <c r="A63" s="580">
        <f>_xlfn.AGGREGATE(4,7,A$12:A62)+1</f>
        <v>47</v>
      </c>
      <c r="B63" s="421" t="s">
        <v>285</v>
      </c>
      <c r="C63" s="99" t="s">
        <v>47</v>
      </c>
      <c r="D63" s="202"/>
      <c r="E63" s="202" t="str">
        <f>INDEX([3]SACOM!$C$7:$C$335,MATCH(B63,[3]SACOM!$B$7:$B$335,0))</f>
        <v xml:space="preserve">060310672796 </v>
      </c>
      <c r="F63" s="376" t="str">
        <f>INDEX([3]SACOM!$C$7:$C$335,MATCH(B63,[3]SACOM!$B$7:$B$335,0))</f>
        <v xml:space="preserve">060310672796 </v>
      </c>
      <c r="G63" s="368" t="s">
        <v>228</v>
      </c>
      <c r="H63" s="452">
        <v>2</v>
      </c>
      <c r="I63" s="453">
        <v>6076213</v>
      </c>
      <c r="J63" s="557"/>
      <c r="K63" s="453"/>
      <c r="L63" s="453">
        <f t="shared" si="11"/>
        <v>6076213</v>
      </c>
      <c r="M63" s="453"/>
      <c r="N63" s="453">
        <f t="shared" ref="N63:N65" si="23">L63/26*M63</f>
        <v>0</v>
      </c>
      <c r="O63" s="453"/>
      <c r="P63" s="453">
        <f t="shared" si="12"/>
        <v>6076213</v>
      </c>
      <c r="Q63" s="453">
        <f t="shared" si="20"/>
        <v>486097.04000000004</v>
      </c>
      <c r="R63" s="455">
        <f t="shared" si="21"/>
        <v>91143.194999999992</v>
      </c>
      <c r="S63" s="453">
        <f t="shared" si="22"/>
        <v>60762.130000000005</v>
      </c>
      <c r="T63" s="455"/>
      <c r="U63" s="455">
        <f t="shared" si="15"/>
        <v>638002.36499999999</v>
      </c>
      <c r="V63" s="455"/>
      <c r="W63" s="561"/>
      <c r="X63" s="561"/>
      <c r="Y63" s="561"/>
      <c r="Z63" s="561"/>
      <c r="AA63" s="378">
        <f t="shared" si="16"/>
        <v>5438210.6349999998</v>
      </c>
      <c r="AB63" s="88">
        <f t="shared" si="17"/>
        <v>47</v>
      </c>
      <c r="AC63" s="233"/>
      <c r="AD63" s="516"/>
      <c r="AE63" s="516"/>
      <c r="AF63" s="516"/>
      <c r="AG63" s="516"/>
      <c r="AH63" s="516"/>
      <c r="AI63" s="516"/>
      <c r="AJ63" s="516"/>
      <c r="AK63" s="516"/>
    </row>
    <row r="64" spans="1:37" s="486" customFormat="1" ht="30" customHeight="1">
      <c r="A64" s="580">
        <f>_xlfn.AGGREGATE(4,7,A$12:A63)+1</f>
        <v>48</v>
      </c>
      <c r="B64" s="421" t="s">
        <v>381</v>
      </c>
      <c r="C64" s="99" t="s">
        <v>47</v>
      </c>
      <c r="D64" s="202"/>
      <c r="E64" s="202" t="str">
        <f>INDEX([3]SACOM!$C$7:$C$335,MATCH(B64,[3]SACOM!$B$7:$B$335,0))</f>
        <v>060901910739</v>
      </c>
      <c r="F64" s="376" t="str">
        <f>INDEX([3]SACOM!$C$7:$C$335,MATCH(B64,[3]SACOM!$B$7:$B$335,0))</f>
        <v>060901910739</v>
      </c>
      <c r="G64" s="368" t="s">
        <v>232</v>
      </c>
      <c r="H64" s="452">
        <v>1</v>
      </c>
      <c r="I64" s="453">
        <v>4960000</v>
      </c>
      <c r="J64" s="557"/>
      <c r="K64" s="453"/>
      <c r="L64" s="453">
        <f t="shared" si="11"/>
        <v>4960000</v>
      </c>
      <c r="M64" s="453"/>
      <c r="N64" s="453">
        <f t="shared" si="23"/>
        <v>0</v>
      </c>
      <c r="O64" s="453"/>
      <c r="P64" s="453">
        <f t="shared" si="12"/>
        <v>4960000</v>
      </c>
      <c r="Q64" s="453">
        <f t="shared" si="20"/>
        <v>396800</v>
      </c>
      <c r="R64" s="455">
        <f t="shared" si="21"/>
        <v>74400</v>
      </c>
      <c r="S64" s="453">
        <f t="shared" si="22"/>
        <v>49600</v>
      </c>
      <c r="T64" s="455"/>
      <c r="U64" s="455">
        <f t="shared" si="15"/>
        <v>520800</v>
      </c>
      <c r="V64" s="455"/>
      <c r="W64" s="561"/>
      <c r="X64" s="561"/>
      <c r="Y64" s="561"/>
      <c r="Z64" s="561"/>
      <c r="AA64" s="378">
        <f t="shared" si="16"/>
        <v>4439200</v>
      </c>
      <c r="AB64" s="88">
        <f t="shared" si="17"/>
        <v>48</v>
      </c>
      <c r="AC64" s="233"/>
      <c r="AD64" s="516"/>
      <c r="AE64" s="516"/>
      <c r="AF64" s="516"/>
      <c r="AG64" s="516"/>
      <c r="AH64" s="516"/>
      <c r="AI64" s="516"/>
      <c r="AJ64" s="516"/>
      <c r="AK64" s="516"/>
    </row>
    <row r="65" spans="1:37" s="91" customFormat="1" ht="28.5" customHeight="1">
      <c r="A65" s="580">
        <f>_xlfn.AGGREGATE(4,7,A$12:A64)+1</f>
        <v>49</v>
      </c>
      <c r="B65" s="421" t="s">
        <v>386</v>
      </c>
      <c r="C65" s="99" t="s">
        <v>47</v>
      </c>
      <c r="D65" s="202"/>
      <c r="E65" s="202" t="str">
        <f>INDEX([3]SACOM!$C$7:$C$335,MATCH(B65,[3]SACOM!$B$7:$B$335,0))</f>
        <v>060311114691</v>
      </c>
      <c r="F65" s="376" t="str">
        <f>INDEX([3]SACOM!$C$7:$C$335,MATCH(B65,[3]SACOM!$B$7:$B$335,0))</f>
        <v>060311114691</v>
      </c>
      <c r="G65" s="368" t="s">
        <v>232</v>
      </c>
      <c r="H65" s="452">
        <v>1</v>
      </c>
      <c r="I65" s="453">
        <v>4960000</v>
      </c>
      <c r="J65" s="557"/>
      <c r="K65" s="453"/>
      <c r="L65" s="453">
        <f t="shared" si="11"/>
        <v>4960000</v>
      </c>
      <c r="M65" s="453"/>
      <c r="N65" s="453">
        <f t="shared" si="23"/>
        <v>0</v>
      </c>
      <c r="O65" s="453"/>
      <c r="P65" s="453">
        <f t="shared" si="12"/>
        <v>4960000</v>
      </c>
      <c r="Q65" s="453">
        <f t="shared" si="20"/>
        <v>396800</v>
      </c>
      <c r="R65" s="455">
        <f t="shared" si="21"/>
        <v>74400</v>
      </c>
      <c r="S65" s="453">
        <f t="shared" si="22"/>
        <v>49600</v>
      </c>
      <c r="T65" s="455"/>
      <c r="U65" s="455">
        <f t="shared" si="15"/>
        <v>520800</v>
      </c>
      <c r="V65" s="455"/>
      <c r="W65" s="561"/>
      <c r="X65" s="561"/>
      <c r="Y65" s="561"/>
      <c r="Z65" s="561"/>
      <c r="AA65" s="378">
        <f t="shared" si="16"/>
        <v>4439200</v>
      </c>
      <c r="AB65" s="88">
        <f t="shared" si="17"/>
        <v>49</v>
      </c>
      <c r="AC65" s="233"/>
      <c r="AD65" s="32"/>
      <c r="AE65" s="32"/>
      <c r="AF65" s="32"/>
      <c r="AG65" s="32"/>
      <c r="AH65" s="32"/>
      <c r="AI65" s="32"/>
      <c r="AJ65" s="32"/>
      <c r="AK65" s="32"/>
    </row>
    <row r="66" spans="1:37" s="91" customFormat="1" ht="36.75" customHeight="1">
      <c r="A66" s="580">
        <f>_xlfn.AGGREGATE(4,7,A$12:A65)+1</f>
        <v>50</v>
      </c>
      <c r="B66" s="421" t="s">
        <v>274</v>
      </c>
      <c r="C66" s="99" t="s">
        <v>328</v>
      </c>
      <c r="D66" s="243"/>
      <c r="E66" s="202" t="s">
        <v>301</v>
      </c>
      <c r="F66" s="376" t="str">
        <f>INDEX([3]SACOM!$C$7:$C$335,MATCH(B66,[3]SACOM!$B$7:$B$335,0))</f>
        <v xml:space="preserve">060310704809 </v>
      </c>
      <c r="G66" s="84" t="s">
        <v>232</v>
      </c>
      <c r="H66" s="452">
        <v>4</v>
      </c>
      <c r="I66" s="453">
        <v>5741820</v>
      </c>
      <c r="J66" s="557"/>
      <c r="K66" s="453"/>
      <c r="L66" s="566">
        <f t="shared" si="11"/>
        <v>5741820</v>
      </c>
      <c r="M66" s="453"/>
      <c r="N66" s="453">
        <f t="shared" ref="N66:N79" si="24">L66/26*M66</f>
        <v>0</v>
      </c>
      <c r="O66" s="453"/>
      <c r="P66" s="453">
        <f t="shared" ref="P66:P79" si="25">L66-N66+O66</f>
        <v>5741820</v>
      </c>
      <c r="Q66" s="453">
        <f t="shared" ref="Q66:Q79" si="26">L66*8%</f>
        <v>459345.60000000003</v>
      </c>
      <c r="R66" s="455">
        <f t="shared" ref="R66:R79" si="27">L66*1.5%</f>
        <v>86127.3</v>
      </c>
      <c r="S66" s="453">
        <f t="shared" ref="S66:S79" si="28">L66*1%</f>
        <v>57418.200000000004</v>
      </c>
      <c r="T66" s="455"/>
      <c r="U66" s="455">
        <f t="shared" ref="U66:U79" si="29">SUM(Q66:T66)</f>
        <v>602891.1</v>
      </c>
      <c r="V66" s="455"/>
      <c r="W66" s="561"/>
      <c r="X66" s="561"/>
      <c r="Y66" s="561"/>
      <c r="Z66" s="561"/>
      <c r="AA66" s="378">
        <f t="shared" ref="AA66:AA79" si="30">P66-U66+W66+Y66+Z66</f>
        <v>5138928.9000000004</v>
      </c>
      <c r="AB66" s="88">
        <f t="shared" si="17"/>
        <v>50</v>
      </c>
      <c r="AC66" s="89"/>
    </row>
    <row r="67" spans="1:37" s="602" customFormat="1" ht="29.45" customHeight="1">
      <c r="A67" s="580">
        <f>_xlfn.AGGREGATE(4,7,A$12:A66)+1</f>
        <v>51</v>
      </c>
      <c r="B67" s="421" t="s">
        <v>271</v>
      </c>
      <c r="C67" s="99" t="s">
        <v>329</v>
      </c>
      <c r="D67" s="243"/>
      <c r="E67" s="202" t="s">
        <v>300</v>
      </c>
      <c r="F67" s="376" t="str">
        <f>INDEX([3]SACOM!$C$7:$C$335,MATCH(B67,[3]SACOM!$B$7:$B$335,0))</f>
        <v xml:space="preserve">060310665099 </v>
      </c>
      <c r="G67" s="84" t="s">
        <v>231</v>
      </c>
      <c r="H67" s="452">
        <v>3</v>
      </c>
      <c r="I67" s="453">
        <v>5851188</v>
      </c>
      <c r="J67" s="557"/>
      <c r="K67" s="453"/>
      <c r="L67" s="566">
        <f t="shared" si="11"/>
        <v>5851188</v>
      </c>
      <c r="M67" s="453"/>
      <c r="N67" s="453">
        <f t="shared" si="24"/>
        <v>0</v>
      </c>
      <c r="O67" s="453"/>
      <c r="P67" s="453">
        <f t="shared" si="25"/>
        <v>5851188</v>
      </c>
      <c r="Q67" s="453">
        <f t="shared" si="26"/>
        <v>468095.04000000004</v>
      </c>
      <c r="R67" s="455">
        <f t="shared" si="27"/>
        <v>87767.819999999992</v>
      </c>
      <c r="S67" s="453">
        <f t="shared" si="28"/>
        <v>58511.880000000005</v>
      </c>
      <c r="T67" s="455"/>
      <c r="U67" s="455">
        <f t="shared" si="29"/>
        <v>614374.74</v>
      </c>
      <c r="V67" s="455"/>
      <c r="W67" s="561"/>
      <c r="X67" s="561"/>
      <c r="Y67" s="561"/>
      <c r="Z67" s="561"/>
      <c r="AA67" s="378">
        <f t="shared" si="30"/>
        <v>5236813.26</v>
      </c>
      <c r="AB67" s="88">
        <f t="shared" si="17"/>
        <v>51</v>
      </c>
      <c r="AC67" s="89"/>
    </row>
    <row r="68" spans="1:37" s="626" customFormat="1" ht="37.5" customHeight="1">
      <c r="A68" s="580">
        <f>_xlfn.AGGREGATE(4,7,A$12:A67)+1</f>
        <v>52</v>
      </c>
      <c r="B68" s="513" t="s">
        <v>398</v>
      </c>
      <c r="C68" s="99" t="s">
        <v>153</v>
      </c>
      <c r="D68" s="202" t="s">
        <v>188</v>
      </c>
      <c r="E68" s="202" t="str">
        <f>INDEX([3]SACOM!$C$7:$C$335,MATCH(B68,[3]SACOM!$B$7:$B$335,0))</f>
        <v>060310750274</v>
      </c>
      <c r="F68" s="376" t="str">
        <f>INDEX([3]SACOM!$C$7:$C$335,MATCH(B68,[3]SACOM!$B$7:$B$335,0))</f>
        <v>060310750274</v>
      </c>
      <c r="G68" s="375" t="s">
        <v>231</v>
      </c>
      <c r="H68" s="560">
        <v>7</v>
      </c>
      <c r="I68" s="453">
        <v>7112156</v>
      </c>
      <c r="J68" s="557"/>
      <c r="K68" s="453"/>
      <c r="L68" s="453">
        <f t="shared" si="11"/>
        <v>7112156</v>
      </c>
      <c r="M68" s="453"/>
      <c r="N68" s="453">
        <f t="shared" si="24"/>
        <v>0</v>
      </c>
      <c r="O68" s="453"/>
      <c r="P68" s="453">
        <f t="shared" si="25"/>
        <v>7112156</v>
      </c>
      <c r="Q68" s="453">
        <f t="shared" si="26"/>
        <v>568972.48</v>
      </c>
      <c r="R68" s="455">
        <f t="shared" si="27"/>
        <v>106682.34</v>
      </c>
      <c r="S68" s="453">
        <f t="shared" si="28"/>
        <v>71121.56</v>
      </c>
      <c r="T68" s="455"/>
      <c r="U68" s="455">
        <f t="shared" si="29"/>
        <v>746776.37999999989</v>
      </c>
      <c r="V68" s="455"/>
      <c r="W68" s="455"/>
      <c r="X68" s="455"/>
      <c r="Y68" s="455"/>
      <c r="Z68" s="455"/>
      <c r="AA68" s="378">
        <f t="shared" si="30"/>
        <v>6365379.6200000001</v>
      </c>
      <c r="AB68" s="88">
        <f t="shared" si="17"/>
        <v>52</v>
      </c>
      <c r="AC68" s="89"/>
    </row>
    <row r="69" spans="1:37" s="626" customFormat="1" ht="32.450000000000003" customHeight="1">
      <c r="A69" s="580">
        <f>_xlfn.AGGREGATE(4,7,A$12:A68)+1</f>
        <v>53</v>
      </c>
      <c r="B69" s="421" t="s">
        <v>242</v>
      </c>
      <c r="C69" s="99" t="s">
        <v>243</v>
      </c>
      <c r="D69" s="202" t="str">
        <f>VLOOKUP(B69,[1]LuongBC_T01!$B$277:$C$292,2,FALSE)</f>
        <v>0016100006675004</v>
      </c>
      <c r="E69" s="202" t="str">
        <f>INDEX([3]SACOM!$C$7:$C$335,MATCH(B69,[3]SACOM!$B$7:$B$335,0))</f>
        <v>060310749314</v>
      </c>
      <c r="F69" s="376" t="str">
        <f>INDEX([3]SACOM!$C$7:$C$335,MATCH(B69,[3]SACOM!$B$7:$B$335,0))</f>
        <v>060310749314</v>
      </c>
      <c r="G69" s="375" t="s">
        <v>231</v>
      </c>
      <c r="H69" s="560">
        <v>6</v>
      </c>
      <c r="I69" s="453">
        <v>6773482</v>
      </c>
      <c r="J69" s="557"/>
      <c r="K69" s="453"/>
      <c r="L69" s="453">
        <f t="shared" si="11"/>
        <v>6773482</v>
      </c>
      <c r="M69" s="453"/>
      <c r="N69" s="453">
        <f t="shared" si="24"/>
        <v>0</v>
      </c>
      <c r="O69" s="453"/>
      <c r="P69" s="453">
        <f t="shared" si="25"/>
        <v>6773482</v>
      </c>
      <c r="Q69" s="453">
        <f t="shared" si="26"/>
        <v>541878.56000000006</v>
      </c>
      <c r="R69" s="455">
        <f t="shared" si="27"/>
        <v>101602.23</v>
      </c>
      <c r="S69" s="453">
        <f t="shared" si="28"/>
        <v>67734.820000000007</v>
      </c>
      <c r="T69" s="455"/>
      <c r="U69" s="455">
        <f t="shared" si="29"/>
        <v>711215.6100000001</v>
      </c>
      <c r="V69" s="455"/>
      <c r="W69" s="561"/>
      <c r="X69" s="561"/>
      <c r="Y69" s="561"/>
      <c r="Z69" s="561"/>
      <c r="AA69" s="378">
        <f t="shared" si="30"/>
        <v>6062266.3899999997</v>
      </c>
      <c r="AB69" s="88">
        <f t="shared" si="17"/>
        <v>53</v>
      </c>
      <c r="AC69" s="89"/>
    </row>
    <row r="70" spans="1:37" s="486" customFormat="1" ht="29.25" customHeight="1">
      <c r="A70" s="580">
        <f>_xlfn.AGGREGATE(4,7,A$12:A69)+1</f>
        <v>54</v>
      </c>
      <c r="B70" s="421" t="s">
        <v>234</v>
      </c>
      <c r="C70" s="99" t="s">
        <v>8</v>
      </c>
      <c r="D70" s="202" t="str">
        <f>VLOOKUP(B70,[1]LuongBC_T01!$B$277:$C$292,2,FALSE)</f>
        <v>0016100006677007</v>
      </c>
      <c r="E70" s="202" t="str">
        <f>INDEX([3]SACOM!$C$7:$C$335,MATCH(B70,[3]SACOM!$B$7:$B$335,0))</f>
        <v>060310750797</v>
      </c>
      <c r="F70" s="376" t="str">
        <f>INDEX([3]SACOM!$C$7:$C$335,MATCH(B70,[3]SACOM!$B$7:$B$335,0))</f>
        <v>060310750797</v>
      </c>
      <c r="G70" s="375" t="s">
        <v>232</v>
      </c>
      <c r="H70" s="452">
        <v>12</v>
      </c>
      <c r="I70" s="453">
        <v>8483283</v>
      </c>
      <c r="J70" s="557"/>
      <c r="K70" s="453"/>
      <c r="L70" s="453">
        <f t="shared" si="11"/>
        <v>8483283</v>
      </c>
      <c r="M70" s="453"/>
      <c r="N70" s="453">
        <f t="shared" si="24"/>
        <v>0</v>
      </c>
      <c r="O70" s="453"/>
      <c r="P70" s="453">
        <f t="shared" si="25"/>
        <v>8483283</v>
      </c>
      <c r="Q70" s="453">
        <f t="shared" si="26"/>
        <v>678662.64</v>
      </c>
      <c r="R70" s="455">
        <f t="shared" si="27"/>
        <v>127249.245</v>
      </c>
      <c r="S70" s="453">
        <f t="shared" si="28"/>
        <v>84832.83</v>
      </c>
      <c r="T70" s="455"/>
      <c r="U70" s="455">
        <f t="shared" si="29"/>
        <v>890744.71499999997</v>
      </c>
      <c r="V70" s="456"/>
      <c r="W70" s="455"/>
      <c r="X70" s="455"/>
      <c r="Y70" s="455"/>
      <c r="Z70" s="455"/>
      <c r="AA70" s="378">
        <f t="shared" si="30"/>
        <v>7592538.2850000001</v>
      </c>
      <c r="AB70" s="88">
        <f t="shared" si="17"/>
        <v>54</v>
      </c>
      <c r="AC70" s="89"/>
      <c r="AD70" s="516"/>
      <c r="AE70" s="516"/>
      <c r="AF70" s="516"/>
      <c r="AG70" s="516"/>
      <c r="AH70" s="516"/>
      <c r="AI70" s="516"/>
      <c r="AJ70" s="516"/>
      <c r="AK70" s="516"/>
    </row>
    <row r="71" spans="1:37" s="91" customFormat="1" ht="39" customHeight="1">
      <c r="A71" s="580">
        <f>_xlfn.AGGREGATE(4,7,A$12:A70)+1</f>
        <v>55</v>
      </c>
      <c r="B71" s="421" t="s">
        <v>239</v>
      </c>
      <c r="C71" s="99" t="s">
        <v>8</v>
      </c>
      <c r="D71" s="202"/>
      <c r="E71" s="202" t="str">
        <f>INDEX([3]SACOM!$C$7:$C$335,MATCH(B71,[3]SACOM!$B$7:$B$335,0))</f>
        <v>060310748369</v>
      </c>
      <c r="F71" s="376" t="str">
        <f>INDEX([3]SACOM!$C$7:$C$335,MATCH(B71,[3]SACOM!$B$7:$B$335,0))</f>
        <v>060310748369</v>
      </c>
      <c r="G71" s="368" t="s">
        <v>232</v>
      </c>
      <c r="H71" s="452">
        <v>3</v>
      </c>
      <c r="I71" s="453">
        <v>5468400</v>
      </c>
      <c r="J71" s="557"/>
      <c r="K71" s="453"/>
      <c r="L71" s="453">
        <f t="shared" si="11"/>
        <v>5468400</v>
      </c>
      <c r="M71" s="453"/>
      <c r="N71" s="453">
        <f t="shared" si="24"/>
        <v>0</v>
      </c>
      <c r="O71" s="453"/>
      <c r="P71" s="453">
        <f t="shared" si="25"/>
        <v>5468400</v>
      </c>
      <c r="Q71" s="453">
        <f t="shared" si="26"/>
        <v>437472</v>
      </c>
      <c r="R71" s="455">
        <f t="shared" si="27"/>
        <v>82026</v>
      </c>
      <c r="S71" s="453">
        <f t="shared" si="28"/>
        <v>54684</v>
      </c>
      <c r="T71" s="455"/>
      <c r="U71" s="455">
        <f t="shared" si="29"/>
        <v>574182</v>
      </c>
      <c r="V71" s="455"/>
      <c r="W71" s="455"/>
      <c r="X71" s="456"/>
      <c r="Y71" s="455"/>
      <c r="Z71" s="455"/>
      <c r="AA71" s="378">
        <f t="shared" si="30"/>
        <v>4894218</v>
      </c>
      <c r="AB71" s="88">
        <f t="shared" si="17"/>
        <v>55</v>
      </c>
      <c r="AC71" s="89"/>
    </row>
    <row r="72" spans="1:37" s="91" customFormat="1" ht="38.25" customHeight="1">
      <c r="A72" s="580">
        <f>_xlfn.AGGREGATE(4,7,A$12:A71)+1</f>
        <v>56</v>
      </c>
      <c r="B72" s="421" t="s">
        <v>262</v>
      </c>
      <c r="C72" s="99" t="s">
        <v>263</v>
      </c>
      <c r="D72" s="202"/>
      <c r="E72" s="202" t="str">
        <f>INDEX([3]SACOM!$C$7:$C$335,MATCH(B72,[3]SACOM!$B$7:$B$335,0))</f>
        <v>060310750339</v>
      </c>
      <c r="F72" s="376" t="str">
        <f>INDEX([3]SACOM!$C$7:$C$335,MATCH(B72,[3]SACOM!$B$7:$B$335,0))</f>
        <v>060310750339</v>
      </c>
      <c r="G72" s="368" t="s">
        <v>232</v>
      </c>
      <c r="H72" s="452">
        <v>3</v>
      </c>
      <c r="I72" s="453">
        <v>5468400</v>
      </c>
      <c r="J72" s="557"/>
      <c r="K72" s="453"/>
      <c r="L72" s="453">
        <f t="shared" si="11"/>
        <v>5468400</v>
      </c>
      <c r="M72" s="453"/>
      <c r="N72" s="453">
        <f t="shared" si="24"/>
        <v>0</v>
      </c>
      <c r="O72" s="453"/>
      <c r="P72" s="453">
        <f t="shared" si="25"/>
        <v>5468400</v>
      </c>
      <c r="Q72" s="453">
        <f t="shared" si="26"/>
        <v>437472</v>
      </c>
      <c r="R72" s="455">
        <f t="shared" si="27"/>
        <v>82026</v>
      </c>
      <c r="S72" s="453">
        <f t="shared" si="28"/>
        <v>54684</v>
      </c>
      <c r="T72" s="455"/>
      <c r="U72" s="455">
        <f t="shared" si="29"/>
        <v>574182</v>
      </c>
      <c r="V72" s="455"/>
      <c r="W72" s="561"/>
      <c r="X72" s="561"/>
      <c r="Y72" s="561"/>
      <c r="Z72" s="561"/>
      <c r="AA72" s="378">
        <f t="shared" si="30"/>
        <v>4894218</v>
      </c>
      <c r="AB72" s="88">
        <f t="shared" si="17"/>
        <v>56</v>
      </c>
      <c r="AC72" s="233"/>
    </row>
    <row r="73" spans="1:37" s="91" customFormat="1" ht="39.75" customHeight="1">
      <c r="A73" s="580">
        <f>_xlfn.AGGREGATE(4,7,A$12:A72)+1</f>
        <v>57</v>
      </c>
      <c r="B73" s="421" t="s">
        <v>282</v>
      </c>
      <c r="C73" s="99" t="s">
        <v>283</v>
      </c>
      <c r="D73" s="202"/>
      <c r="E73" s="202" t="str">
        <f>INDEX([3]SACOM!$C$7:$C$335,MATCH(B73,[3]SACOM!$B$7:$B$335,0))</f>
        <v>060311534699</v>
      </c>
      <c r="F73" s="376" t="str">
        <f>INDEX([3]SACOM!$C$7:$C$335,MATCH(B73,[3]SACOM!$B$7:$B$335,0))</f>
        <v>060311534699</v>
      </c>
      <c r="G73" s="368" t="s">
        <v>232</v>
      </c>
      <c r="H73" s="452">
        <v>3</v>
      </c>
      <c r="I73" s="453">
        <v>5468400</v>
      </c>
      <c r="J73" s="557"/>
      <c r="K73" s="453"/>
      <c r="L73" s="453">
        <f t="shared" si="11"/>
        <v>5468400</v>
      </c>
      <c r="M73" s="453"/>
      <c r="N73" s="453">
        <f t="shared" si="24"/>
        <v>0</v>
      </c>
      <c r="O73" s="453"/>
      <c r="P73" s="453">
        <f t="shared" si="25"/>
        <v>5468400</v>
      </c>
      <c r="Q73" s="453">
        <f t="shared" si="26"/>
        <v>437472</v>
      </c>
      <c r="R73" s="455">
        <f t="shared" si="27"/>
        <v>82026</v>
      </c>
      <c r="S73" s="453">
        <f t="shared" si="28"/>
        <v>54684</v>
      </c>
      <c r="T73" s="455"/>
      <c r="U73" s="455">
        <f t="shared" si="29"/>
        <v>574182</v>
      </c>
      <c r="V73" s="455"/>
      <c r="W73" s="561"/>
      <c r="X73" s="561"/>
      <c r="Y73" s="561"/>
      <c r="Z73" s="561"/>
      <c r="AA73" s="378">
        <f t="shared" si="30"/>
        <v>4894218</v>
      </c>
      <c r="AB73" s="88">
        <f t="shared" si="17"/>
        <v>57</v>
      </c>
      <c r="AC73" s="89"/>
    </row>
    <row r="74" spans="1:37" s="91" customFormat="1" ht="39.75" customHeight="1">
      <c r="A74" s="580">
        <f>_xlfn.AGGREGATE(4,7,A$12:A73)+1</f>
        <v>58</v>
      </c>
      <c r="B74" s="421" t="s">
        <v>284</v>
      </c>
      <c r="C74" s="99" t="s">
        <v>283</v>
      </c>
      <c r="D74" s="202"/>
      <c r="E74" s="202" t="str">
        <f>INDEX([3]SACOM!$C$7:$C$335,MATCH(B74,[3]SACOM!$B$7:$B$335,0))</f>
        <v>060310749349</v>
      </c>
      <c r="F74" s="376" t="str">
        <f>INDEX([3]SACOM!$C$7:$C$335,MATCH(B74,[3]SACOM!$B$7:$B$335,0))</f>
        <v>060310749349</v>
      </c>
      <c r="G74" s="368" t="s">
        <v>232</v>
      </c>
      <c r="H74" s="452">
        <v>3</v>
      </c>
      <c r="I74" s="453">
        <v>5468400</v>
      </c>
      <c r="J74" s="557"/>
      <c r="K74" s="453"/>
      <c r="L74" s="453">
        <f t="shared" si="11"/>
        <v>5468400</v>
      </c>
      <c r="M74" s="453"/>
      <c r="N74" s="453">
        <f t="shared" si="24"/>
        <v>0</v>
      </c>
      <c r="O74" s="453"/>
      <c r="P74" s="453">
        <f t="shared" si="25"/>
        <v>5468400</v>
      </c>
      <c r="Q74" s="453">
        <f t="shared" si="26"/>
        <v>437472</v>
      </c>
      <c r="R74" s="455">
        <f t="shared" si="27"/>
        <v>82026</v>
      </c>
      <c r="S74" s="453">
        <f t="shared" si="28"/>
        <v>54684</v>
      </c>
      <c r="T74" s="455"/>
      <c r="U74" s="455">
        <f t="shared" si="29"/>
        <v>574182</v>
      </c>
      <c r="V74" s="455"/>
      <c r="W74" s="561"/>
      <c r="X74" s="561"/>
      <c r="Y74" s="561"/>
      <c r="Z74" s="561"/>
      <c r="AA74" s="378">
        <f t="shared" si="30"/>
        <v>4894218</v>
      </c>
      <c r="AB74" s="88">
        <f t="shared" si="17"/>
        <v>58</v>
      </c>
      <c r="AC74" s="89"/>
    </row>
    <row r="75" spans="1:37" s="91" customFormat="1" ht="34.9" customHeight="1">
      <c r="A75" s="580">
        <f>_xlfn.AGGREGATE(4,7,A$12:A74)+1</f>
        <v>59</v>
      </c>
      <c r="B75" s="421" t="s">
        <v>343</v>
      </c>
      <c r="C75" s="99" t="s">
        <v>344</v>
      </c>
      <c r="D75" s="202"/>
      <c r="E75" s="202" t="str">
        <f>INDEX([3]SACOM!$C$7:$C$335,MATCH(B75,[3]SACOM!$B$7:$B$335,0))</f>
        <v>060310747923</v>
      </c>
      <c r="F75" s="376" t="str">
        <f>INDEX([3]SACOM!$C$7:$C$335,MATCH(B75,[3]SACOM!$B$7:$B$335,0))</f>
        <v>060310747923</v>
      </c>
      <c r="G75" s="368" t="s">
        <v>232</v>
      </c>
      <c r="H75" s="452">
        <v>2</v>
      </c>
      <c r="I75" s="453">
        <v>5208000</v>
      </c>
      <c r="J75" s="557"/>
      <c r="K75" s="453"/>
      <c r="L75" s="453">
        <f t="shared" si="11"/>
        <v>5208000</v>
      </c>
      <c r="M75" s="453"/>
      <c r="N75" s="453">
        <f t="shared" si="24"/>
        <v>0</v>
      </c>
      <c r="O75" s="453"/>
      <c r="P75" s="453">
        <f t="shared" si="25"/>
        <v>5208000</v>
      </c>
      <c r="Q75" s="453">
        <f t="shared" si="26"/>
        <v>416640</v>
      </c>
      <c r="R75" s="455">
        <f t="shared" si="27"/>
        <v>78120</v>
      </c>
      <c r="S75" s="453">
        <f t="shared" si="28"/>
        <v>52080</v>
      </c>
      <c r="T75" s="455"/>
      <c r="U75" s="455">
        <f t="shared" si="29"/>
        <v>546840</v>
      </c>
      <c r="V75" s="455"/>
      <c r="W75" s="561"/>
      <c r="X75" s="561"/>
      <c r="Y75" s="561"/>
      <c r="Z75" s="561"/>
      <c r="AA75" s="378">
        <f t="shared" si="30"/>
        <v>4661160</v>
      </c>
      <c r="AB75" s="88">
        <f t="shared" si="17"/>
        <v>59</v>
      </c>
      <c r="AC75" s="233" t="s">
        <v>443</v>
      </c>
    </row>
    <row r="76" spans="1:37" s="91" customFormat="1" ht="36.75" customHeight="1">
      <c r="A76" s="580">
        <f>_xlfn.AGGREGATE(4,7,A$12:A75)+1</f>
        <v>60</v>
      </c>
      <c r="B76" s="421" t="s">
        <v>376</v>
      </c>
      <c r="C76" s="99" t="s">
        <v>283</v>
      </c>
      <c r="D76" s="202"/>
      <c r="E76" s="202" t="str">
        <f>INDEX([3]SACOM!$C$7:$C$335,MATCH(B76,[3]SACOM!$B$7:$B$335,0))</f>
        <v>060311210605</v>
      </c>
      <c r="F76" s="376" t="str">
        <f>INDEX([3]SACOM!$C$7:$C$335,MATCH(B76,[3]SACOM!$B$7:$B$335,0))</f>
        <v>060311210605</v>
      </c>
      <c r="G76" s="368" t="s">
        <v>232</v>
      </c>
      <c r="H76" s="452">
        <v>2</v>
      </c>
      <c r="I76" s="453">
        <v>5208000</v>
      </c>
      <c r="J76" s="557"/>
      <c r="K76" s="453"/>
      <c r="L76" s="453">
        <f t="shared" si="11"/>
        <v>5208000</v>
      </c>
      <c r="M76" s="453"/>
      <c r="N76" s="453">
        <f t="shared" si="24"/>
        <v>0</v>
      </c>
      <c r="O76" s="453"/>
      <c r="P76" s="453">
        <f t="shared" si="25"/>
        <v>5208000</v>
      </c>
      <c r="Q76" s="453">
        <f t="shared" si="26"/>
        <v>416640</v>
      </c>
      <c r="R76" s="455">
        <f t="shared" si="27"/>
        <v>78120</v>
      </c>
      <c r="S76" s="453">
        <f t="shared" si="28"/>
        <v>52080</v>
      </c>
      <c r="T76" s="455"/>
      <c r="U76" s="455">
        <f t="shared" si="29"/>
        <v>546840</v>
      </c>
      <c r="V76" s="455"/>
      <c r="W76" s="561"/>
      <c r="X76" s="561"/>
      <c r="Y76" s="561"/>
      <c r="Z76" s="561"/>
      <c r="AA76" s="378">
        <f t="shared" si="30"/>
        <v>4661160</v>
      </c>
      <c r="AB76" s="88">
        <f t="shared" si="17"/>
        <v>60</v>
      </c>
      <c r="AC76" s="233"/>
    </row>
    <row r="77" spans="1:37" s="91" customFormat="1" ht="29.25" customHeight="1">
      <c r="A77" s="580">
        <f>_xlfn.AGGREGATE(4,7,A$12:A76)+1</f>
        <v>61</v>
      </c>
      <c r="B77" s="421" t="s">
        <v>297</v>
      </c>
      <c r="C77" s="99" t="s">
        <v>263</v>
      </c>
      <c r="D77" s="433" t="s">
        <v>310</v>
      </c>
      <c r="E77" s="266" t="s">
        <v>309</v>
      </c>
      <c r="F77" s="376" t="str">
        <f>INDEX([3]SACOM!$C$7:$C$335,MATCH(B77,[3]SACOM!$B$7:$B$335,0))</f>
        <v>060310750096</v>
      </c>
      <c r="G77" s="368" t="s">
        <v>232</v>
      </c>
      <c r="H77" s="452">
        <v>2</v>
      </c>
      <c r="I77" s="453">
        <v>5208000</v>
      </c>
      <c r="J77" s="557"/>
      <c r="K77" s="453"/>
      <c r="L77" s="566">
        <f t="shared" si="11"/>
        <v>5208000</v>
      </c>
      <c r="M77" s="453"/>
      <c r="N77" s="453">
        <f t="shared" si="24"/>
        <v>0</v>
      </c>
      <c r="O77" s="453"/>
      <c r="P77" s="453">
        <f t="shared" si="25"/>
        <v>5208000</v>
      </c>
      <c r="Q77" s="453">
        <f t="shared" si="26"/>
        <v>416640</v>
      </c>
      <c r="R77" s="455">
        <f t="shared" si="27"/>
        <v>78120</v>
      </c>
      <c r="S77" s="453">
        <f t="shared" si="28"/>
        <v>52080</v>
      </c>
      <c r="T77" s="455"/>
      <c r="U77" s="455">
        <f t="shared" si="29"/>
        <v>546840</v>
      </c>
      <c r="V77" s="455"/>
      <c r="W77" s="561"/>
      <c r="X77" s="561"/>
      <c r="Y77" s="561"/>
      <c r="Z77" s="561"/>
      <c r="AA77" s="378">
        <f t="shared" si="30"/>
        <v>4661160</v>
      </c>
      <c r="AB77" s="88">
        <f t="shared" si="17"/>
        <v>61</v>
      </c>
      <c r="AC77" s="89"/>
      <c r="AD77" s="32"/>
      <c r="AE77" s="32"/>
      <c r="AF77" s="32"/>
      <c r="AG77" s="32"/>
      <c r="AH77" s="32"/>
      <c r="AI77" s="32"/>
      <c r="AJ77" s="32"/>
      <c r="AK77" s="32"/>
    </row>
    <row r="78" spans="1:37" s="486" customFormat="1" ht="31.5" customHeight="1">
      <c r="A78" s="580">
        <f>_xlfn.AGGREGATE(4,7,A$12:A77)+1</f>
        <v>62</v>
      </c>
      <c r="B78" s="421" t="s">
        <v>299</v>
      </c>
      <c r="C78" s="99" t="s">
        <v>263</v>
      </c>
      <c r="D78" s="433" t="s">
        <v>311</v>
      </c>
      <c r="E78" s="266" t="s">
        <v>312</v>
      </c>
      <c r="F78" s="376" t="str">
        <f>INDEX([3]SACOM!$C$7:$C$335,MATCH(B78,[3]SACOM!$B$7:$B$335,0))</f>
        <v>060310749268</v>
      </c>
      <c r="G78" s="368" t="s">
        <v>232</v>
      </c>
      <c r="H78" s="452">
        <v>2</v>
      </c>
      <c r="I78" s="453">
        <v>5208000</v>
      </c>
      <c r="J78" s="557"/>
      <c r="K78" s="453"/>
      <c r="L78" s="566">
        <f t="shared" si="11"/>
        <v>5208000</v>
      </c>
      <c r="M78" s="453"/>
      <c r="N78" s="453">
        <f t="shared" si="24"/>
        <v>0</v>
      </c>
      <c r="O78" s="453"/>
      <c r="P78" s="453">
        <f t="shared" si="25"/>
        <v>5208000</v>
      </c>
      <c r="Q78" s="453">
        <f t="shared" si="26"/>
        <v>416640</v>
      </c>
      <c r="R78" s="455">
        <f t="shared" si="27"/>
        <v>78120</v>
      </c>
      <c r="S78" s="453">
        <f t="shared" si="28"/>
        <v>52080</v>
      </c>
      <c r="T78" s="455"/>
      <c r="U78" s="455">
        <f t="shared" si="29"/>
        <v>546840</v>
      </c>
      <c r="V78" s="455"/>
      <c r="W78" s="561"/>
      <c r="X78" s="561"/>
      <c r="Y78" s="561"/>
      <c r="Z78" s="561"/>
      <c r="AA78" s="378">
        <f t="shared" si="30"/>
        <v>4661160</v>
      </c>
      <c r="AB78" s="88">
        <f t="shared" si="17"/>
        <v>62</v>
      </c>
      <c r="AC78" s="89"/>
      <c r="AD78" s="516"/>
      <c r="AE78" s="516"/>
      <c r="AF78" s="516"/>
      <c r="AG78" s="516"/>
      <c r="AH78" s="516"/>
      <c r="AI78" s="516"/>
      <c r="AJ78" s="516"/>
      <c r="AK78" s="516"/>
    </row>
    <row r="79" spans="1:37" s="548" customFormat="1" ht="40.5" customHeight="1">
      <c r="A79" s="580">
        <f>_xlfn.AGGREGATE(4,7,A$12:A78)+1</f>
        <v>63</v>
      </c>
      <c r="B79" s="441" t="s">
        <v>383</v>
      </c>
      <c r="C79" s="469" t="s">
        <v>390</v>
      </c>
      <c r="D79" s="339"/>
      <c r="E79" s="518" t="str">
        <f>INDEX([3]SACOM!$C$7:$C$335,MATCH(B79,[3]SACOM!$B$7:$B$335,0))</f>
        <v>060310750916</v>
      </c>
      <c r="F79" s="376" t="str">
        <f>INDEX([3]SACOM!$C$7:$C$335,MATCH(B79,[3]SACOM!$B$7:$B$335,0))</f>
        <v>060310750916</v>
      </c>
      <c r="G79" s="442" t="s">
        <v>232</v>
      </c>
      <c r="H79" s="565">
        <v>1</v>
      </c>
      <c r="I79" s="620">
        <v>4960000</v>
      </c>
      <c r="J79" s="621"/>
      <c r="K79" s="620"/>
      <c r="L79" s="566">
        <f t="shared" si="11"/>
        <v>4960000</v>
      </c>
      <c r="M79" s="566"/>
      <c r="N79" s="566">
        <f t="shared" si="24"/>
        <v>0</v>
      </c>
      <c r="O79" s="566"/>
      <c r="P79" s="566">
        <f t="shared" si="25"/>
        <v>4960000</v>
      </c>
      <c r="Q79" s="566">
        <f t="shared" si="26"/>
        <v>396800</v>
      </c>
      <c r="R79" s="567">
        <f t="shared" si="27"/>
        <v>74400</v>
      </c>
      <c r="S79" s="566">
        <f t="shared" si="28"/>
        <v>49600</v>
      </c>
      <c r="T79" s="567"/>
      <c r="U79" s="567">
        <f t="shared" si="29"/>
        <v>520800</v>
      </c>
      <c r="V79" s="567"/>
      <c r="W79" s="567"/>
      <c r="X79" s="568"/>
      <c r="Y79" s="567"/>
      <c r="Z79" s="567"/>
      <c r="AA79" s="448">
        <f t="shared" si="30"/>
        <v>4439200</v>
      </c>
      <c r="AB79" s="88">
        <f t="shared" si="17"/>
        <v>63</v>
      </c>
      <c r="AC79" s="107"/>
      <c r="AD79" s="579"/>
      <c r="AE79" s="579"/>
      <c r="AF79" s="579"/>
      <c r="AG79" s="579"/>
      <c r="AH79" s="579"/>
      <c r="AI79" s="579"/>
      <c r="AJ79" s="579"/>
      <c r="AK79" s="579"/>
    </row>
    <row r="80" spans="1:37" ht="33" customHeight="1">
      <c r="A80" s="631"/>
      <c r="B80" s="632" t="s">
        <v>408</v>
      </c>
      <c r="C80" s="633"/>
      <c r="D80" s="633"/>
      <c r="E80" s="633"/>
      <c r="F80" s="633"/>
      <c r="G80" s="633"/>
      <c r="H80" s="633"/>
      <c r="I80" s="628">
        <f t="shared" ref="I80:AA80" si="31">SUM(I55:I79)</f>
        <v>155609193</v>
      </c>
      <c r="J80" s="628">
        <f t="shared" si="31"/>
        <v>0.06</v>
      </c>
      <c r="K80" s="628">
        <f t="shared" si="31"/>
        <v>544626.78</v>
      </c>
      <c r="L80" s="628">
        <f t="shared" si="31"/>
        <v>156153820</v>
      </c>
      <c r="M80" s="628">
        <f t="shared" si="31"/>
        <v>0</v>
      </c>
      <c r="N80" s="628">
        <f t="shared" si="31"/>
        <v>0</v>
      </c>
      <c r="O80" s="628">
        <f t="shared" si="31"/>
        <v>0</v>
      </c>
      <c r="P80" s="628">
        <f t="shared" si="31"/>
        <v>156153820</v>
      </c>
      <c r="Q80" s="628">
        <f t="shared" si="31"/>
        <v>11935773.039999999</v>
      </c>
      <c r="R80" s="628">
        <f>SUM(R55:R79)</f>
        <v>2237957.4449999998</v>
      </c>
      <c r="S80" s="628">
        <f t="shared" si="31"/>
        <v>1491971.63</v>
      </c>
      <c r="T80" s="628">
        <f t="shared" si="31"/>
        <v>0</v>
      </c>
      <c r="U80" s="628">
        <f t="shared" si="31"/>
        <v>15665702.114999998</v>
      </c>
      <c r="V80" s="628">
        <f t="shared" si="31"/>
        <v>0</v>
      </c>
      <c r="W80" s="628">
        <f t="shared" si="31"/>
        <v>0</v>
      </c>
      <c r="X80" s="628">
        <f t="shared" si="31"/>
        <v>0</v>
      </c>
      <c r="Y80" s="628">
        <f t="shared" si="31"/>
        <v>0</v>
      </c>
      <c r="Z80" s="628">
        <f t="shared" si="31"/>
        <v>0</v>
      </c>
      <c r="AA80" s="628">
        <f t="shared" si="31"/>
        <v>140488117.88500002</v>
      </c>
      <c r="AB80" s="629"/>
      <c r="AC80" s="630"/>
    </row>
    <row r="81" spans="1:37" ht="44.25" customHeight="1">
      <c r="A81" s="634" t="s">
        <v>411</v>
      </c>
      <c r="B81" s="635" t="s">
        <v>409</v>
      </c>
      <c r="C81" s="636"/>
      <c r="D81" s="636"/>
      <c r="E81" s="636"/>
      <c r="F81" s="636"/>
      <c r="G81" s="636"/>
      <c r="H81" s="637"/>
      <c r="I81" s="638">
        <f t="shared" ref="I81:AA81" si="32">I80+I53</f>
        <v>420150621</v>
      </c>
      <c r="J81" s="638">
        <f t="shared" si="32"/>
        <v>0.18</v>
      </c>
      <c r="K81" s="638">
        <f t="shared" si="32"/>
        <v>1978966.5</v>
      </c>
      <c r="L81" s="638">
        <f t="shared" si="32"/>
        <v>422129588</v>
      </c>
      <c r="M81" s="638">
        <f t="shared" si="32"/>
        <v>18</v>
      </c>
      <c r="N81" s="638">
        <f t="shared" si="32"/>
        <v>4712696.038461538</v>
      </c>
      <c r="O81" s="638">
        <f t="shared" si="32"/>
        <v>0</v>
      </c>
      <c r="P81" s="638">
        <f t="shared" si="32"/>
        <v>417416891.96153843</v>
      </c>
      <c r="Q81" s="638">
        <f>Q80+Q53</f>
        <v>32320164.880000003</v>
      </c>
      <c r="R81" s="638">
        <f>R80+R53-1</f>
        <v>6060029.9149999991</v>
      </c>
      <c r="S81" s="638">
        <f t="shared" si="32"/>
        <v>4040020.6100000003</v>
      </c>
      <c r="T81" s="638">
        <f t="shared" si="32"/>
        <v>0</v>
      </c>
      <c r="U81" s="638">
        <f t="shared" si="32"/>
        <v>42420216.405000001</v>
      </c>
      <c r="V81" s="638">
        <f t="shared" si="32"/>
        <v>0</v>
      </c>
      <c r="W81" s="638">
        <f t="shared" si="32"/>
        <v>0</v>
      </c>
      <c r="X81" s="638">
        <f t="shared" si="32"/>
        <v>0</v>
      </c>
      <c r="Y81" s="638">
        <f t="shared" si="32"/>
        <v>0</v>
      </c>
      <c r="Z81" s="638">
        <f t="shared" si="32"/>
        <v>852000</v>
      </c>
      <c r="AA81" s="638">
        <f t="shared" si="32"/>
        <v>375848675.55653846</v>
      </c>
      <c r="AB81" s="639"/>
      <c r="AC81" s="640"/>
    </row>
    <row r="82" spans="1:37" s="32" customFormat="1" ht="22.5" hidden="1" customHeight="1">
      <c r="A82" s="623"/>
      <c r="B82" s="441"/>
      <c r="C82" s="469"/>
      <c r="D82" s="142"/>
      <c r="E82" s="603"/>
      <c r="F82" s="604"/>
      <c r="G82" s="37"/>
      <c r="H82" s="641"/>
      <c r="I82" s="566"/>
      <c r="J82" s="624"/>
      <c r="K82" s="566"/>
      <c r="L82" s="566"/>
      <c r="M82" s="566"/>
      <c r="N82" s="566"/>
      <c r="O82" s="566"/>
      <c r="P82" s="566"/>
      <c r="Q82" s="566"/>
      <c r="R82" s="567"/>
      <c r="S82" s="566"/>
      <c r="T82" s="567"/>
      <c r="U82" s="567"/>
      <c r="V82" s="567"/>
      <c r="W82" s="273"/>
      <c r="X82" s="273"/>
      <c r="Y82" s="273"/>
      <c r="Z82" s="273"/>
      <c r="AA82" s="448">
        <f>SUBTOTAL(9,AA15:AA81)</f>
        <v>1127546026.6696153</v>
      </c>
      <c r="AB82" s="449"/>
      <c r="AC82" s="107"/>
    </row>
    <row r="83" spans="1:37" s="578" customFormat="1" ht="10.5" customHeight="1">
      <c r="A83" s="387"/>
      <c r="B83" s="388"/>
      <c r="C83" s="389"/>
      <c r="D83" s="389"/>
      <c r="E83" s="390"/>
      <c r="F83" s="390"/>
      <c r="G83" s="391"/>
      <c r="H83" s="392"/>
      <c r="I83" s="388"/>
      <c r="J83" s="392"/>
      <c r="K83" s="388"/>
      <c r="L83" s="388"/>
      <c r="M83" s="388"/>
      <c r="N83" s="388"/>
      <c r="O83" s="388"/>
      <c r="P83" s="388"/>
      <c r="Q83" s="393"/>
      <c r="R83" s="393"/>
      <c r="S83" s="393"/>
      <c r="T83" s="388"/>
      <c r="U83" s="393"/>
      <c r="V83" s="388"/>
      <c r="W83" s="388"/>
      <c r="X83" s="388"/>
      <c r="Y83" s="388"/>
      <c r="Z83" s="388"/>
      <c r="AA83" s="393"/>
      <c r="AB83" s="394"/>
      <c r="AC83" s="352"/>
    </row>
    <row r="84" spans="1:37" s="32" customFormat="1" ht="21.75" customHeight="1">
      <c r="A84" s="73"/>
      <c r="B84" s="573" t="s">
        <v>12</v>
      </c>
      <c r="C84" s="574" t="s">
        <v>463</v>
      </c>
      <c r="D84" s="574"/>
      <c r="E84" s="395"/>
      <c r="F84" s="395"/>
      <c r="G84" s="395"/>
      <c r="H84" s="395"/>
      <c r="I84" s="395"/>
      <c r="J84" s="575"/>
      <c r="K84" s="395"/>
      <c r="L84" s="395"/>
      <c r="M84" s="395"/>
      <c r="N84" s="395"/>
      <c r="O84" s="395"/>
      <c r="P84" s="395"/>
      <c r="Q84" s="395"/>
      <c r="R84" s="395"/>
      <c r="S84" s="576"/>
      <c r="T84" s="576"/>
      <c r="U84" s="576"/>
      <c r="V84" s="576"/>
      <c r="W84" s="576"/>
      <c r="X84" s="576"/>
      <c r="Y84" s="576"/>
      <c r="Z84" s="576"/>
      <c r="AA84" s="576"/>
      <c r="AB84" s="574"/>
      <c r="AC84" s="577"/>
    </row>
    <row r="85" spans="1:37" s="245" customFormat="1" ht="12" customHeight="1">
      <c r="A85" s="349"/>
      <c r="B85" s="480"/>
      <c r="C85" s="399"/>
      <c r="D85" s="399"/>
      <c r="E85" s="400"/>
      <c r="F85" s="400"/>
      <c r="G85" s="401"/>
      <c r="H85" s="401"/>
      <c r="I85" s="402"/>
      <c r="J85" s="402"/>
      <c r="K85" s="402"/>
      <c r="L85" s="402"/>
      <c r="M85" s="402"/>
      <c r="N85" s="402"/>
      <c r="O85" s="402"/>
      <c r="P85" s="402"/>
      <c r="Q85" s="402"/>
      <c r="R85" s="402"/>
      <c r="S85" s="402"/>
      <c r="T85" s="402"/>
      <c r="U85" s="402"/>
      <c r="V85" s="402"/>
      <c r="W85" s="402"/>
      <c r="X85" s="402"/>
      <c r="Y85" s="402"/>
      <c r="Z85" s="402"/>
      <c r="AA85" s="402"/>
      <c r="AB85" s="709"/>
      <c r="AC85" s="709"/>
      <c r="AD85" s="517"/>
      <c r="AE85" s="517"/>
      <c r="AF85" s="517"/>
      <c r="AG85" s="517"/>
      <c r="AH85" s="517"/>
      <c r="AI85" s="517"/>
      <c r="AJ85" s="517"/>
      <c r="AK85" s="517"/>
    </row>
    <row r="86" spans="1:37" s="245" customFormat="1" ht="15.75" customHeight="1">
      <c r="B86" s="477"/>
      <c r="C86" s="409"/>
      <c r="D86" s="409"/>
      <c r="E86" s="410"/>
      <c r="F86" s="410"/>
      <c r="J86" s="411"/>
      <c r="S86" s="703" t="s">
        <v>464</v>
      </c>
      <c r="T86" s="703"/>
      <c r="U86" s="703"/>
      <c r="V86" s="703"/>
      <c r="W86" s="703"/>
      <c r="X86" s="703"/>
      <c r="Y86" s="703"/>
      <c r="Z86" s="703"/>
      <c r="AA86" s="703"/>
      <c r="AB86" s="703"/>
      <c r="AC86" s="703"/>
      <c r="AD86" s="517"/>
      <c r="AE86" s="517"/>
      <c r="AF86" s="517"/>
      <c r="AG86" s="517"/>
      <c r="AH86" s="517"/>
      <c r="AI86" s="517"/>
      <c r="AJ86" s="517"/>
      <c r="AK86" s="517"/>
    </row>
    <row r="87" spans="1:37" s="617" customFormat="1" ht="15.75" customHeight="1">
      <c r="C87" s="409"/>
      <c r="D87" s="409"/>
      <c r="E87" s="410"/>
      <c r="F87" s="410"/>
      <c r="J87" s="616"/>
      <c r="S87" s="701" t="s">
        <v>449</v>
      </c>
      <c r="T87" s="701"/>
      <c r="U87" s="701"/>
      <c r="V87" s="701"/>
      <c r="W87" s="701"/>
      <c r="X87" s="701"/>
      <c r="Y87" s="701"/>
      <c r="Z87" s="701"/>
      <c r="AA87" s="701"/>
      <c r="AB87" s="701"/>
      <c r="AC87" s="701"/>
    </row>
    <row r="88" spans="1:37" s="245" customFormat="1" ht="15.75" customHeight="1">
      <c r="A88" s="701" t="s">
        <v>13</v>
      </c>
      <c r="B88" s="701"/>
      <c r="C88" s="701"/>
      <c r="D88" s="701"/>
      <c r="E88" s="701"/>
      <c r="F88" s="701"/>
      <c r="G88" s="701"/>
      <c r="H88" s="701"/>
      <c r="I88" s="701" t="s">
        <v>169</v>
      </c>
      <c r="J88" s="701"/>
      <c r="K88" s="701"/>
      <c r="L88" s="701"/>
      <c r="M88" s="701"/>
      <c r="N88" s="701"/>
      <c r="O88" s="701"/>
      <c r="P88" s="701"/>
      <c r="Q88" s="701"/>
      <c r="R88" s="701"/>
      <c r="S88" s="701" t="s">
        <v>450</v>
      </c>
      <c r="T88" s="701"/>
      <c r="U88" s="701"/>
      <c r="V88" s="701"/>
      <c r="W88" s="701"/>
      <c r="X88" s="701"/>
      <c r="Y88" s="701"/>
      <c r="Z88" s="701"/>
      <c r="AA88" s="701"/>
      <c r="AB88" s="701"/>
      <c r="AC88" s="701"/>
      <c r="AD88" s="517"/>
      <c r="AE88" s="517"/>
      <c r="AF88" s="517"/>
      <c r="AG88" s="517"/>
      <c r="AH88" s="517"/>
      <c r="AI88" s="517"/>
      <c r="AJ88" s="517"/>
      <c r="AK88" s="517"/>
    </row>
    <row r="89" spans="1:37" s="245" customFormat="1" ht="15.75" customHeight="1">
      <c r="B89" s="479"/>
      <c r="C89" s="409"/>
      <c r="D89" s="409"/>
      <c r="E89" s="410"/>
      <c r="F89" s="410"/>
      <c r="I89" s="411"/>
      <c r="J89" s="411"/>
      <c r="K89" s="411"/>
      <c r="L89" s="411"/>
      <c r="M89" s="411"/>
      <c r="N89" s="411"/>
      <c r="O89" s="411"/>
      <c r="P89" s="411"/>
      <c r="Q89" s="413"/>
      <c r="R89" s="411"/>
      <c r="S89" s="411"/>
      <c r="T89" s="411"/>
      <c r="U89" s="411"/>
      <c r="V89" s="411"/>
      <c r="AB89" s="698"/>
      <c r="AC89" s="698"/>
      <c r="AD89" s="517"/>
      <c r="AE89" s="517"/>
      <c r="AF89" s="517"/>
      <c r="AG89" s="517"/>
      <c r="AH89" s="517"/>
      <c r="AI89" s="517"/>
      <c r="AJ89" s="517"/>
      <c r="AK89" s="517"/>
    </row>
    <row r="90" spans="1:37" s="245" customFormat="1" ht="15.75" customHeight="1">
      <c r="B90" s="477"/>
      <c r="C90" s="409"/>
      <c r="D90" s="409"/>
      <c r="E90" s="410"/>
      <c r="F90" s="410"/>
      <c r="I90" s="411"/>
      <c r="J90" s="411"/>
      <c r="K90" s="411"/>
      <c r="L90" s="411"/>
      <c r="M90" s="411"/>
      <c r="N90" s="411"/>
      <c r="O90" s="411"/>
      <c r="P90" s="411"/>
      <c r="Q90" s="411"/>
      <c r="S90" s="414"/>
      <c r="T90" s="414"/>
      <c r="U90" s="414"/>
      <c r="V90" s="414"/>
      <c r="W90" s="414"/>
      <c r="X90" s="414"/>
      <c r="Y90" s="414"/>
      <c r="Z90" s="414"/>
      <c r="AA90" s="414"/>
      <c r="AB90" s="414"/>
      <c r="AC90" s="414"/>
      <c r="AD90" s="517"/>
      <c r="AE90" s="517"/>
      <c r="AF90" s="517"/>
      <c r="AG90" s="517"/>
      <c r="AH90" s="517"/>
      <c r="AI90" s="517"/>
      <c r="AJ90" s="517"/>
      <c r="AK90" s="517"/>
    </row>
    <row r="91" spans="1:37" s="245" customFormat="1" ht="9.75" customHeight="1">
      <c r="C91" s="409"/>
      <c r="D91" s="409"/>
      <c r="E91" s="410"/>
      <c r="F91" s="410"/>
      <c r="I91" s="411"/>
      <c r="J91" s="411"/>
      <c r="K91" s="411"/>
      <c r="L91" s="411"/>
      <c r="M91" s="411"/>
      <c r="N91" s="411"/>
      <c r="O91" s="411"/>
      <c r="P91" s="411"/>
      <c r="Q91" s="411"/>
      <c r="R91" s="411"/>
      <c r="S91" s="411"/>
      <c r="T91" s="411"/>
      <c r="U91" s="411"/>
      <c r="V91" s="411"/>
      <c r="AC91" s="415"/>
      <c r="AD91" s="517"/>
      <c r="AE91" s="517"/>
      <c r="AF91" s="517"/>
      <c r="AG91" s="517"/>
      <c r="AH91" s="517"/>
      <c r="AI91" s="517"/>
      <c r="AJ91" s="517"/>
      <c r="AK91" s="517"/>
    </row>
    <row r="92" spans="1:37" s="245" customFormat="1" ht="15.75" customHeight="1">
      <c r="B92" s="477"/>
      <c r="C92" s="409"/>
      <c r="D92" s="409"/>
      <c r="E92" s="410"/>
      <c r="F92" s="410"/>
      <c r="I92" s="411"/>
      <c r="J92" s="411"/>
      <c r="K92" s="411"/>
      <c r="L92" s="411"/>
      <c r="M92" s="411"/>
      <c r="N92" s="411"/>
      <c r="O92" s="411"/>
      <c r="P92" s="411"/>
      <c r="Q92" s="411"/>
      <c r="R92" s="411"/>
      <c r="S92" s="411"/>
      <c r="T92" s="411"/>
      <c r="U92" s="411"/>
      <c r="V92" s="411"/>
      <c r="AB92" s="698"/>
      <c r="AC92" s="698"/>
      <c r="AD92" s="517"/>
      <c r="AE92" s="517"/>
      <c r="AF92" s="517"/>
      <c r="AG92" s="517"/>
      <c r="AH92" s="517"/>
      <c r="AI92" s="517"/>
      <c r="AJ92" s="517"/>
      <c r="AK92" s="517"/>
    </row>
    <row r="93" spans="1:37" s="245" customFormat="1" ht="15.75" customHeight="1">
      <c r="B93" s="477"/>
      <c r="C93" s="409"/>
      <c r="D93" s="409"/>
      <c r="E93" s="410"/>
      <c r="F93" s="410"/>
      <c r="I93" s="411"/>
      <c r="J93" s="411"/>
      <c r="K93" s="411"/>
      <c r="L93" s="411"/>
      <c r="M93" s="411"/>
      <c r="N93" s="411"/>
      <c r="O93" s="411"/>
      <c r="P93" s="411"/>
      <c r="Q93" s="411"/>
      <c r="R93" s="411"/>
      <c r="S93" s="411"/>
      <c r="T93" s="411"/>
      <c r="U93" s="411"/>
      <c r="V93" s="411"/>
      <c r="AB93" s="698"/>
      <c r="AC93" s="698"/>
      <c r="AD93" s="517"/>
      <c r="AE93" s="517"/>
      <c r="AF93" s="517"/>
      <c r="AG93" s="517"/>
      <c r="AH93" s="517"/>
      <c r="AI93" s="517"/>
      <c r="AJ93" s="517"/>
      <c r="AK93" s="517"/>
    </row>
    <row r="94" spans="1:37" s="245" customFormat="1" ht="15.75" customHeight="1">
      <c r="B94" s="477"/>
      <c r="C94" s="409"/>
      <c r="D94" s="409"/>
      <c r="E94" s="410"/>
      <c r="F94" s="410"/>
      <c r="I94" s="411"/>
      <c r="J94" s="411"/>
      <c r="K94" s="411"/>
      <c r="L94" s="411"/>
      <c r="M94" s="411"/>
      <c r="N94" s="411"/>
      <c r="O94" s="411"/>
      <c r="P94" s="411"/>
      <c r="Q94" s="411"/>
      <c r="R94" s="411"/>
      <c r="S94" s="411"/>
      <c r="T94" s="411"/>
      <c r="U94" s="411"/>
      <c r="V94" s="411"/>
      <c r="AB94" s="698"/>
      <c r="AC94" s="698"/>
      <c r="AD94" s="517"/>
      <c r="AE94" s="517"/>
      <c r="AF94" s="517"/>
      <c r="AG94" s="517"/>
      <c r="AH94" s="517"/>
      <c r="AI94" s="517"/>
      <c r="AJ94" s="517"/>
      <c r="AK94" s="517"/>
    </row>
    <row r="95" spans="1:37" s="32" customFormat="1" ht="15.75">
      <c r="A95" s="701" t="s">
        <v>211</v>
      </c>
      <c r="B95" s="701"/>
      <c r="C95" s="701"/>
      <c r="D95" s="701"/>
      <c r="E95" s="701"/>
      <c r="F95" s="701"/>
      <c r="G95" s="701"/>
      <c r="H95" s="701"/>
      <c r="I95" s="701" t="s">
        <v>109</v>
      </c>
      <c r="J95" s="701"/>
      <c r="K95" s="701"/>
      <c r="L95" s="701"/>
      <c r="M95" s="701"/>
      <c r="N95" s="701"/>
      <c r="O95" s="701"/>
      <c r="P95" s="701"/>
      <c r="Q95" s="701"/>
      <c r="R95" s="701"/>
      <c r="S95" s="701" t="s">
        <v>452</v>
      </c>
      <c r="T95" s="701"/>
      <c r="U95" s="701"/>
      <c r="V95" s="701"/>
      <c r="W95" s="701"/>
      <c r="X95" s="701"/>
      <c r="Y95" s="701"/>
      <c r="Z95" s="701"/>
      <c r="AA95" s="701"/>
      <c r="AB95" s="701"/>
      <c r="AC95" s="701"/>
    </row>
    <row r="96" spans="1:37" s="32" customFormat="1">
      <c r="A96" s="403"/>
      <c r="B96" s="404"/>
      <c r="C96" s="405"/>
      <c r="D96" s="405"/>
      <c r="E96" s="406"/>
      <c r="F96" s="406"/>
      <c r="G96" s="404"/>
      <c r="H96" s="404"/>
      <c r="I96" s="404"/>
      <c r="J96" s="407"/>
      <c r="K96" s="404"/>
      <c r="L96" s="404"/>
      <c r="M96" s="404"/>
      <c r="N96" s="404"/>
      <c r="O96" s="404"/>
      <c r="P96" s="404"/>
      <c r="Q96" s="404"/>
      <c r="R96" s="404"/>
      <c r="S96" s="404"/>
      <c r="T96" s="404"/>
      <c r="U96" s="404"/>
      <c r="V96" s="404"/>
      <c r="W96" s="404"/>
      <c r="X96" s="404"/>
      <c r="Y96" s="404"/>
      <c r="Z96" s="404"/>
      <c r="AA96" s="404"/>
      <c r="AB96" s="695"/>
      <c r="AC96" s="695"/>
    </row>
    <row r="97" spans="1:29" s="32" customFormat="1">
      <c r="A97" s="349"/>
      <c r="B97" s="478"/>
      <c r="C97" s="408"/>
      <c r="D97" s="408"/>
      <c r="E97" s="395"/>
      <c r="F97" s="395"/>
      <c r="G97" s="396"/>
      <c r="H97" s="396"/>
      <c r="I97" s="396"/>
      <c r="J97" s="397"/>
      <c r="K97" s="396"/>
      <c r="L97" s="396"/>
      <c r="M97" s="396"/>
      <c r="N97" s="396"/>
      <c r="O97" s="396"/>
      <c r="P97" s="396"/>
      <c r="Q97" s="396"/>
      <c r="R97" s="396"/>
      <c r="S97" s="396"/>
      <c r="T97" s="396"/>
      <c r="U97" s="396"/>
      <c r="V97" s="396"/>
      <c r="W97" s="396"/>
      <c r="X97" s="396"/>
      <c r="Y97" s="396"/>
      <c r="Z97" s="396"/>
      <c r="AA97" s="396"/>
      <c r="AB97" s="697"/>
      <c r="AC97" s="697"/>
    </row>
    <row r="98" spans="1:29">
      <c r="A98" s="349"/>
      <c r="B98" s="478"/>
      <c r="C98" s="408"/>
      <c r="D98" s="408"/>
      <c r="E98" s="395"/>
      <c r="F98" s="395"/>
      <c r="G98" s="396"/>
      <c r="H98" s="396"/>
      <c r="I98" s="396"/>
      <c r="J98" s="397"/>
      <c r="K98" s="396"/>
      <c r="L98" s="396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  <c r="AA98" s="396"/>
      <c r="AB98" s="697"/>
      <c r="AC98" s="697"/>
    </row>
    <row r="99" spans="1:29">
      <c r="A99" s="4"/>
      <c r="B99" s="476"/>
      <c r="AB99" s="646"/>
      <c r="AC99" s="646"/>
    </row>
    <row r="100" spans="1:29">
      <c r="A100" s="4"/>
      <c r="B100" s="476"/>
      <c r="AB100" s="646"/>
      <c r="AC100" s="646"/>
    </row>
    <row r="101" spans="1:29">
      <c r="A101" s="4"/>
      <c r="B101" s="476"/>
      <c r="AB101" s="646"/>
      <c r="AC101" s="646"/>
    </row>
    <row r="102" spans="1:29">
      <c r="A102" s="4"/>
      <c r="B102" s="476"/>
      <c r="AB102" s="646"/>
      <c r="AC102" s="646"/>
    </row>
    <row r="103" spans="1:29">
      <c r="A103" s="4"/>
      <c r="B103" s="476"/>
      <c r="AB103" s="646"/>
      <c r="AC103" s="646"/>
    </row>
    <row r="104" spans="1:29">
      <c r="A104" s="4"/>
      <c r="B104" s="476"/>
      <c r="AB104" s="646"/>
      <c r="AC104" s="646"/>
    </row>
    <row r="105" spans="1:29">
      <c r="A105" s="4"/>
      <c r="B105" s="476"/>
      <c r="AB105" s="646"/>
      <c r="AC105" s="646"/>
    </row>
    <row r="106" spans="1:29">
      <c r="A106" s="4"/>
      <c r="B106" s="476"/>
      <c r="AB106" s="646"/>
      <c r="AC106" s="646"/>
    </row>
    <row r="107" spans="1:29">
      <c r="A107" s="4"/>
      <c r="B107" s="476"/>
      <c r="AB107" s="646"/>
      <c r="AC107" s="646"/>
    </row>
    <row r="108" spans="1:29">
      <c r="A108" s="4"/>
      <c r="B108" s="476"/>
      <c r="AB108" s="646"/>
      <c r="AC108" s="646"/>
    </row>
    <row r="109" spans="1:29">
      <c r="A109" s="4"/>
      <c r="B109" s="476"/>
      <c r="AB109" s="646"/>
      <c r="AC109" s="646"/>
    </row>
    <row r="110" spans="1:29">
      <c r="A110" s="4"/>
      <c r="B110" s="476"/>
      <c r="AB110" s="646"/>
      <c r="AC110" s="646"/>
    </row>
    <row r="111" spans="1:29">
      <c r="A111" s="4"/>
      <c r="B111" s="476"/>
      <c r="AB111" s="646"/>
      <c r="AC111" s="646"/>
    </row>
    <row r="112" spans="1:29">
      <c r="A112" s="4"/>
      <c r="B112" s="476"/>
      <c r="AB112" s="646"/>
      <c r="AC112" s="646"/>
    </row>
    <row r="113" spans="1:29">
      <c r="A113" s="4"/>
      <c r="B113" s="476"/>
      <c r="AB113" s="646"/>
      <c r="AC113" s="646"/>
    </row>
  </sheetData>
  <mergeCells count="63">
    <mergeCell ref="A95:H95"/>
    <mergeCell ref="AB112:AC112"/>
    <mergeCell ref="AB113:AC113"/>
    <mergeCell ref="AB110:AC110"/>
    <mergeCell ref="AB111:AC111"/>
    <mergeCell ref="AB108:AC108"/>
    <mergeCell ref="AB109:AC109"/>
    <mergeCell ref="AB106:AC106"/>
    <mergeCell ref="AB107:AC107"/>
    <mergeCell ref="AB105:AC105"/>
    <mergeCell ref="AB104:AC104"/>
    <mergeCell ref="AB103:AC103"/>
    <mergeCell ref="AB102:AC102"/>
    <mergeCell ref="AB101:AC101"/>
    <mergeCell ref="AB100:AC100"/>
    <mergeCell ref="AB99:AC99"/>
    <mergeCell ref="AB98:AC98"/>
    <mergeCell ref="AB97:AC97"/>
    <mergeCell ref="AB96:AC96"/>
    <mergeCell ref="S95:AC95"/>
    <mergeCell ref="I95:R95"/>
    <mergeCell ref="AA10:AA11"/>
    <mergeCell ref="L10:L11"/>
    <mergeCell ref="H10:H11"/>
    <mergeCell ref="I10:I11"/>
    <mergeCell ref="AB10:AC11"/>
    <mergeCell ref="Z10:Z11"/>
    <mergeCell ref="AB92:AC92"/>
    <mergeCell ref="AB93:AC93"/>
    <mergeCell ref="AB89:AC89"/>
    <mergeCell ref="AB94:AC94"/>
    <mergeCell ref="I88:R88"/>
    <mergeCell ref="S86:AC86"/>
    <mergeCell ref="S88:AC88"/>
    <mergeCell ref="A88:H88"/>
    <mergeCell ref="AB12:AC12"/>
    <mergeCell ref="AB85:AC85"/>
    <mergeCell ref="S87:AC87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A1:H1"/>
    <mergeCell ref="A2:H2"/>
    <mergeCell ref="A5:AC5"/>
    <mergeCell ref="C8:H8"/>
    <mergeCell ref="AB3:AC3"/>
    <mergeCell ref="C7:H7"/>
    <mergeCell ref="Q3:AA3"/>
    <mergeCell ref="C6:H6"/>
    <mergeCell ref="A4:AC4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7"/>
  <sheetViews>
    <sheetView tabSelected="1" zoomScale="110" zoomScaleNormal="110" workbookViewId="0">
      <selection activeCell="N9" sqref="N9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47" t="s">
        <v>67</v>
      </c>
      <c r="B1" s="647"/>
      <c r="C1" s="647"/>
      <c r="D1" s="647"/>
      <c r="E1" s="16"/>
      <c r="F1" s="649" t="s">
        <v>44</v>
      </c>
      <c r="G1" s="649"/>
      <c r="H1" s="649"/>
      <c r="I1" s="649"/>
      <c r="J1" s="649"/>
      <c r="K1" s="649"/>
      <c r="L1" s="4"/>
    </row>
    <row r="2" spans="1:12">
      <c r="A2" s="649" t="s">
        <v>171</v>
      </c>
      <c r="B2" s="649"/>
      <c r="C2" s="649"/>
      <c r="D2" s="649"/>
      <c r="E2" s="17"/>
      <c r="F2" s="720" t="s">
        <v>0</v>
      </c>
      <c r="G2" s="720"/>
      <c r="H2" s="720"/>
      <c r="I2" s="720"/>
      <c r="J2" s="720"/>
      <c r="K2" s="720"/>
      <c r="L2" s="4"/>
    </row>
    <row r="3" spans="1:12" ht="24.75" customHeight="1">
      <c r="A3" s="3"/>
      <c r="B3" s="3"/>
      <c r="C3" s="3"/>
      <c r="D3" s="3"/>
      <c r="E3" s="4"/>
      <c r="F3" s="3"/>
      <c r="G3" s="3"/>
      <c r="H3" s="3"/>
      <c r="I3" s="3"/>
      <c r="J3" s="3"/>
      <c r="K3" s="10"/>
      <c r="L3" s="4"/>
    </row>
    <row r="4" spans="1:12" ht="20.25" customHeight="1">
      <c r="A4" s="718" t="s">
        <v>460</v>
      </c>
      <c r="B4" s="718"/>
      <c r="C4" s="718"/>
      <c r="D4" s="718"/>
      <c r="E4" s="718"/>
      <c r="F4" s="718"/>
      <c r="G4" s="718"/>
      <c r="H4" s="718"/>
      <c r="I4" s="718"/>
      <c r="J4" s="718"/>
      <c r="K4" s="718"/>
      <c r="L4" s="716"/>
    </row>
    <row r="5" spans="1:12" ht="19.5" customHeight="1">
      <c r="A5" s="718" t="s">
        <v>412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6"/>
    </row>
    <row r="6" spans="1:12" ht="21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2"/>
      <c r="L6" s="4"/>
    </row>
    <row r="7" spans="1:12" s="29" customFormat="1" ht="18" customHeight="1">
      <c r="A7" s="717" t="s">
        <v>45</v>
      </c>
      <c r="B7" s="717" t="s">
        <v>42</v>
      </c>
      <c r="C7" s="717" t="s">
        <v>46</v>
      </c>
      <c r="D7" s="717" t="s">
        <v>4</v>
      </c>
      <c r="E7" s="717" t="s">
        <v>454</v>
      </c>
      <c r="F7" s="717"/>
      <c r="G7" s="717"/>
      <c r="H7" s="717" t="s">
        <v>461</v>
      </c>
      <c r="I7" s="717"/>
      <c r="J7" s="717"/>
      <c r="K7" s="719" t="s">
        <v>41</v>
      </c>
      <c r="L7" s="28"/>
    </row>
    <row r="8" spans="1:12" s="29" customFormat="1" ht="22.5" customHeight="1">
      <c r="A8" s="717"/>
      <c r="B8" s="717"/>
      <c r="C8" s="717"/>
      <c r="D8" s="717"/>
      <c r="E8" s="62" t="s">
        <v>36</v>
      </c>
      <c r="F8" s="63" t="s">
        <v>166</v>
      </c>
      <c r="G8" s="63" t="s">
        <v>165</v>
      </c>
      <c r="H8" s="62" t="s">
        <v>36</v>
      </c>
      <c r="I8" s="63" t="s">
        <v>166</v>
      </c>
      <c r="J8" s="63" t="s">
        <v>259</v>
      </c>
      <c r="K8" s="719"/>
      <c r="L8" s="30"/>
    </row>
    <row r="9" spans="1:12" s="66" customFormat="1" ht="57" customHeight="1">
      <c r="A9" s="200" t="s">
        <v>27</v>
      </c>
      <c r="B9" s="201" t="s">
        <v>131</v>
      </c>
      <c r="C9" s="189" t="s">
        <v>445</v>
      </c>
      <c r="D9" s="189" t="s">
        <v>348</v>
      </c>
      <c r="E9" s="200" t="s">
        <v>32</v>
      </c>
      <c r="F9" s="234">
        <v>5498653.5650000004</v>
      </c>
      <c r="G9" s="189"/>
      <c r="H9" s="200" t="s">
        <v>32</v>
      </c>
      <c r="I9" s="234">
        <v>4553461</v>
      </c>
      <c r="J9" s="189"/>
      <c r="K9" s="203" t="s">
        <v>459</v>
      </c>
      <c r="L9" s="30"/>
    </row>
    <row r="10" spans="1:12" s="66" customFormat="1" ht="54.75" customHeight="1">
      <c r="A10" s="200" t="s">
        <v>28</v>
      </c>
      <c r="B10" s="201" t="s">
        <v>124</v>
      </c>
      <c r="C10" s="189" t="s">
        <v>448</v>
      </c>
      <c r="D10" s="189" t="s">
        <v>348</v>
      </c>
      <c r="E10" s="200">
        <v>24</v>
      </c>
      <c r="F10" s="234">
        <v>0</v>
      </c>
      <c r="G10" s="189"/>
      <c r="H10" s="200">
        <v>24</v>
      </c>
      <c r="I10" s="234">
        <v>4984049</v>
      </c>
      <c r="J10" s="189"/>
      <c r="K10" s="627" t="s">
        <v>455</v>
      </c>
      <c r="L10" s="30"/>
    </row>
    <row r="11" spans="1:12" s="66" customFormat="1" ht="54.75" customHeight="1">
      <c r="A11" s="200" t="s">
        <v>29</v>
      </c>
      <c r="B11" s="201" t="s">
        <v>168</v>
      </c>
      <c r="C11" s="189" t="s">
        <v>453</v>
      </c>
      <c r="D11" s="189" t="s">
        <v>348</v>
      </c>
      <c r="E11" s="200">
        <v>27</v>
      </c>
      <c r="F11" s="234">
        <v>4932113</v>
      </c>
      <c r="G11" s="189"/>
      <c r="H11" s="200">
        <v>27</v>
      </c>
      <c r="I11" s="234">
        <v>3772706.9988461537</v>
      </c>
      <c r="J11" s="189"/>
      <c r="K11" s="627" t="s">
        <v>467</v>
      </c>
      <c r="L11" s="30"/>
    </row>
    <row r="12" spans="1:12" s="363" customFormat="1" ht="6.75" customHeight="1">
      <c r="A12" s="584"/>
      <c r="B12" s="723"/>
      <c r="C12" s="723"/>
      <c r="D12" s="723"/>
      <c r="E12" s="723"/>
      <c r="F12" s="723"/>
      <c r="G12" s="723"/>
      <c r="H12" s="359"/>
      <c r="I12" s="360"/>
      <c r="J12" s="358"/>
      <c r="K12" s="361"/>
      <c r="L12" s="362"/>
    </row>
    <row r="13" spans="1:12" s="367" customFormat="1" ht="16.5" customHeight="1">
      <c r="A13" s="584"/>
      <c r="B13" s="722"/>
      <c r="C13" s="722"/>
      <c r="D13" s="722"/>
      <c r="E13" s="722"/>
      <c r="F13" s="364"/>
      <c r="G13" s="365"/>
      <c r="H13" s="721" t="s">
        <v>464</v>
      </c>
      <c r="I13" s="721"/>
      <c r="J13" s="721"/>
      <c r="K13" s="721"/>
      <c r="L13" s="366"/>
    </row>
    <row r="14" spans="1:12" s="367" customFormat="1" ht="16.5" customHeight="1">
      <c r="A14" s="584"/>
      <c r="B14" s="618"/>
      <c r="C14" s="618"/>
      <c r="D14" s="618"/>
      <c r="E14" s="618"/>
      <c r="F14" s="364"/>
      <c r="G14" s="365"/>
      <c r="H14" s="714" t="s">
        <v>449</v>
      </c>
      <c r="I14" s="714"/>
      <c r="J14" s="714"/>
      <c r="K14" s="714"/>
      <c r="L14" s="366"/>
    </row>
    <row r="15" spans="1:12" ht="18" customHeight="1">
      <c r="A15" s="714" t="s">
        <v>49</v>
      </c>
      <c r="B15" s="714"/>
      <c r="C15" s="714"/>
      <c r="D15" s="714" t="s">
        <v>169</v>
      </c>
      <c r="E15" s="714"/>
      <c r="F15" s="714"/>
      <c r="G15" s="714"/>
      <c r="H15" s="714" t="s">
        <v>451</v>
      </c>
      <c r="I15" s="714"/>
      <c r="J15" s="714"/>
      <c r="K15" s="714"/>
      <c r="L15" s="2"/>
    </row>
    <row r="16" spans="1:12" ht="13.5" customHeight="1">
      <c r="A16" s="5"/>
      <c r="B16" s="13"/>
      <c r="C16" s="13"/>
      <c r="D16" s="13"/>
      <c r="E16" s="13"/>
      <c r="F16" s="13"/>
      <c r="G16" s="13"/>
      <c r="H16" s="13"/>
      <c r="I16" s="13"/>
      <c r="J16" s="13"/>
      <c r="K16" s="31"/>
      <c r="L16" s="7"/>
    </row>
    <row r="17" spans="1:12" ht="15.75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31"/>
      <c r="L17" s="4"/>
    </row>
    <row r="18" spans="1:12" ht="16.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31"/>
      <c r="L18" s="4"/>
    </row>
    <row r="19" spans="1:12" ht="12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31"/>
      <c r="L19" s="4"/>
    </row>
    <row r="20" spans="1:12" ht="17.2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31"/>
      <c r="L20" s="4"/>
    </row>
    <row r="21" spans="1:12" s="47" customFormat="1">
      <c r="A21" s="714" t="s">
        <v>211</v>
      </c>
      <c r="B21" s="714"/>
      <c r="C21" s="714"/>
      <c r="D21" s="714" t="s">
        <v>109</v>
      </c>
      <c r="E21" s="714"/>
      <c r="F21" s="714"/>
      <c r="G21" s="714"/>
      <c r="H21" s="714" t="s">
        <v>452</v>
      </c>
      <c r="I21" s="714"/>
      <c r="J21" s="714"/>
      <c r="K21" s="714"/>
      <c r="L21" s="11"/>
    </row>
    <row r="22" spans="1:12" s="47" customForma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1"/>
    </row>
    <row r="23" spans="1:12" s="47" customForma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1"/>
    </row>
    <row r="24" spans="1:12" s="47" customForma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1"/>
    </row>
    <row r="25" spans="1:12" s="47" customForma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11"/>
    </row>
    <row r="26" spans="1:12" s="47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1"/>
    </row>
    <row r="27" spans="1:12" s="47" customForma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1"/>
    </row>
    <row r="28" spans="1:12" ht="16.5" customHeight="1">
      <c r="A28" s="715"/>
      <c r="B28" s="715"/>
      <c r="C28" s="715"/>
      <c r="D28" s="715"/>
      <c r="E28" s="715"/>
      <c r="F28" s="715"/>
      <c r="G28" s="715"/>
      <c r="H28" s="715"/>
      <c r="I28" s="13"/>
      <c r="J28" s="13"/>
      <c r="K28" s="13"/>
      <c r="L28" s="4"/>
    </row>
    <row r="29" spans="1:12">
      <c r="A29" s="7"/>
      <c r="B29" s="649"/>
      <c r="C29" s="649"/>
      <c r="D29" s="649"/>
      <c r="E29" s="649"/>
      <c r="F29" s="649"/>
      <c r="G29" s="649"/>
      <c r="H29" s="649"/>
      <c r="I29" s="4"/>
      <c r="J29" s="4"/>
      <c r="K29" s="2"/>
      <c r="L29" s="4"/>
    </row>
    <row r="30" spans="1:12">
      <c r="A30" s="4"/>
      <c r="B30" s="4"/>
      <c r="C30" s="4"/>
      <c r="D30" s="4"/>
      <c r="E30" s="4"/>
      <c r="F30" s="23"/>
      <c r="G30" s="23"/>
      <c r="H30" s="4"/>
      <c r="I30" s="4"/>
      <c r="J30" s="4"/>
      <c r="K30" s="2"/>
      <c r="L30" s="4"/>
    </row>
    <row r="31" spans="1:12">
      <c r="A31" s="4"/>
      <c r="B31" s="4"/>
      <c r="C31" s="4"/>
      <c r="D31" s="4"/>
      <c r="E31" s="4"/>
      <c r="F31" s="23"/>
      <c r="G31" s="23"/>
      <c r="H31" s="4"/>
      <c r="I31" s="4"/>
      <c r="J31" s="4"/>
      <c r="K31" s="2"/>
      <c r="L31" s="4"/>
    </row>
    <row r="32" spans="1:12">
      <c r="A32" s="4"/>
      <c r="B32" s="4"/>
      <c r="C32" s="4"/>
      <c r="D32" s="4"/>
      <c r="E32" s="4"/>
      <c r="F32" s="23"/>
      <c r="G32" s="23"/>
      <c r="H32" s="4"/>
      <c r="I32" s="4"/>
      <c r="J32" s="4"/>
      <c r="K32" s="2"/>
      <c r="L32" s="4"/>
    </row>
    <row r="33" spans="1:12">
      <c r="A33" s="4"/>
      <c r="B33" s="4"/>
      <c r="C33" s="4"/>
      <c r="D33" s="4"/>
      <c r="E33" s="4"/>
      <c r="F33" s="23"/>
      <c r="G33" s="23"/>
      <c r="H33" s="4"/>
      <c r="I33" s="4"/>
      <c r="J33" s="4"/>
      <c r="K33" s="2"/>
      <c r="L33" s="4"/>
    </row>
    <row r="34" spans="1:12">
      <c r="A34" s="4"/>
      <c r="B34" s="4"/>
      <c r="C34" s="4"/>
      <c r="D34" s="4"/>
      <c r="E34" s="4"/>
      <c r="F34" s="23"/>
      <c r="G34" s="23"/>
      <c r="H34" s="4"/>
      <c r="I34" s="4"/>
      <c r="J34" s="4"/>
      <c r="K34" s="2"/>
      <c r="L34" s="4"/>
    </row>
    <row r="35" spans="1:12">
      <c r="A35" s="24"/>
      <c r="B35" s="24"/>
      <c r="C35" s="24"/>
      <c r="D35" s="24"/>
      <c r="E35" s="24"/>
      <c r="F35" s="25"/>
      <c r="G35" s="25"/>
      <c r="H35" s="24"/>
      <c r="I35" s="24"/>
      <c r="J35" s="24"/>
      <c r="K35" s="24"/>
      <c r="L35" s="24"/>
    </row>
    <row r="36" spans="1:12">
      <c r="A36" s="13"/>
    </row>
    <row r="37" spans="1:12" ht="17.25">
      <c r="A37" s="1"/>
    </row>
  </sheetData>
  <mergeCells count="26">
    <mergeCell ref="F1:K1"/>
    <mergeCell ref="F2:K2"/>
    <mergeCell ref="A15:C15"/>
    <mergeCell ref="A7:A8"/>
    <mergeCell ref="H13:K13"/>
    <mergeCell ref="H15:K15"/>
    <mergeCell ref="A1:D1"/>
    <mergeCell ref="A2:D2"/>
    <mergeCell ref="B13:E13"/>
    <mergeCell ref="B12:G12"/>
    <mergeCell ref="H14:K14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H21:K21"/>
    <mergeCell ref="D15:G15"/>
    <mergeCell ref="D21:G21"/>
    <mergeCell ref="A28:H28"/>
    <mergeCell ref="B29:H29"/>
    <mergeCell ref="A21:C21"/>
  </mergeCells>
  <phoneticPr fontId="17" type="noConversion"/>
  <printOptions horizontalCentered="1"/>
  <pageMargins left="0.25" right="0.16" top="0.5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24" t="s">
        <v>226</v>
      </c>
      <c r="B1" s="724"/>
      <c r="C1" s="724"/>
      <c r="D1" s="724"/>
    </row>
    <row r="2" spans="1:9">
      <c r="A2" s="649" t="s">
        <v>172</v>
      </c>
      <c r="B2" s="649"/>
      <c r="C2" s="649"/>
      <c r="D2" s="649"/>
      <c r="E2" s="7"/>
    </row>
    <row r="3" spans="1:9">
      <c r="A3" s="647"/>
      <c r="B3" s="647"/>
      <c r="C3" s="647"/>
      <c r="D3" s="3"/>
      <c r="E3" s="20"/>
    </row>
    <row r="4" spans="1:9" ht="16.5">
      <c r="A4" s="725" t="s">
        <v>178</v>
      </c>
      <c r="B4" s="725"/>
      <c r="C4" s="725"/>
      <c r="D4" s="725"/>
      <c r="E4" s="725"/>
    </row>
    <row r="5" spans="1:9" ht="16.5">
      <c r="A5" s="725" t="s">
        <v>327</v>
      </c>
      <c r="B5" s="725"/>
      <c r="C5" s="725"/>
      <c r="D5" s="725"/>
      <c r="E5" s="725"/>
    </row>
    <row r="6" spans="1:9" ht="18" customHeight="1">
      <c r="A6" s="4"/>
      <c r="B6" s="4" t="s">
        <v>167</v>
      </c>
      <c r="C6" s="4"/>
      <c r="D6" s="10"/>
      <c r="E6" s="9"/>
    </row>
    <row r="7" spans="1:9" s="199" customFormat="1" ht="21.75" customHeight="1">
      <c r="A7" s="198" t="s">
        <v>179</v>
      </c>
      <c r="B7" s="717" t="s">
        <v>180</v>
      </c>
      <c r="C7" s="717"/>
      <c r="D7" s="192" t="s">
        <v>324</v>
      </c>
      <c r="E7" s="19" t="s">
        <v>41</v>
      </c>
    </row>
    <row r="8" spans="1:9" ht="19.5" hidden="1" customHeight="1">
      <c r="A8" s="151"/>
      <c r="B8" s="152"/>
      <c r="C8" s="191">
        <v>1</v>
      </c>
      <c r="D8" s="158">
        <v>0</v>
      </c>
      <c r="E8" s="150"/>
      <c r="F8" s="155"/>
      <c r="G8" s="157"/>
      <c r="H8" s="156"/>
      <c r="I8" s="154"/>
    </row>
    <row r="9" spans="1:9" ht="19.5" hidden="1" customHeight="1">
      <c r="A9" s="151"/>
      <c r="B9" s="152"/>
      <c r="C9" s="191">
        <v>2.62</v>
      </c>
      <c r="D9" s="158">
        <v>0</v>
      </c>
      <c r="E9" s="150"/>
      <c r="F9" s="155"/>
      <c r="G9" s="157"/>
      <c r="H9" s="156"/>
      <c r="I9" s="154"/>
    </row>
    <row r="10" spans="1:9" ht="19.5" hidden="1" customHeight="1">
      <c r="A10" s="151"/>
      <c r="B10" s="152"/>
      <c r="C10" s="190">
        <v>2.2599999999999998</v>
      </c>
      <c r="D10" s="158">
        <v>0</v>
      </c>
      <c r="E10" s="150"/>
      <c r="F10" s="155"/>
      <c r="G10" s="157"/>
      <c r="H10" s="156"/>
      <c r="I10" s="154"/>
    </row>
    <row r="11" spans="1:9" ht="4.5" customHeight="1">
      <c r="A11" s="159"/>
      <c r="B11" s="160"/>
      <c r="C11" s="161"/>
      <c r="D11" s="146"/>
      <c r="E11" s="162"/>
    </row>
    <row r="12" spans="1:9" s="196" customFormat="1" ht="35.25" customHeight="1">
      <c r="A12" s="193">
        <v>1</v>
      </c>
      <c r="B12" s="730" t="s">
        <v>227</v>
      </c>
      <c r="C12" s="731"/>
      <c r="D12" s="194"/>
      <c r="E12" s="195"/>
      <c r="H12" s="197"/>
    </row>
    <row r="13" spans="1:9" ht="23.25" customHeight="1">
      <c r="A13" s="147"/>
      <c r="B13" s="148" t="s">
        <v>181</v>
      </c>
      <c r="C13" s="149"/>
      <c r="D13" s="163">
        <f>6036046</f>
        <v>6036046</v>
      </c>
      <c r="E13" s="164"/>
      <c r="H13" s="157"/>
    </row>
    <row r="14" spans="1:9" ht="23.25" customHeight="1">
      <c r="A14" s="151"/>
      <c r="B14" s="152" t="s">
        <v>182</v>
      </c>
      <c r="C14" s="153"/>
      <c r="D14" s="165">
        <f>D13*25.5/100</f>
        <v>1539191.73</v>
      </c>
      <c r="E14" s="166" t="s">
        <v>261</v>
      </c>
    </row>
    <row r="15" spans="1:9" ht="23.25" customHeight="1">
      <c r="A15" s="151"/>
      <c r="B15" s="152" t="s">
        <v>183</v>
      </c>
      <c r="C15" s="153"/>
      <c r="D15" s="165">
        <f>D13*4.5%</f>
        <v>271622.07</v>
      </c>
      <c r="E15" s="150"/>
    </row>
    <row r="16" spans="1:9" ht="23.25" customHeight="1">
      <c r="A16" s="169"/>
      <c r="B16" s="239" t="s">
        <v>184</v>
      </c>
      <c r="C16" s="240"/>
      <c r="D16" s="170">
        <f>D13*2/100-1</f>
        <v>120719.92</v>
      </c>
      <c r="E16" s="241"/>
      <c r="H16" s="167"/>
      <c r="I16" s="167"/>
    </row>
    <row r="17" spans="1:9" ht="23.25" customHeight="1">
      <c r="A17" s="136"/>
      <c r="B17" s="728" t="s">
        <v>185</v>
      </c>
      <c r="C17" s="729"/>
      <c r="D17" s="171">
        <f>SUM(D14:D16)</f>
        <v>1931533.72</v>
      </c>
      <c r="E17" s="242"/>
      <c r="G17" s="168"/>
      <c r="H17" s="154"/>
      <c r="I17" s="154"/>
    </row>
    <row r="18" spans="1:9" ht="6.75" customHeight="1">
      <c r="A18" s="159"/>
      <c r="B18" s="237"/>
      <c r="C18" s="161"/>
      <c r="D18" s="146"/>
      <c r="E18" s="238"/>
      <c r="G18" s="154"/>
      <c r="H18" s="154"/>
      <c r="I18" s="154"/>
    </row>
    <row r="19" spans="1:9" ht="5.25" customHeight="1">
      <c r="A19" s="11"/>
      <c r="B19" s="172"/>
      <c r="C19" s="172"/>
      <c r="D19" s="173"/>
      <c r="E19" s="174"/>
    </row>
    <row r="20" spans="1:9">
      <c r="A20" s="13"/>
      <c r="B20" s="175" t="s">
        <v>186</v>
      </c>
      <c r="C20" s="176" t="s">
        <v>295</v>
      </c>
      <c r="D20" s="176"/>
      <c r="E20" s="176"/>
    </row>
    <row r="21" spans="1:9" ht="14.25" customHeight="1">
      <c r="A21" s="13"/>
      <c r="B21" s="138"/>
      <c r="C21" s="138"/>
      <c r="D21" s="10"/>
      <c r="E21" s="27"/>
    </row>
    <row r="22" spans="1:9">
      <c r="A22" s="13"/>
      <c r="B22" s="138"/>
      <c r="C22" s="138"/>
      <c r="D22" s="726" t="s">
        <v>326</v>
      </c>
      <c r="E22" s="726"/>
    </row>
    <row r="23" spans="1:9" s="178" customFormat="1" ht="14.25">
      <c r="A23" s="727" t="s">
        <v>187</v>
      </c>
      <c r="B23" s="727"/>
      <c r="C23" s="727"/>
      <c r="D23" s="177" t="s">
        <v>169</v>
      </c>
      <c r="E23" s="177" t="s">
        <v>68</v>
      </c>
    </row>
    <row r="24" spans="1:9" ht="18.75" customHeight="1">
      <c r="A24" s="13"/>
      <c r="B24" s="13"/>
      <c r="C24" s="13"/>
      <c r="D24" s="8"/>
      <c r="E24" s="179"/>
    </row>
    <row r="25" spans="1:9" ht="14.25" customHeight="1">
      <c r="A25" s="13"/>
      <c r="B25" s="13"/>
      <c r="C25" s="13"/>
      <c r="D25" s="12"/>
      <c r="E25" s="179"/>
    </row>
    <row r="26" spans="1:9" ht="18.75" customHeight="1">
      <c r="A26" s="13"/>
      <c r="B26" s="13"/>
      <c r="C26" s="13"/>
      <c r="D26" s="12"/>
      <c r="E26" s="179"/>
    </row>
    <row r="27" spans="1:9" ht="12.75" customHeight="1">
      <c r="A27" s="13"/>
      <c r="B27" s="13"/>
      <c r="C27" s="13"/>
      <c r="D27" s="12"/>
      <c r="E27" s="179"/>
    </row>
    <row r="28" spans="1:9" ht="18.75" customHeight="1">
      <c r="A28" s="13"/>
      <c r="B28" s="13"/>
      <c r="C28" s="13"/>
      <c r="D28" s="12"/>
      <c r="E28" s="179"/>
    </row>
    <row r="29" spans="1:9">
      <c r="A29" s="714" t="s">
        <v>211</v>
      </c>
      <c r="B29" s="714"/>
      <c r="C29" s="714"/>
      <c r="D29" s="8" t="s">
        <v>109</v>
      </c>
      <c r="E29" s="8" t="s">
        <v>107</v>
      </c>
    </row>
    <row r="30" spans="1:9">
      <c r="A30" s="180" t="str">
        <f ca="1">CELL("filename")</f>
        <v>E:\DULIEUMAYCU\Quynh chung\Quynh Exel\2025\Luong\Tu co\[Luong T04-2025 (TC)..xlsx]BĐC T12-24</v>
      </c>
      <c r="B30" s="180"/>
      <c r="C30" s="180"/>
      <c r="D30" s="180"/>
    </row>
  </sheetData>
  <mergeCells count="11">
    <mergeCell ref="D22:E22"/>
    <mergeCell ref="A23:C23"/>
    <mergeCell ref="A29:C29"/>
    <mergeCell ref="B17:C17"/>
    <mergeCell ref="B12:C12"/>
    <mergeCell ref="B7:C7"/>
    <mergeCell ref="A1:D1"/>
    <mergeCell ref="A2:D2"/>
    <mergeCell ref="A3:C3"/>
    <mergeCell ref="A4:E4"/>
    <mergeCell ref="A5:E5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sqref="A1:XFD1048576"/>
    </sheetView>
  </sheetViews>
  <sheetFormatPr defaultRowHeight="15.75"/>
  <sheetData/>
  <phoneticPr fontId="17" type="noConversion"/>
  <pageMargins left="0.36" right="0.19" top="0.39" bottom="0.2" header="0.17" footer="0.1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CN  (2)</vt:lpstr>
      <vt:lpstr>GDQP</vt:lpstr>
      <vt:lpstr>CN  (3)</vt:lpstr>
      <vt:lpstr>ND 111</vt:lpstr>
      <vt:lpstr>Y tế</vt:lpstr>
      <vt:lpstr>CN </vt:lpstr>
      <vt:lpstr>BĐC T12-24</vt:lpstr>
      <vt:lpstr>BHXH</vt:lpstr>
      <vt:lpstr>Thu viec CN</vt:lpstr>
      <vt:lpstr>'BĐC T12-24'!Print_Titles</vt:lpstr>
      <vt:lpstr>BHXH!Print_Titles</vt:lpstr>
      <vt:lpstr>'CN '!Print_Titles</vt:lpstr>
      <vt:lpstr>'CN  (2)'!Print_Titles</vt:lpstr>
      <vt:lpstr>'CN  (3)'!Print_Titles</vt:lpstr>
      <vt:lpstr>GDQP!Print_Titles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2025-03-31T08:44:09Z</cp:lastPrinted>
  <dcterms:created xsi:type="dcterms:W3CDTF">2008-02-09T21:26:41Z</dcterms:created>
  <dcterms:modified xsi:type="dcterms:W3CDTF">2025-03-31T09:32:57Z</dcterms:modified>
</cp:coreProperties>
</file>